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omments1.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8067"/>
  <workbookPr codeName="ThisWorkbook" defaultThemeVersion="124226"/>
  <mc:AlternateContent xmlns:mc="http://schemas.openxmlformats.org/markup-compatibility/2006">
    <mc:Choice Requires="x15">
      <x15ac:absPath xmlns:x15ac="http://schemas.microsoft.com/office/spreadsheetml/2010/11/ac" url="I:\FactBooks\6_RevsExpends\"/>
    </mc:Choice>
  </mc:AlternateContent>
  <bookViews>
    <workbookView xWindow="-15" yWindow="-15" windowWidth="14400" windowHeight="12855" tabRatio="766"/>
  </bookViews>
  <sheets>
    <sheet name="TABLE 96 (95)" sheetId="16" r:id="rId1"/>
    <sheet name="TABLE 97 (96)" sheetId="17" r:id="rId2"/>
    <sheet name="Total E&amp;G-4yr" sheetId="13" r:id="rId3"/>
    <sheet name="Total E&amp;G-2Yr" sheetId="26" r:id="rId4"/>
    <sheet name="Tuition-4Yr" sheetId="1" r:id="rId5"/>
    <sheet name="Local Appropriations-4Yr" sheetId="3" r:id="rId6"/>
    <sheet name="State Appropriations-4Yr" sheetId="2" r:id="rId7"/>
    <sheet name="Fed Contracts Grnts-4Yr" sheetId="4" r:id="rId8"/>
    <sheet name="Other Contract Grnts-4Yr" sheetId="5" r:id="rId9"/>
    <sheet name="Investment Income-4Yr" sheetId="9" r:id="rId10"/>
    <sheet name="All Other E&amp;G-4Yr" sheetId="10" r:id="rId11"/>
    <sheet name="Tuition-2Yr" sheetId="18" r:id="rId12"/>
    <sheet name="State Appropriations-2Yr" sheetId="19" r:id="rId13"/>
    <sheet name="Local Appropriations-2Yr" sheetId="20" r:id="rId14"/>
    <sheet name="Fed Contracts Grnts-2Yr" sheetId="21" r:id="rId15"/>
    <sheet name="Other Contracts Grnts-2Yr" sheetId="22" r:id="rId16"/>
    <sheet name="Investment Income-2Yr" sheetId="24" r:id="rId17"/>
    <sheet name="All Other E&amp;G-2Yr" sheetId="25" r:id="rId18"/>
    <sheet name="Sheet1" sheetId="27" r:id="rId19"/>
  </sheets>
  <definedNames>
    <definedName name="A">'Tuition-4Yr'!#REF!</definedName>
    <definedName name="DATA">'Tuition-4Yr'!$A$1</definedName>
    <definedName name="_xlnm.Print_Area" localSheetId="0">'TABLE 96 (95)'!$A$1:$N$74</definedName>
    <definedName name="_xlnm.Print_Area" localSheetId="1">'TABLE 97 (96)'!$A$1:$N$75</definedName>
    <definedName name="T_76">#REF!</definedName>
    <definedName name="T_78">'TABLE 96 (95)'!$A$1:$Q$29</definedName>
    <definedName name="T_79">'TABLE 97 (96)'!$A$1:$N$73</definedName>
  </definedNames>
  <calcPr calcId="171027"/>
</workbook>
</file>

<file path=xl/calcChain.xml><?xml version="1.0" encoding="utf-8"?>
<calcChain xmlns="http://schemas.openxmlformats.org/spreadsheetml/2006/main">
  <c r="H69" i="16" l="1"/>
  <c r="G69" i="16"/>
  <c r="F69" i="16"/>
  <c r="E69" i="16"/>
  <c r="D69" i="16"/>
  <c r="C69" i="16"/>
  <c r="H68" i="16"/>
  <c r="G68" i="16"/>
  <c r="F68" i="16"/>
  <c r="E68" i="16"/>
  <c r="D68" i="16"/>
  <c r="C68" i="16"/>
  <c r="H67" i="16"/>
  <c r="G67" i="16"/>
  <c r="F67" i="16"/>
  <c r="E67" i="16"/>
  <c r="D67" i="16"/>
  <c r="C67" i="16"/>
  <c r="H66" i="16"/>
  <c r="G66" i="16"/>
  <c r="F66" i="16"/>
  <c r="E66" i="16"/>
  <c r="D66" i="16"/>
  <c r="C66" i="16"/>
  <c r="H65" i="16"/>
  <c r="G65" i="16"/>
  <c r="F65" i="16"/>
  <c r="E65" i="16"/>
  <c r="D65" i="16"/>
  <c r="C65" i="16"/>
  <c r="H64" i="16"/>
  <c r="G64" i="16"/>
  <c r="F64" i="16"/>
  <c r="E64" i="16"/>
  <c r="D64" i="16"/>
  <c r="C64" i="16"/>
  <c r="H63" i="16"/>
  <c r="G63" i="16"/>
  <c r="F63" i="16"/>
  <c r="E63" i="16"/>
  <c r="D63" i="16"/>
  <c r="C63" i="16"/>
  <c r="H62" i="16"/>
  <c r="G62" i="16"/>
  <c r="F62" i="16"/>
  <c r="E62" i="16"/>
  <c r="D62" i="16"/>
  <c r="C62" i="16"/>
  <c r="H61" i="16"/>
  <c r="G61" i="16"/>
  <c r="F61" i="16"/>
  <c r="E61" i="16"/>
  <c r="D61" i="16"/>
  <c r="C61" i="16"/>
  <c r="H60" i="16"/>
  <c r="G60" i="16"/>
  <c r="F60" i="16"/>
  <c r="E60" i="16"/>
  <c r="D60" i="16"/>
  <c r="C60" i="16"/>
  <c r="H58" i="16"/>
  <c r="G58" i="16"/>
  <c r="F58" i="16"/>
  <c r="E58" i="16"/>
  <c r="D58" i="16"/>
  <c r="C58" i="16"/>
  <c r="H57" i="16"/>
  <c r="G57" i="16"/>
  <c r="F57" i="16"/>
  <c r="E57" i="16"/>
  <c r="D57" i="16"/>
  <c r="C57" i="16"/>
  <c r="H56" i="16"/>
  <c r="G56" i="16"/>
  <c r="F56" i="16"/>
  <c r="E56" i="16"/>
  <c r="D56" i="16"/>
  <c r="C56" i="16"/>
  <c r="H55" i="16"/>
  <c r="G55" i="16"/>
  <c r="F55" i="16"/>
  <c r="E55" i="16"/>
  <c r="D55" i="16"/>
  <c r="C55" i="16"/>
  <c r="H54" i="16"/>
  <c r="G54" i="16"/>
  <c r="F54" i="16"/>
  <c r="E54" i="16"/>
  <c r="D54" i="16"/>
  <c r="C54" i="16"/>
  <c r="H53" i="16"/>
  <c r="G53" i="16"/>
  <c r="F53" i="16"/>
  <c r="E53" i="16"/>
  <c r="D53" i="16"/>
  <c r="C53" i="16"/>
  <c r="H52" i="16"/>
  <c r="G52" i="16"/>
  <c r="F52" i="16"/>
  <c r="E52" i="16"/>
  <c r="D52" i="16"/>
  <c r="C52" i="16"/>
  <c r="H51" i="16"/>
  <c r="G51" i="16"/>
  <c r="F51" i="16"/>
  <c r="E51" i="16"/>
  <c r="D51" i="16"/>
  <c r="C51" i="16"/>
  <c r="H50" i="16"/>
  <c r="G50" i="16"/>
  <c r="F50" i="16"/>
  <c r="E50" i="16"/>
  <c r="D50" i="16"/>
  <c r="C50" i="16"/>
  <c r="H49" i="16"/>
  <c r="G49" i="16"/>
  <c r="F49" i="16"/>
  <c r="E49" i="16"/>
  <c r="D49" i="16"/>
  <c r="C49" i="16"/>
  <c r="H48" i="16"/>
  <c r="G48" i="16"/>
  <c r="F48" i="16"/>
  <c r="E48" i="16"/>
  <c r="D48" i="16"/>
  <c r="C48" i="16"/>
  <c r="H47" i="16"/>
  <c r="G47" i="16"/>
  <c r="F47" i="16"/>
  <c r="E47" i="16"/>
  <c r="D47" i="16"/>
  <c r="C47" i="16"/>
  <c r="H46" i="16"/>
  <c r="G46" i="16"/>
  <c r="F46" i="16"/>
  <c r="E46" i="16"/>
  <c r="D46" i="16"/>
  <c r="C46" i="16"/>
  <c r="H44" i="16"/>
  <c r="G44" i="16"/>
  <c r="F44" i="16"/>
  <c r="E44" i="16"/>
  <c r="D44" i="16"/>
  <c r="C44" i="16"/>
  <c r="H43" i="16"/>
  <c r="G43" i="16"/>
  <c r="F43" i="16"/>
  <c r="E43" i="16"/>
  <c r="D43" i="16"/>
  <c r="C43" i="16"/>
  <c r="H42" i="16"/>
  <c r="G42" i="16"/>
  <c r="F42" i="16"/>
  <c r="E42" i="16"/>
  <c r="D42" i="16"/>
  <c r="C42" i="16"/>
  <c r="H41" i="16"/>
  <c r="G41" i="16"/>
  <c r="F41" i="16"/>
  <c r="E41" i="16"/>
  <c r="D41" i="16"/>
  <c r="C41" i="16"/>
  <c r="H40" i="16"/>
  <c r="G40" i="16"/>
  <c r="F40" i="16"/>
  <c r="E40" i="16"/>
  <c r="D40" i="16"/>
  <c r="C40" i="16"/>
  <c r="H39" i="16"/>
  <c r="G39" i="16"/>
  <c r="F39" i="16"/>
  <c r="E39" i="16"/>
  <c r="D39" i="16"/>
  <c r="C39" i="16"/>
  <c r="H38" i="16"/>
  <c r="G38" i="16"/>
  <c r="F38" i="16"/>
  <c r="E38" i="16"/>
  <c r="D38" i="16"/>
  <c r="C38" i="16"/>
  <c r="H37" i="16"/>
  <c r="G37" i="16"/>
  <c r="F37" i="16"/>
  <c r="E37" i="16"/>
  <c r="D37" i="16"/>
  <c r="C37" i="16"/>
  <c r="H36" i="16"/>
  <c r="G36" i="16"/>
  <c r="F36" i="16"/>
  <c r="E36" i="16"/>
  <c r="D36" i="16"/>
  <c r="C36" i="16"/>
  <c r="H35" i="16"/>
  <c r="G35" i="16"/>
  <c r="F35" i="16"/>
  <c r="E35" i="16"/>
  <c r="D35" i="16"/>
  <c r="C35" i="16"/>
  <c r="H34" i="16"/>
  <c r="G34" i="16"/>
  <c r="F34" i="16"/>
  <c r="E34" i="16"/>
  <c r="D34" i="16"/>
  <c r="C34" i="16"/>
  <c r="H33" i="16"/>
  <c r="G33" i="16"/>
  <c r="F33" i="16"/>
  <c r="E33" i="16"/>
  <c r="D33" i="16"/>
  <c r="C33" i="16"/>
  <c r="H32" i="16"/>
  <c r="G32" i="16"/>
  <c r="F32" i="16"/>
  <c r="E32" i="16"/>
  <c r="D32" i="16"/>
  <c r="C32" i="16"/>
  <c r="H31" i="16"/>
  <c r="G31" i="16"/>
  <c r="F31" i="16"/>
  <c r="E31" i="16"/>
  <c r="D31" i="16"/>
  <c r="C31" i="16"/>
  <c r="H29" i="16"/>
  <c r="G29" i="16"/>
  <c r="F29" i="16"/>
  <c r="E29" i="16"/>
  <c r="D29" i="16"/>
  <c r="C29" i="16"/>
  <c r="H28" i="16"/>
  <c r="G28" i="16"/>
  <c r="F28" i="16"/>
  <c r="E28" i="16"/>
  <c r="D28" i="16"/>
  <c r="C28" i="16"/>
  <c r="H27" i="16"/>
  <c r="G27" i="16"/>
  <c r="F27" i="16"/>
  <c r="E27" i="16"/>
  <c r="D27" i="16"/>
  <c r="C27" i="16"/>
  <c r="H26" i="16"/>
  <c r="G26" i="16"/>
  <c r="F26" i="16"/>
  <c r="E26" i="16"/>
  <c r="D26" i="16"/>
  <c r="C26" i="16"/>
  <c r="H25" i="16"/>
  <c r="G25" i="16"/>
  <c r="F25" i="16"/>
  <c r="E25" i="16"/>
  <c r="D25" i="16"/>
  <c r="C25" i="16"/>
  <c r="H24" i="16"/>
  <c r="G24" i="16"/>
  <c r="F24" i="16"/>
  <c r="E24" i="16"/>
  <c r="D24" i="16"/>
  <c r="C24" i="16"/>
  <c r="H23" i="16"/>
  <c r="G23" i="16"/>
  <c r="F23" i="16"/>
  <c r="E23" i="16"/>
  <c r="D23" i="16"/>
  <c r="C23" i="16"/>
  <c r="H22" i="16"/>
  <c r="G22" i="16"/>
  <c r="F22" i="16"/>
  <c r="E22" i="16"/>
  <c r="D22" i="16"/>
  <c r="C22" i="16"/>
  <c r="H21" i="16"/>
  <c r="G21" i="16"/>
  <c r="F21" i="16"/>
  <c r="E21" i="16"/>
  <c r="D21" i="16"/>
  <c r="C21" i="16"/>
  <c r="H20" i="16"/>
  <c r="G20" i="16"/>
  <c r="F20" i="16"/>
  <c r="E20" i="16"/>
  <c r="D20" i="16"/>
  <c r="C20" i="16"/>
  <c r="H19" i="16"/>
  <c r="G19" i="16"/>
  <c r="F19" i="16"/>
  <c r="E19" i="16"/>
  <c r="D19" i="16"/>
  <c r="C19" i="16"/>
  <c r="H18" i="16"/>
  <c r="G18" i="16"/>
  <c r="F18" i="16"/>
  <c r="E18" i="16"/>
  <c r="D18" i="16"/>
  <c r="C18" i="16"/>
  <c r="H17" i="16"/>
  <c r="G17" i="16"/>
  <c r="F17" i="16"/>
  <c r="E17" i="16"/>
  <c r="D17" i="16"/>
  <c r="C17" i="16"/>
  <c r="H16" i="16"/>
  <c r="G16" i="16"/>
  <c r="F16" i="16"/>
  <c r="E16" i="16"/>
  <c r="D16" i="16"/>
  <c r="C16" i="16"/>
  <c r="H15" i="16"/>
  <c r="G15" i="16"/>
  <c r="F15" i="16"/>
  <c r="E15" i="16"/>
  <c r="D15" i="16"/>
  <c r="C15" i="16"/>
  <c r="H14" i="16"/>
  <c r="G14" i="16"/>
  <c r="F14" i="16"/>
  <c r="E14" i="16"/>
  <c r="D14" i="16"/>
  <c r="C14" i="16"/>
  <c r="H13" i="16"/>
  <c r="G13" i="16"/>
  <c r="F13" i="16"/>
  <c r="E13" i="16"/>
  <c r="D13" i="16"/>
  <c r="C13" i="16"/>
  <c r="H11" i="16"/>
  <c r="G11" i="16"/>
  <c r="F11" i="16"/>
  <c r="E11" i="16"/>
  <c r="D11" i="16"/>
  <c r="C11" i="16"/>
  <c r="H10" i="16"/>
  <c r="G10" i="16"/>
  <c r="F10" i="16"/>
  <c r="E10" i="16"/>
  <c r="D10" i="16"/>
  <c r="C10" i="16"/>
  <c r="U69" i="16"/>
  <c r="T69" i="16"/>
  <c r="S69" i="16"/>
  <c r="R69" i="16"/>
  <c r="Q69" i="16"/>
  <c r="P69" i="16"/>
  <c r="U68" i="16"/>
  <c r="T68" i="16"/>
  <c r="S68" i="16"/>
  <c r="R68" i="16"/>
  <c r="Q68" i="16"/>
  <c r="P68" i="16"/>
  <c r="U67" i="16"/>
  <c r="T67" i="16"/>
  <c r="S67" i="16"/>
  <c r="R67" i="16"/>
  <c r="Q67" i="16"/>
  <c r="P67" i="16"/>
  <c r="U66" i="16"/>
  <c r="T66" i="16"/>
  <c r="S66" i="16"/>
  <c r="R66" i="16"/>
  <c r="Q66" i="16"/>
  <c r="P66" i="16"/>
  <c r="U65" i="16"/>
  <c r="T65" i="16"/>
  <c r="S65" i="16"/>
  <c r="R65" i="16"/>
  <c r="Q65" i="16"/>
  <c r="P65" i="16"/>
  <c r="U64" i="16"/>
  <c r="T64" i="16"/>
  <c r="S64" i="16"/>
  <c r="R64" i="16"/>
  <c r="Q64" i="16"/>
  <c r="P64" i="16"/>
  <c r="U63" i="16"/>
  <c r="T63" i="16"/>
  <c r="S63" i="16"/>
  <c r="R63" i="16"/>
  <c r="Q63" i="16"/>
  <c r="P63" i="16"/>
  <c r="U62" i="16"/>
  <c r="T62" i="16"/>
  <c r="S62" i="16"/>
  <c r="R62" i="16"/>
  <c r="Q62" i="16"/>
  <c r="P62" i="16"/>
  <c r="U61" i="16"/>
  <c r="T61" i="16"/>
  <c r="S61" i="16"/>
  <c r="R61" i="16"/>
  <c r="Q61" i="16"/>
  <c r="P61" i="16"/>
  <c r="U60" i="16"/>
  <c r="T60" i="16"/>
  <c r="S60" i="16"/>
  <c r="R60" i="16"/>
  <c r="Q60" i="16"/>
  <c r="P60" i="16"/>
  <c r="U58" i="16"/>
  <c r="T58" i="16"/>
  <c r="S58" i="16"/>
  <c r="R58" i="16"/>
  <c r="Q58" i="16"/>
  <c r="P58" i="16"/>
  <c r="U57" i="16"/>
  <c r="T57" i="16"/>
  <c r="S57" i="16"/>
  <c r="R57" i="16"/>
  <c r="Q57" i="16"/>
  <c r="P57" i="16"/>
  <c r="U56" i="16"/>
  <c r="T56" i="16"/>
  <c r="S56" i="16"/>
  <c r="R56" i="16"/>
  <c r="Q56" i="16"/>
  <c r="P56" i="16"/>
  <c r="U55" i="16"/>
  <c r="T55" i="16"/>
  <c r="S55" i="16"/>
  <c r="R55" i="16"/>
  <c r="Q55" i="16"/>
  <c r="P55" i="16"/>
  <c r="U54" i="16"/>
  <c r="T54" i="16"/>
  <c r="S54" i="16"/>
  <c r="R54" i="16"/>
  <c r="Q54" i="16"/>
  <c r="P54" i="16"/>
  <c r="U53" i="16"/>
  <c r="T53" i="16"/>
  <c r="S53" i="16"/>
  <c r="R53" i="16"/>
  <c r="Q53" i="16"/>
  <c r="P53" i="16"/>
  <c r="U52" i="16"/>
  <c r="T52" i="16"/>
  <c r="S52" i="16"/>
  <c r="R52" i="16"/>
  <c r="Q52" i="16"/>
  <c r="P52" i="16"/>
  <c r="U51" i="16"/>
  <c r="T51" i="16"/>
  <c r="S51" i="16"/>
  <c r="R51" i="16"/>
  <c r="Q51" i="16"/>
  <c r="P51" i="16"/>
  <c r="U50" i="16"/>
  <c r="T50" i="16"/>
  <c r="S50" i="16"/>
  <c r="R50" i="16"/>
  <c r="Q50" i="16"/>
  <c r="P50" i="16"/>
  <c r="U49" i="16"/>
  <c r="T49" i="16"/>
  <c r="S49" i="16"/>
  <c r="R49" i="16"/>
  <c r="Q49" i="16"/>
  <c r="P49" i="16"/>
  <c r="U48" i="16"/>
  <c r="T48" i="16"/>
  <c r="S48" i="16"/>
  <c r="R48" i="16"/>
  <c r="Q48" i="16"/>
  <c r="P48" i="16"/>
  <c r="U47" i="16"/>
  <c r="T47" i="16"/>
  <c r="S47" i="16"/>
  <c r="R47" i="16"/>
  <c r="Q47" i="16"/>
  <c r="P47" i="16"/>
  <c r="U46" i="16"/>
  <c r="T46" i="16"/>
  <c r="S46" i="16"/>
  <c r="R46" i="16"/>
  <c r="Q46" i="16"/>
  <c r="P46" i="16"/>
  <c r="U44" i="16"/>
  <c r="T44" i="16"/>
  <c r="S44" i="16"/>
  <c r="R44" i="16"/>
  <c r="Q44" i="16"/>
  <c r="P44" i="16"/>
  <c r="U43" i="16"/>
  <c r="T43" i="16"/>
  <c r="S43" i="16"/>
  <c r="R43" i="16"/>
  <c r="Q43" i="16"/>
  <c r="P43" i="16"/>
  <c r="U42" i="16"/>
  <c r="T42" i="16"/>
  <c r="S42" i="16"/>
  <c r="R42" i="16"/>
  <c r="Q42" i="16"/>
  <c r="P42" i="16"/>
  <c r="U41" i="16"/>
  <c r="T41" i="16"/>
  <c r="S41" i="16"/>
  <c r="R41" i="16"/>
  <c r="Q41" i="16"/>
  <c r="P41" i="16"/>
  <c r="U40" i="16"/>
  <c r="T40" i="16"/>
  <c r="S40" i="16"/>
  <c r="R40" i="16"/>
  <c r="Q40" i="16"/>
  <c r="P40" i="16"/>
  <c r="U39" i="16"/>
  <c r="T39" i="16"/>
  <c r="S39" i="16"/>
  <c r="R39" i="16"/>
  <c r="Q39" i="16"/>
  <c r="P39" i="16"/>
  <c r="U38" i="16"/>
  <c r="T38" i="16"/>
  <c r="S38" i="16"/>
  <c r="R38" i="16"/>
  <c r="Q38" i="16"/>
  <c r="P38" i="16"/>
  <c r="U37" i="16"/>
  <c r="T37" i="16"/>
  <c r="S37" i="16"/>
  <c r="R37" i="16"/>
  <c r="Q37" i="16"/>
  <c r="P37" i="16"/>
  <c r="U36" i="16"/>
  <c r="T36" i="16"/>
  <c r="S36" i="16"/>
  <c r="R36" i="16"/>
  <c r="Q36" i="16"/>
  <c r="P36" i="16"/>
  <c r="U35" i="16"/>
  <c r="T35" i="16"/>
  <c r="S35" i="16"/>
  <c r="R35" i="16"/>
  <c r="Q35" i="16"/>
  <c r="P35" i="16"/>
  <c r="U34" i="16"/>
  <c r="T34" i="16"/>
  <c r="S34" i="16"/>
  <c r="R34" i="16"/>
  <c r="Q34" i="16"/>
  <c r="P34" i="16"/>
  <c r="U33" i="16"/>
  <c r="T33" i="16"/>
  <c r="S33" i="16"/>
  <c r="R33" i="16"/>
  <c r="Q33" i="16"/>
  <c r="P33" i="16"/>
  <c r="U32" i="16"/>
  <c r="T32" i="16"/>
  <c r="S32" i="16"/>
  <c r="R32" i="16"/>
  <c r="Q32" i="16"/>
  <c r="P32" i="16"/>
  <c r="U31" i="16"/>
  <c r="T31" i="16"/>
  <c r="S31" i="16"/>
  <c r="R31" i="16"/>
  <c r="Q31" i="16"/>
  <c r="P31" i="16"/>
  <c r="U29" i="16"/>
  <c r="T29" i="16"/>
  <c r="S29" i="16"/>
  <c r="R29" i="16"/>
  <c r="Q29" i="16"/>
  <c r="P29" i="16"/>
  <c r="U28" i="16"/>
  <c r="T28" i="16"/>
  <c r="S28" i="16"/>
  <c r="R28" i="16"/>
  <c r="Q28" i="16"/>
  <c r="P28" i="16"/>
  <c r="U27" i="16"/>
  <c r="T27" i="16"/>
  <c r="S27" i="16"/>
  <c r="R27" i="16"/>
  <c r="Q27" i="16"/>
  <c r="P27" i="16"/>
  <c r="U26" i="16"/>
  <c r="T26" i="16"/>
  <c r="S26" i="16"/>
  <c r="R26" i="16"/>
  <c r="Q26" i="16"/>
  <c r="P26" i="16"/>
  <c r="U25" i="16"/>
  <c r="T25" i="16"/>
  <c r="S25" i="16"/>
  <c r="R25" i="16"/>
  <c r="Q25" i="16"/>
  <c r="P25" i="16"/>
  <c r="U24" i="16"/>
  <c r="T24" i="16"/>
  <c r="S24" i="16"/>
  <c r="R24" i="16"/>
  <c r="Q24" i="16"/>
  <c r="P24" i="16"/>
  <c r="U23" i="16"/>
  <c r="T23" i="16"/>
  <c r="S23" i="16"/>
  <c r="R23" i="16"/>
  <c r="Q23" i="16"/>
  <c r="P23" i="16"/>
  <c r="U22" i="16"/>
  <c r="T22" i="16"/>
  <c r="S22" i="16"/>
  <c r="R22" i="16"/>
  <c r="Q22" i="16"/>
  <c r="P22" i="16"/>
  <c r="U21" i="16"/>
  <c r="T21" i="16"/>
  <c r="S21" i="16"/>
  <c r="R21" i="16"/>
  <c r="Q21" i="16"/>
  <c r="P21" i="16"/>
  <c r="U20" i="16"/>
  <c r="T20" i="16"/>
  <c r="S20" i="16"/>
  <c r="R20" i="16"/>
  <c r="Q20" i="16"/>
  <c r="P20" i="16"/>
  <c r="U19" i="16"/>
  <c r="T19" i="16"/>
  <c r="S19" i="16"/>
  <c r="R19" i="16"/>
  <c r="Q19" i="16"/>
  <c r="P19" i="16"/>
  <c r="U18" i="16"/>
  <c r="T18" i="16"/>
  <c r="S18" i="16"/>
  <c r="R18" i="16"/>
  <c r="Q18" i="16"/>
  <c r="P18" i="16"/>
  <c r="U17" i="16"/>
  <c r="T17" i="16"/>
  <c r="S17" i="16"/>
  <c r="R17" i="16"/>
  <c r="Q17" i="16"/>
  <c r="P17" i="16"/>
  <c r="U16" i="16"/>
  <c r="T16" i="16"/>
  <c r="S16" i="16"/>
  <c r="R16" i="16"/>
  <c r="Q16" i="16"/>
  <c r="P16" i="16"/>
  <c r="U15" i="16"/>
  <c r="T15" i="16"/>
  <c r="S15" i="16"/>
  <c r="R15" i="16"/>
  <c r="Q15" i="16"/>
  <c r="P15" i="16"/>
  <c r="U14" i="16"/>
  <c r="T14" i="16"/>
  <c r="S14" i="16"/>
  <c r="R14" i="16"/>
  <c r="Q14" i="16"/>
  <c r="P14" i="16"/>
  <c r="U13" i="16"/>
  <c r="T13" i="16"/>
  <c r="S13" i="16"/>
  <c r="R13" i="16"/>
  <c r="Q13" i="16"/>
  <c r="P13" i="16"/>
  <c r="U11" i="16"/>
  <c r="T11" i="16"/>
  <c r="S11" i="16"/>
  <c r="R11" i="16"/>
  <c r="Q11" i="16"/>
  <c r="P11" i="16"/>
  <c r="U10" i="16"/>
  <c r="T10" i="16"/>
  <c r="S10" i="16"/>
  <c r="R10" i="16"/>
  <c r="Q10" i="16"/>
  <c r="P10" i="16"/>
  <c r="U67" i="17"/>
  <c r="T67" i="17"/>
  <c r="S67" i="17"/>
  <c r="R67" i="17"/>
  <c r="Q67" i="17"/>
  <c r="P67" i="17"/>
  <c r="U66" i="17"/>
  <c r="T66" i="17"/>
  <c r="S66" i="17"/>
  <c r="R66" i="17"/>
  <c r="Q66" i="17"/>
  <c r="P66" i="17"/>
  <c r="U65" i="17"/>
  <c r="T65" i="17"/>
  <c r="S65" i="17"/>
  <c r="R65" i="17"/>
  <c r="Q65" i="17"/>
  <c r="P65" i="17"/>
  <c r="U64" i="17"/>
  <c r="T64" i="17"/>
  <c r="S64" i="17"/>
  <c r="R64" i="17"/>
  <c r="Q64" i="17"/>
  <c r="P64" i="17"/>
  <c r="U63" i="17"/>
  <c r="T63" i="17"/>
  <c r="S63" i="17"/>
  <c r="R63" i="17"/>
  <c r="Q63" i="17"/>
  <c r="P63" i="17"/>
  <c r="U62" i="17"/>
  <c r="T62" i="17"/>
  <c r="S62" i="17"/>
  <c r="R62" i="17"/>
  <c r="Q62" i="17"/>
  <c r="P62" i="17"/>
  <c r="U61" i="17"/>
  <c r="T61" i="17"/>
  <c r="S61" i="17"/>
  <c r="R61" i="17"/>
  <c r="Q61" i="17"/>
  <c r="P61" i="17"/>
  <c r="U60" i="17"/>
  <c r="T60" i="17"/>
  <c r="S60" i="17"/>
  <c r="R60" i="17"/>
  <c r="Q60" i="17"/>
  <c r="P60" i="17"/>
  <c r="U59" i="17"/>
  <c r="T59" i="17"/>
  <c r="S59" i="17"/>
  <c r="R59" i="17"/>
  <c r="Q59" i="17"/>
  <c r="P59" i="17"/>
  <c r="U57" i="17"/>
  <c r="T57" i="17"/>
  <c r="S57" i="17"/>
  <c r="R57" i="17"/>
  <c r="Q57" i="17"/>
  <c r="P57" i="17"/>
  <c r="U56" i="17"/>
  <c r="T56" i="17"/>
  <c r="S56" i="17"/>
  <c r="R56" i="17"/>
  <c r="Q56" i="17"/>
  <c r="P56" i="17"/>
  <c r="U55" i="17"/>
  <c r="T55" i="17"/>
  <c r="S55" i="17"/>
  <c r="R55" i="17"/>
  <c r="Q55" i="17"/>
  <c r="P55" i="17"/>
  <c r="U54" i="17"/>
  <c r="T54" i="17"/>
  <c r="S54" i="17"/>
  <c r="R54" i="17"/>
  <c r="Q54" i="17"/>
  <c r="P54" i="17"/>
  <c r="U53" i="17"/>
  <c r="T53" i="17"/>
  <c r="S53" i="17"/>
  <c r="R53" i="17"/>
  <c r="Q53" i="17"/>
  <c r="P53" i="17"/>
  <c r="U52" i="17"/>
  <c r="T52" i="17"/>
  <c r="S52" i="17"/>
  <c r="R52" i="17"/>
  <c r="Q52" i="17"/>
  <c r="P52" i="17"/>
  <c r="U51" i="17"/>
  <c r="T51" i="17"/>
  <c r="S51" i="17"/>
  <c r="R51" i="17"/>
  <c r="Q51" i="17"/>
  <c r="P51" i="17"/>
  <c r="U50" i="17"/>
  <c r="T50" i="17"/>
  <c r="S50" i="17"/>
  <c r="R50" i="17"/>
  <c r="Q50" i="17"/>
  <c r="P50" i="17"/>
  <c r="U49" i="17"/>
  <c r="T49" i="17"/>
  <c r="S49" i="17"/>
  <c r="R49" i="17"/>
  <c r="Q49" i="17"/>
  <c r="P49" i="17"/>
  <c r="U48" i="17"/>
  <c r="T48" i="17"/>
  <c r="S48" i="17"/>
  <c r="R48" i="17"/>
  <c r="Q48" i="17"/>
  <c r="P48" i="17"/>
  <c r="U47" i="17"/>
  <c r="T47" i="17"/>
  <c r="S47" i="17"/>
  <c r="R47" i="17"/>
  <c r="Q47" i="17"/>
  <c r="P47" i="17"/>
  <c r="U46" i="17"/>
  <c r="T46" i="17"/>
  <c r="S46" i="17"/>
  <c r="R46" i="17"/>
  <c r="Q46" i="17"/>
  <c r="P46" i="17"/>
  <c r="U45" i="17"/>
  <c r="T45" i="17"/>
  <c r="S45" i="17"/>
  <c r="R45" i="17"/>
  <c r="Q45" i="17"/>
  <c r="P45" i="17"/>
  <c r="U43" i="17"/>
  <c r="T43" i="17"/>
  <c r="S43" i="17"/>
  <c r="R43" i="17"/>
  <c r="Q43" i="17"/>
  <c r="P43" i="17"/>
  <c r="U42" i="17"/>
  <c r="T42" i="17"/>
  <c r="S42" i="17"/>
  <c r="R42" i="17"/>
  <c r="Q42" i="17"/>
  <c r="P42" i="17"/>
  <c r="U41" i="17"/>
  <c r="T41" i="17"/>
  <c r="S41" i="17"/>
  <c r="R41" i="17"/>
  <c r="Q41" i="17"/>
  <c r="P41" i="17"/>
  <c r="U40" i="17"/>
  <c r="T40" i="17"/>
  <c r="S40" i="17"/>
  <c r="R40" i="17"/>
  <c r="Q40" i="17"/>
  <c r="P40" i="17"/>
  <c r="U39" i="17"/>
  <c r="T39" i="17"/>
  <c r="S39" i="17"/>
  <c r="R39" i="17"/>
  <c r="Q39" i="17"/>
  <c r="P39" i="17"/>
  <c r="U38" i="17"/>
  <c r="T38" i="17"/>
  <c r="S38" i="17"/>
  <c r="R38" i="17"/>
  <c r="Q38" i="17"/>
  <c r="P38" i="17"/>
  <c r="U37" i="17"/>
  <c r="T37" i="17"/>
  <c r="S37" i="17"/>
  <c r="R37" i="17"/>
  <c r="Q37" i="17"/>
  <c r="P37" i="17"/>
  <c r="U36" i="17"/>
  <c r="T36" i="17"/>
  <c r="S36" i="17"/>
  <c r="R36" i="17"/>
  <c r="Q36" i="17"/>
  <c r="P36" i="17"/>
  <c r="U35" i="17"/>
  <c r="T35" i="17"/>
  <c r="S35" i="17"/>
  <c r="R35" i="17"/>
  <c r="Q35" i="17"/>
  <c r="P35" i="17"/>
  <c r="U34" i="17"/>
  <c r="T34" i="17"/>
  <c r="S34" i="17"/>
  <c r="R34" i="17"/>
  <c r="Q34" i="17"/>
  <c r="P34" i="17"/>
  <c r="U33" i="17"/>
  <c r="T33" i="17"/>
  <c r="S33" i="17"/>
  <c r="R33" i="17"/>
  <c r="Q33" i="17"/>
  <c r="P33" i="17"/>
  <c r="U32" i="17"/>
  <c r="T32" i="17"/>
  <c r="S32" i="17"/>
  <c r="R32" i="17"/>
  <c r="Q32" i="17"/>
  <c r="P32" i="17"/>
  <c r="U31" i="17"/>
  <c r="T31" i="17"/>
  <c r="S31" i="17"/>
  <c r="R31" i="17"/>
  <c r="Q31" i="17"/>
  <c r="P31" i="17"/>
  <c r="U30" i="17"/>
  <c r="T30" i="17"/>
  <c r="S30" i="17"/>
  <c r="R30" i="17"/>
  <c r="Q30" i="17"/>
  <c r="P30" i="17"/>
  <c r="U28" i="17"/>
  <c r="T28" i="17"/>
  <c r="S28" i="17"/>
  <c r="R28" i="17"/>
  <c r="Q28" i="17"/>
  <c r="P28" i="17"/>
  <c r="U27" i="17"/>
  <c r="T27" i="17"/>
  <c r="S27" i="17"/>
  <c r="R27" i="17"/>
  <c r="Q27" i="17"/>
  <c r="P27" i="17"/>
  <c r="U26" i="17"/>
  <c r="T26" i="17"/>
  <c r="S26" i="17"/>
  <c r="R26" i="17"/>
  <c r="Q26" i="17"/>
  <c r="P26" i="17"/>
  <c r="U25" i="17"/>
  <c r="T25" i="17"/>
  <c r="S25" i="17"/>
  <c r="R25" i="17"/>
  <c r="Q25" i="17"/>
  <c r="P25" i="17"/>
  <c r="U24" i="17"/>
  <c r="T24" i="17"/>
  <c r="S24" i="17"/>
  <c r="R24" i="17"/>
  <c r="Q24" i="17"/>
  <c r="P24" i="17"/>
  <c r="U23" i="17"/>
  <c r="T23" i="17"/>
  <c r="S23" i="17"/>
  <c r="R23" i="17"/>
  <c r="Q23" i="17"/>
  <c r="P23" i="17"/>
  <c r="U22" i="17"/>
  <c r="T22" i="17"/>
  <c r="S22" i="17"/>
  <c r="R22" i="17"/>
  <c r="Q22" i="17"/>
  <c r="P22" i="17"/>
  <c r="U21" i="17"/>
  <c r="T21" i="17"/>
  <c r="S21" i="17"/>
  <c r="R21" i="17"/>
  <c r="Q21" i="17"/>
  <c r="P21" i="17"/>
  <c r="U20" i="17"/>
  <c r="T20" i="17"/>
  <c r="S20" i="17"/>
  <c r="R20" i="17"/>
  <c r="Q20" i="17"/>
  <c r="P20" i="17"/>
  <c r="U19" i="17"/>
  <c r="T19" i="17"/>
  <c r="S19" i="17"/>
  <c r="R19" i="17"/>
  <c r="Q19" i="17"/>
  <c r="P19" i="17"/>
  <c r="U18" i="17"/>
  <c r="T18" i="17"/>
  <c r="S18" i="17"/>
  <c r="R18" i="17"/>
  <c r="Q18" i="17"/>
  <c r="P18" i="17"/>
  <c r="U17" i="17"/>
  <c r="T17" i="17"/>
  <c r="S17" i="17"/>
  <c r="R17" i="17"/>
  <c r="Q17" i="17"/>
  <c r="P17" i="17"/>
  <c r="U16" i="17"/>
  <c r="T16" i="17"/>
  <c r="S16" i="17"/>
  <c r="R16" i="17"/>
  <c r="Q16" i="17"/>
  <c r="P16" i="17"/>
  <c r="U15" i="17"/>
  <c r="T15" i="17"/>
  <c r="S15" i="17"/>
  <c r="R15" i="17"/>
  <c r="Q15" i="17"/>
  <c r="P15" i="17"/>
  <c r="U14" i="17"/>
  <c r="T14" i="17"/>
  <c r="S14" i="17"/>
  <c r="R14" i="17"/>
  <c r="Q14" i="17"/>
  <c r="P14" i="17"/>
  <c r="U13" i="17"/>
  <c r="T13" i="17"/>
  <c r="S13" i="17"/>
  <c r="R13" i="17"/>
  <c r="Q13" i="17"/>
  <c r="P13" i="17"/>
  <c r="U12" i="17"/>
  <c r="T12" i="17"/>
  <c r="S12" i="17"/>
  <c r="R12" i="17"/>
  <c r="Q12" i="17"/>
  <c r="P12" i="17"/>
  <c r="U10" i="17"/>
  <c r="T10" i="17"/>
  <c r="S10" i="17"/>
  <c r="R10" i="17"/>
  <c r="Q10" i="17"/>
  <c r="P10" i="17"/>
  <c r="U9" i="17"/>
  <c r="T9" i="17"/>
  <c r="S9" i="17"/>
  <c r="R9" i="17"/>
  <c r="Q9" i="17"/>
  <c r="P9" i="17"/>
  <c r="H67" i="17"/>
  <c r="G67" i="17"/>
  <c r="F67" i="17"/>
  <c r="E67" i="17"/>
  <c r="D67" i="17"/>
  <c r="C67" i="17"/>
  <c r="H66" i="17"/>
  <c r="G66" i="17"/>
  <c r="F66" i="17"/>
  <c r="E66" i="17"/>
  <c r="D66" i="17"/>
  <c r="C66" i="17"/>
  <c r="H65" i="17"/>
  <c r="G65" i="17"/>
  <c r="F65" i="17"/>
  <c r="E65" i="17"/>
  <c r="D65" i="17"/>
  <c r="C65" i="17"/>
  <c r="H64" i="17"/>
  <c r="G64" i="17"/>
  <c r="F64" i="17"/>
  <c r="E64" i="17"/>
  <c r="D64" i="17"/>
  <c r="C64" i="17"/>
  <c r="H63" i="17"/>
  <c r="G63" i="17"/>
  <c r="F63" i="17"/>
  <c r="E63" i="17"/>
  <c r="D63" i="17"/>
  <c r="C63" i="17"/>
  <c r="H62" i="17"/>
  <c r="G62" i="17"/>
  <c r="F62" i="17"/>
  <c r="E62" i="17"/>
  <c r="D62" i="17"/>
  <c r="C62" i="17"/>
  <c r="H61" i="17"/>
  <c r="G61" i="17"/>
  <c r="F61" i="17"/>
  <c r="E61" i="17"/>
  <c r="D61" i="17"/>
  <c r="C61" i="17"/>
  <c r="H60" i="17"/>
  <c r="G60" i="17"/>
  <c r="F60" i="17"/>
  <c r="E60" i="17"/>
  <c r="D60" i="17"/>
  <c r="C60" i="17"/>
  <c r="H59" i="17"/>
  <c r="G59" i="17"/>
  <c r="F59" i="17"/>
  <c r="E59" i="17"/>
  <c r="D59" i="17"/>
  <c r="C59" i="17"/>
  <c r="H57" i="17"/>
  <c r="G57" i="17"/>
  <c r="F57" i="17"/>
  <c r="E57" i="17"/>
  <c r="D57" i="17"/>
  <c r="C57" i="17"/>
  <c r="H56" i="17"/>
  <c r="G56" i="17"/>
  <c r="F56" i="17"/>
  <c r="E56" i="17"/>
  <c r="D56" i="17"/>
  <c r="C56" i="17"/>
  <c r="H55" i="17"/>
  <c r="G55" i="17"/>
  <c r="F55" i="17"/>
  <c r="E55" i="17"/>
  <c r="D55" i="17"/>
  <c r="C55" i="17"/>
  <c r="H54" i="17"/>
  <c r="G54" i="17"/>
  <c r="F54" i="17"/>
  <c r="E54" i="17"/>
  <c r="D54" i="17"/>
  <c r="C54" i="17"/>
  <c r="H53" i="17"/>
  <c r="G53" i="17"/>
  <c r="F53" i="17"/>
  <c r="E53" i="17"/>
  <c r="D53" i="17"/>
  <c r="C53" i="17"/>
  <c r="H52" i="17"/>
  <c r="G52" i="17"/>
  <c r="F52" i="17"/>
  <c r="E52" i="17"/>
  <c r="D52" i="17"/>
  <c r="C52" i="17"/>
  <c r="H51" i="17"/>
  <c r="G51" i="17"/>
  <c r="F51" i="17"/>
  <c r="E51" i="17"/>
  <c r="D51" i="17"/>
  <c r="C51" i="17"/>
  <c r="H50" i="17"/>
  <c r="G50" i="17"/>
  <c r="F50" i="17"/>
  <c r="E50" i="17"/>
  <c r="D50" i="17"/>
  <c r="C50" i="17"/>
  <c r="H49" i="17"/>
  <c r="G49" i="17"/>
  <c r="F49" i="17"/>
  <c r="E49" i="17"/>
  <c r="D49" i="17"/>
  <c r="C49" i="17"/>
  <c r="H48" i="17"/>
  <c r="G48" i="17"/>
  <c r="F48" i="17"/>
  <c r="E48" i="17"/>
  <c r="D48" i="17"/>
  <c r="C48" i="17"/>
  <c r="H47" i="17"/>
  <c r="G47" i="17"/>
  <c r="F47" i="17"/>
  <c r="E47" i="17"/>
  <c r="D47" i="17"/>
  <c r="C47" i="17"/>
  <c r="H46" i="17"/>
  <c r="G46" i="17"/>
  <c r="F46" i="17"/>
  <c r="E46" i="17"/>
  <c r="D46" i="17"/>
  <c r="C46" i="17"/>
  <c r="H45" i="17"/>
  <c r="G45" i="17"/>
  <c r="F45" i="17"/>
  <c r="E45" i="17"/>
  <c r="D45" i="17"/>
  <c r="C45" i="17"/>
  <c r="H43" i="17"/>
  <c r="G43" i="17"/>
  <c r="F43" i="17"/>
  <c r="E43" i="17"/>
  <c r="D43" i="17"/>
  <c r="C43" i="17"/>
  <c r="H42" i="17"/>
  <c r="G42" i="17"/>
  <c r="F42" i="17"/>
  <c r="E42" i="17"/>
  <c r="D42" i="17"/>
  <c r="C42" i="17"/>
  <c r="H41" i="17"/>
  <c r="G41" i="17"/>
  <c r="F41" i="17"/>
  <c r="E41" i="17"/>
  <c r="D41" i="17"/>
  <c r="C41" i="17"/>
  <c r="H40" i="17"/>
  <c r="G40" i="17"/>
  <c r="F40" i="17"/>
  <c r="E40" i="17"/>
  <c r="D40" i="17"/>
  <c r="C40" i="17"/>
  <c r="H39" i="17"/>
  <c r="G39" i="17"/>
  <c r="F39" i="17"/>
  <c r="E39" i="17"/>
  <c r="D39" i="17"/>
  <c r="C39" i="17"/>
  <c r="H38" i="17"/>
  <c r="G38" i="17"/>
  <c r="F38" i="17"/>
  <c r="E38" i="17"/>
  <c r="D38" i="17"/>
  <c r="C38" i="17"/>
  <c r="H37" i="17"/>
  <c r="G37" i="17"/>
  <c r="F37" i="17"/>
  <c r="E37" i="17"/>
  <c r="D37" i="17"/>
  <c r="C37" i="17"/>
  <c r="H36" i="17"/>
  <c r="G36" i="17"/>
  <c r="F36" i="17"/>
  <c r="E36" i="17"/>
  <c r="D36" i="17"/>
  <c r="C36" i="17"/>
  <c r="H35" i="17"/>
  <c r="G35" i="17"/>
  <c r="F35" i="17"/>
  <c r="E35" i="17"/>
  <c r="D35" i="17"/>
  <c r="C35" i="17"/>
  <c r="H34" i="17"/>
  <c r="G34" i="17"/>
  <c r="F34" i="17"/>
  <c r="E34" i="17"/>
  <c r="D34" i="17"/>
  <c r="C34" i="17"/>
  <c r="H33" i="17"/>
  <c r="G33" i="17"/>
  <c r="F33" i="17"/>
  <c r="E33" i="17"/>
  <c r="D33" i="17"/>
  <c r="C33" i="17"/>
  <c r="H32" i="17"/>
  <c r="G32" i="17"/>
  <c r="F32" i="17"/>
  <c r="E32" i="17"/>
  <c r="D32" i="17"/>
  <c r="C32" i="17"/>
  <c r="H31" i="17"/>
  <c r="G31" i="17"/>
  <c r="F31" i="17"/>
  <c r="E31" i="17"/>
  <c r="D31" i="17"/>
  <c r="C31" i="17"/>
  <c r="H28" i="17"/>
  <c r="G28" i="17"/>
  <c r="F28" i="17"/>
  <c r="E28" i="17"/>
  <c r="D28" i="17"/>
  <c r="C28" i="17"/>
  <c r="H27" i="17"/>
  <c r="G27" i="17"/>
  <c r="F27" i="17"/>
  <c r="E27" i="17"/>
  <c r="D27" i="17"/>
  <c r="C27" i="17"/>
  <c r="H26" i="17"/>
  <c r="G26" i="17"/>
  <c r="F26" i="17"/>
  <c r="E26" i="17"/>
  <c r="D26" i="17"/>
  <c r="C26" i="17"/>
  <c r="H25" i="17"/>
  <c r="G25" i="17"/>
  <c r="F25" i="17"/>
  <c r="E25" i="17"/>
  <c r="D25" i="17"/>
  <c r="C25" i="17"/>
  <c r="H24" i="17"/>
  <c r="G24" i="17"/>
  <c r="F24" i="17"/>
  <c r="E24" i="17"/>
  <c r="D24" i="17"/>
  <c r="C24" i="17"/>
  <c r="H23" i="17"/>
  <c r="G23" i="17"/>
  <c r="F23" i="17"/>
  <c r="E23" i="17"/>
  <c r="D23" i="17"/>
  <c r="C23" i="17"/>
  <c r="H22" i="17"/>
  <c r="G22" i="17"/>
  <c r="F22" i="17"/>
  <c r="E22" i="17"/>
  <c r="D22" i="17"/>
  <c r="C22" i="17"/>
  <c r="H21" i="17"/>
  <c r="G21" i="17"/>
  <c r="F21" i="17"/>
  <c r="E21" i="17"/>
  <c r="D21" i="17"/>
  <c r="C21" i="17"/>
  <c r="H20" i="17"/>
  <c r="G20" i="17"/>
  <c r="F20" i="17"/>
  <c r="E20" i="17"/>
  <c r="D20" i="17"/>
  <c r="C20" i="17"/>
  <c r="H19" i="17"/>
  <c r="G19" i="17"/>
  <c r="F19" i="17"/>
  <c r="E19" i="17"/>
  <c r="D19" i="17"/>
  <c r="C19" i="17"/>
  <c r="H18" i="17"/>
  <c r="G18" i="17"/>
  <c r="F18" i="17"/>
  <c r="E18" i="17"/>
  <c r="D18" i="17"/>
  <c r="C18" i="17"/>
  <c r="H17" i="17"/>
  <c r="G17" i="17"/>
  <c r="F17" i="17"/>
  <c r="E17" i="17"/>
  <c r="D17" i="17"/>
  <c r="C17" i="17"/>
  <c r="H16" i="17"/>
  <c r="G16" i="17"/>
  <c r="F16" i="17"/>
  <c r="E16" i="17"/>
  <c r="D16" i="17"/>
  <c r="C16" i="17"/>
  <c r="H15" i="17"/>
  <c r="G15" i="17"/>
  <c r="F15" i="17"/>
  <c r="E15" i="17"/>
  <c r="D15" i="17"/>
  <c r="C15" i="17"/>
  <c r="H14" i="17"/>
  <c r="G14" i="17"/>
  <c r="F14" i="17"/>
  <c r="E14" i="17"/>
  <c r="D14" i="17"/>
  <c r="C14" i="17"/>
  <c r="H13" i="17"/>
  <c r="G13" i="17"/>
  <c r="F13" i="17"/>
  <c r="E13" i="17"/>
  <c r="D13" i="17"/>
  <c r="C13" i="17"/>
  <c r="H12" i="17"/>
  <c r="G12" i="17"/>
  <c r="F12" i="17"/>
  <c r="E12" i="17"/>
  <c r="D12" i="17"/>
  <c r="C12" i="17"/>
  <c r="H10" i="17"/>
  <c r="G10" i="17"/>
  <c r="F10" i="17"/>
  <c r="E10" i="17"/>
  <c r="D10" i="17"/>
  <c r="C10" i="17"/>
  <c r="H9" i="17"/>
  <c r="G9" i="17"/>
  <c r="F9" i="17"/>
  <c r="E9" i="17"/>
  <c r="D9" i="17"/>
  <c r="C9" i="17"/>
  <c r="AG4" i="13" l="1"/>
  <c r="AG5" i="13"/>
  <c r="AG6" i="13"/>
  <c r="AG7" i="13"/>
  <c r="AG8" i="13"/>
  <c r="AG9" i="13"/>
  <c r="AG10" i="13"/>
  <c r="AG11" i="13"/>
  <c r="AG12" i="13"/>
  <c r="AG13" i="13"/>
  <c r="AG14" i="13"/>
  <c r="AG15" i="13"/>
  <c r="AG16" i="13"/>
  <c r="AG17" i="13"/>
  <c r="AG18" i="13"/>
  <c r="AG19" i="13"/>
  <c r="AG20" i="13"/>
  <c r="AG21" i="13"/>
  <c r="AG22" i="13"/>
  <c r="AG23" i="13"/>
  <c r="AG24" i="13"/>
  <c r="AG25" i="13"/>
  <c r="AG26" i="13"/>
  <c r="AG27" i="13"/>
  <c r="AG28" i="13"/>
  <c r="AG29" i="13"/>
  <c r="AG30" i="13"/>
  <c r="AG31" i="13"/>
  <c r="AG32" i="13"/>
  <c r="AG33" i="13"/>
  <c r="AG34" i="13"/>
  <c r="AG35" i="13"/>
  <c r="AG36" i="13"/>
  <c r="AG37" i="13"/>
  <c r="AG38" i="13"/>
  <c r="AG39" i="13"/>
  <c r="AG40" i="13"/>
  <c r="AG41" i="13"/>
  <c r="AG42" i="13"/>
  <c r="AG43" i="13"/>
  <c r="AG44" i="13"/>
  <c r="AG45" i="13"/>
  <c r="AG46" i="13"/>
  <c r="AG47" i="13"/>
  <c r="AG48" i="13"/>
  <c r="AG49" i="13"/>
  <c r="AG50" i="13"/>
  <c r="AG51" i="13"/>
  <c r="AG52" i="13"/>
  <c r="AG53" i="13"/>
  <c r="AG54" i="13"/>
  <c r="AG55" i="13"/>
  <c r="AG56" i="13"/>
  <c r="AG57" i="13"/>
  <c r="AG58" i="13"/>
  <c r="AG59" i="13"/>
  <c r="AG60" i="13"/>
  <c r="AG61" i="13"/>
  <c r="AG62" i="13"/>
  <c r="AG63" i="13"/>
  <c r="AG4" i="26"/>
  <c r="AG5" i="26"/>
  <c r="AG6" i="26"/>
  <c r="AG7" i="26"/>
  <c r="AG8" i="26"/>
  <c r="AG9" i="26"/>
  <c r="AG10" i="26"/>
  <c r="AG11" i="26"/>
  <c r="AG12" i="26"/>
  <c r="AG13" i="26"/>
  <c r="AG14" i="26"/>
  <c r="AG15" i="26"/>
  <c r="AG16" i="26"/>
  <c r="AG17" i="26"/>
  <c r="AG18" i="26"/>
  <c r="AG19" i="26"/>
  <c r="AG20" i="26"/>
  <c r="AG21" i="26"/>
  <c r="AG22" i="26"/>
  <c r="AG23" i="26"/>
  <c r="AG24" i="26"/>
  <c r="AG25" i="26"/>
  <c r="AG26" i="26"/>
  <c r="AG27" i="26"/>
  <c r="AG28" i="26"/>
  <c r="AG29" i="26"/>
  <c r="AG30" i="26"/>
  <c r="AG31" i="26"/>
  <c r="AG32" i="26"/>
  <c r="AG33" i="26"/>
  <c r="AG34" i="26"/>
  <c r="AG35" i="26"/>
  <c r="AG36" i="26"/>
  <c r="AG37" i="26"/>
  <c r="AG38" i="26"/>
  <c r="AG39" i="26"/>
  <c r="AG40" i="26"/>
  <c r="AG41" i="26"/>
  <c r="AG42" i="26"/>
  <c r="AG43" i="26"/>
  <c r="AG44" i="26"/>
  <c r="AG45" i="26"/>
  <c r="AG46" i="26"/>
  <c r="AG47" i="26"/>
  <c r="AG48" i="26"/>
  <c r="AG49" i="26"/>
  <c r="AG50" i="26"/>
  <c r="AG51" i="26"/>
  <c r="AG52" i="26"/>
  <c r="AG53" i="26"/>
  <c r="AG54" i="26"/>
  <c r="AG55" i="26"/>
  <c r="AG56" i="26"/>
  <c r="AG57" i="26"/>
  <c r="AG58" i="26"/>
  <c r="AG59" i="26"/>
  <c r="AG60" i="26"/>
  <c r="AG61" i="26"/>
  <c r="AG62" i="26"/>
  <c r="AG52" i="25"/>
  <c r="AG38" i="25"/>
  <c r="AG23" i="25"/>
  <c r="AG5" i="25"/>
  <c r="AG52" i="24"/>
  <c r="AG38" i="24"/>
  <c r="AG23" i="24"/>
  <c r="AG5" i="24"/>
  <c r="AG52" i="22"/>
  <c r="AG38" i="22"/>
  <c r="AG23" i="22"/>
  <c r="AG5" i="22"/>
  <c r="AG52" i="21"/>
  <c r="AG38" i="21"/>
  <c r="AG23" i="21"/>
  <c r="AG5" i="21"/>
  <c r="AG52" i="20"/>
  <c r="AG38" i="20"/>
  <c r="AG23" i="20"/>
  <c r="AG5" i="20"/>
  <c r="AG52" i="19"/>
  <c r="AG38" i="19"/>
  <c r="AG23" i="19"/>
  <c r="AG5" i="19"/>
  <c r="AG52" i="18"/>
  <c r="AG38" i="18"/>
  <c r="AG23" i="18"/>
  <c r="AG5" i="18"/>
  <c r="AF23" i="10"/>
  <c r="AF5" i="10"/>
  <c r="AF52" i="10"/>
  <c r="AE52" i="10"/>
  <c r="AG52" i="10"/>
  <c r="AF38" i="10"/>
  <c r="AE38" i="10"/>
  <c r="AG38" i="10"/>
  <c r="AE23" i="10"/>
  <c r="AG23" i="10"/>
  <c r="AD23" i="10"/>
  <c r="AG5" i="10"/>
  <c r="AG52" i="9"/>
  <c r="AG38" i="9"/>
  <c r="AG23" i="9"/>
  <c r="AG5" i="9"/>
  <c r="AF52" i="5"/>
  <c r="AG52" i="5"/>
  <c r="AF38" i="5"/>
  <c r="AG38" i="5"/>
  <c r="AF23" i="5"/>
  <c r="AG23" i="5"/>
  <c r="AG5" i="5"/>
  <c r="AG52" i="4"/>
  <c r="AG38" i="4"/>
  <c r="AG23" i="4"/>
  <c r="AG5" i="4"/>
  <c r="AG52" i="3"/>
  <c r="AG38" i="3"/>
  <c r="AG23" i="3"/>
  <c r="AG5" i="3"/>
  <c r="AG52" i="2"/>
  <c r="AG38" i="2"/>
  <c r="AG23" i="2"/>
  <c r="AG5" i="2"/>
  <c r="AG52" i="1"/>
  <c r="AG38" i="1"/>
  <c r="AG23" i="1"/>
  <c r="AG5" i="1"/>
  <c r="AG4" i="25" l="1"/>
  <c r="AG4" i="24"/>
  <c r="AG4" i="22"/>
  <c r="AG4" i="21"/>
  <c r="AG4" i="20"/>
  <c r="AG4" i="19"/>
  <c r="AG4" i="18"/>
  <c r="AG4" i="10"/>
  <c r="AG4" i="9"/>
  <c r="AG4" i="5"/>
  <c r="AG4" i="4"/>
  <c r="AG4" i="3"/>
  <c r="AG4" i="2"/>
  <c r="AG4" i="1"/>
  <c r="AF6" i="13" l="1"/>
  <c r="AF7" i="13"/>
  <c r="AF8" i="13"/>
  <c r="AF9" i="13"/>
  <c r="AF10" i="13"/>
  <c r="AF11" i="13"/>
  <c r="AF12" i="13"/>
  <c r="AF13" i="13"/>
  <c r="AF14" i="13"/>
  <c r="AF15" i="13"/>
  <c r="AF16" i="13"/>
  <c r="AF17" i="13"/>
  <c r="AF18" i="13"/>
  <c r="AF19" i="13"/>
  <c r="AF20" i="13"/>
  <c r="AF21" i="13"/>
  <c r="AF22" i="13"/>
  <c r="AF24" i="13"/>
  <c r="AF25" i="13"/>
  <c r="AF26" i="13"/>
  <c r="AF27" i="13"/>
  <c r="AF28" i="13"/>
  <c r="AF29" i="13"/>
  <c r="AF30" i="13"/>
  <c r="AF31" i="13"/>
  <c r="AF32" i="13"/>
  <c r="AF33" i="13"/>
  <c r="AF34" i="13"/>
  <c r="AF35" i="13"/>
  <c r="AF36" i="13"/>
  <c r="AF37" i="13"/>
  <c r="AF39" i="13"/>
  <c r="AF40" i="13"/>
  <c r="AF41" i="13"/>
  <c r="AF42" i="13"/>
  <c r="AF43" i="13"/>
  <c r="AF44" i="13"/>
  <c r="AF45" i="13"/>
  <c r="AF46" i="13"/>
  <c r="AF47" i="13"/>
  <c r="AF48" i="13"/>
  <c r="AF49" i="13"/>
  <c r="AF50" i="13"/>
  <c r="AF51" i="13"/>
  <c r="AF53" i="13"/>
  <c r="AF54" i="13"/>
  <c r="AF55" i="13"/>
  <c r="AF56" i="13"/>
  <c r="AF57" i="13"/>
  <c r="AF58" i="13"/>
  <c r="AF59" i="13"/>
  <c r="AF60" i="13"/>
  <c r="AF61" i="13"/>
  <c r="AF62" i="13"/>
  <c r="AF63" i="13"/>
  <c r="AF6" i="26"/>
  <c r="AF7" i="26"/>
  <c r="AF8" i="26"/>
  <c r="AF9" i="26"/>
  <c r="AF10" i="26"/>
  <c r="AF11" i="26"/>
  <c r="AF12" i="26"/>
  <c r="AF13" i="26"/>
  <c r="AF14" i="26"/>
  <c r="AF15" i="26"/>
  <c r="AF16" i="26"/>
  <c r="AF17" i="26"/>
  <c r="AF18" i="26"/>
  <c r="AF19" i="26"/>
  <c r="AF20" i="26"/>
  <c r="AF21" i="26"/>
  <c r="AF22" i="26"/>
  <c r="AF24" i="26"/>
  <c r="AF25" i="26"/>
  <c r="AF26" i="26"/>
  <c r="AF27" i="26"/>
  <c r="AF28" i="26"/>
  <c r="AF29" i="26"/>
  <c r="AF30" i="26"/>
  <c r="AF31" i="26"/>
  <c r="AF32" i="26"/>
  <c r="AF33" i="26"/>
  <c r="AF34" i="26"/>
  <c r="AF35" i="26"/>
  <c r="AF36" i="26"/>
  <c r="AF37" i="26"/>
  <c r="AF39" i="26"/>
  <c r="AF40" i="26"/>
  <c r="AF41" i="26"/>
  <c r="AF42" i="26"/>
  <c r="AF43" i="26"/>
  <c r="AF44" i="26"/>
  <c r="AF45" i="26"/>
  <c r="AF46" i="26"/>
  <c r="AF47" i="26"/>
  <c r="AF48" i="26"/>
  <c r="AF49" i="26"/>
  <c r="AF50" i="26"/>
  <c r="AF51" i="26"/>
  <c r="AF53" i="26"/>
  <c r="AF54" i="26"/>
  <c r="AF55" i="26"/>
  <c r="AF56" i="26"/>
  <c r="AF57" i="26"/>
  <c r="AF58" i="26"/>
  <c r="AF59" i="26"/>
  <c r="AF60" i="26"/>
  <c r="AF61" i="26"/>
  <c r="AF62" i="26"/>
  <c r="AF52" i="25"/>
  <c r="AF38" i="25"/>
  <c r="AF23" i="25"/>
  <c r="AF5" i="25"/>
  <c r="AF52" i="24"/>
  <c r="AF38" i="24"/>
  <c r="AF23" i="24"/>
  <c r="AF5" i="24"/>
  <c r="AF5" i="22"/>
  <c r="AF23" i="22"/>
  <c r="AF38" i="22"/>
  <c r="AF38" i="26" s="1"/>
  <c r="AF52" i="22"/>
  <c r="AF5" i="21"/>
  <c r="AF4" i="21" s="1"/>
  <c r="AF23" i="21"/>
  <c r="AF38" i="21"/>
  <c r="AF52" i="21"/>
  <c r="AF5" i="20"/>
  <c r="AF23" i="20"/>
  <c r="AF38" i="20"/>
  <c r="AF52" i="20"/>
  <c r="AF52" i="26" s="1"/>
  <c r="AF52" i="19"/>
  <c r="AF38" i="19"/>
  <c r="AF23" i="19"/>
  <c r="AF5" i="19"/>
  <c r="AF52" i="18"/>
  <c r="AF38" i="18"/>
  <c r="AF23" i="18"/>
  <c r="AF5" i="18"/>
  <c r="AF4" i="22" l="1"/>
  <c r="AF4" i="20"/>
  <c r="AF5" i="26"/>
  <c r="AF4" i="18"/>
  <c r="AF23" i="26"/>
  <c r="AF4" i="25"/>
  <c r="AF4" i="24"/>
  <c r="AF4" i="19"/>
  <c r="AF4" i="10"/>
  <c r="AF4" i="26" l="1"/>
  <c r="AF52" i="9"/>
  <c r="AF38" i="9"/>
  <c r="AF23" i="9"/>
  <c r="AF5" i="9"/>
  <c r="AF4" i="9" l="1"/>
  <c r="AF5" i="5" l="1"/>
  <c r="AF5" i="4"/>
  <c r="AF4" i="4" s="1"/>
  <c r="AF23" i="4"/>
  <c r="AF38" i="4"/>
  <c r="AF52" i="4"/>
  <c r="AF5" i="3"/>
  <c r="AF4" i="3" s="1"/>
  <c r="AF23" i="3"/>
  <c r="AF38" i="3"/>
  <c r="AF52" i="3"/>
  <c r="AG24" i="3"/>
  <c r="AG39" i="3"/>
  <c r="AF52" i="2"/>
  <c r="AF38" i="2"/>
  <c r="AF23" i="2"/>
  <c r="AF5" i="2"/>
  <c r="AF5" i="1"/>
  <c r="AF4" i="1" s="1"/>
  <c r="AF23" i="1"/>
  <c r="AF38" i="1"/>
  <c r="AF52" i="1"/>
  <c r="AF23" i="13" l="1"/>
  <c r="AF38" i="13"/>
  <c r="AF52" i="13"/>
  <c r="AF5" i="13"/>
  <c r="AF4" i="5"/>
  <c r="AF4" i="2"/>
  <c r="AD5" i="20"/>
  <c r="AE5" i="20"/>
  <c r="AE5" i="3"/>
  <c r="AD5" i="24"/>
  <c r="AE5" i="24"/>
  <c r="AD5" i="21"/>
  <c r="AE5" i="21"/>
  <c r="AE4" i="21" s="1"/>
  <c r="AD23" i="21"/>
  <c r="AE23" i="21"/>
  <c r="AD38" i="21"/>
  <c r="AE38" i="21"/>
  <c r="AD52" i="21"/>
  <c r="AE52" i="21"/>
  <c r="AD5" i="9"/>
  <c r="AE5" i="9"/>
  <c r="AD23" i="9"/>
  <c r="AE23" i="9"/>
  <c r="AD38" i="9"/>
  <c r="AE38" i="9"/>
  <c r="AD52" i="9"/>
  <c r="AE52" i="9"/>
  <c r="AF4" i="13" l="1"/>
  <c r="AE4" i="9"/>
  <c r="AD4" i="9"/>
  <c r="AD4" i="21"/>
  <c r="AD23" i="2"/>
  <c r="AE23" i="2"/>
  <c r="AD38" i="2"/>
  <c r="AE38" i="2"/>
  <c r="AD52" i="2"/>
  <c r="AE52" i="2"/>
  <c r="AD5" i="2"/>
  <c r="AE5" i="2"/>
  <c r="AD6" i="26"/>
  <c r="AE6" i="26"/>
  <c r="AD7" i="26"/>
  <c r="AE7" i="26"/>
  <c r="AD8" i="26"/>
  <c r="AE8" i="26"/>
  <c r="AD9" i="26"/>
  <c r="AE9" i="26"/>
  <c r="AD10" i="26"/>
  <c r="AE10" i="26"/>
  <c r="AD11" i="26"/>
  <c r="AE11" i="26"/>
  <c r="AD12" i="26"/>
  <c r="AE12" i="26"/>
  <c r="AD13" i="26"/>
  <c r="AE13" i="26"/>
  <c r="AD14" i="26"/>
  <c r="AE14" i="26"/>
  <c r="AD15" i="26"/>
  <c r="AE15" i="26"/>
  <c r="AD16" i="26"/>
  <c r="AE16" i="26"/>
  <c r="AD17" i="26"/>
  <c r="AE17" i="26"/>
  <c r="AD18" i="26"/>
  <c r="AE18" i="26"/>
  <c r="AD19" i="26"/>
  <c r="AE19" i="26"/>
  <c r="AD20" i="26"/>
  <c r="AE20" i="26"/>
  <c r="AD21" i="26"/>
  <c r="AE21" i="26"/>
  <c r="AD22" i="26"/>
  <c r="AE22" i="26"/>
  <c r="AD24" i="26"/>
  <c r="AE24" i="26"/>
  <c r="AD25" i="26"/>
  <c r="AE25" i="26"/>
  <c r="AD26" i="26"/>
  <c r="AE26" i="26"/>
  <c r="AD27" i="26"/>
  <c r="AE27" i="26"/>
  <c r="AD28" i="26"/>
  <c r="AE28" i="26"/>
  <c r="AD29" i="26"/>
  <c r="AE29" i="26"/>
  <c r="AD30" i="26"/>
  <c r="AE30" i="26"/>
  <c r="AD31" i="26"/>
  <c r="AE31" i="26"/>
  <c r="AD32" i="26"/>
  <c r="AE32" i="26"/>
  <c r="AD33" i="26"/>
  <c r="AE33" i="26"/>
  <c r="AD34" i="26"/>
  <c r="AE34" i="26"/>
  <c r="AD35" i="26"/>
  <c r="AE35" i="26"/>
  <c r="AD36" i="26"/>
  <c r="AE36" i="26"/>
  <c r="AD37" i="26"/>
  <c r="AE37" i="26"/>
  <c r="AD39" i="26"/>
  <c r="AE39" i="26"/>
  <c r="AD40" i="26"/>
  <c r="AE40" i="26"/>
  <c r="AD41" i="26"/>
  <c r="AE41" i="26"/>
  <c r="AD42" i="26"/>
  <c r="AE42" i="26"/>
  <c r="AD43" i="26"/>
  <c r="AE43" i="26"/>
  <c r="AD44" i="26"/>
  <c r="AE44" i="26"/>
  <c r="AD45" i="26"/>
  <c r="AE45" i="26"/>
  <c r="AD46" i="26"/>
  <c r="AE46" i="26"/>
  <c r="AD47" i="26"/>
  <c r="AE47" i="26"/>
  <c r="AD48" i="26"/>
  <c r="AE48" i="26"/>
  <c r="AD49" i="26"/>
  <c r="AE49" i="26"/>
  <c r="AD50" i="26"/>
  <c r="AE50" i="26"/>
  <c r="AD51" i="26"/>
  <c r="AE51" i="26"/>
  <c r="AD53" i="26"/>
  <c r="AE53" i="26"/>
  <c r="AD54" i="26"/>
  <c r="AE54" i="26"/>
  <c r="AD55" i="26"/>
  <c r="AE55" i="26"/>
  <c r="AD56" i="26"/>
  <c r="AE56" i="26"/>
  <c r="AD57" i="26"/>
  <c r="AE57" i="26"/>
  <c r="AD58" i="26"/>
  <c r="AE58" i="26"/>
  <c r="AD59" i="26"/>
  <c r="AE59" i="26"/>
  <c r="AD60" i="26"/>
  <c r="AE60" i="26"/>
  <c r="AD61" i="26"/>
  <c r="AE61" i="26"/>
  <c r="AD62" i="26"/>
  <c r="AE62" i="26"/>
  <c r="AD63" i="26"/>
  <c r="AE63" i="26"/>
  <c r="AD23" i="25"/>
  <c r="AE23" i="25"/>
  <c r="AD52" i="25"/>
  <c r="AE52" i="25"/>
  <c r="AD38" i="25"/>
  <c r="AE38" i="25"/>
  <c r="AD5" i="25"/>
  <c r="AE5" i="25"/>
  <c r="AD52" i="24"/>
  <c r="AE52" i="24"/>
  <c r="AD38" i="24"/>
  <c r="AE38" i="24"/>
  <c r="AD23" i="24"/>
  <c r="AE23" i="24"/>
  <c r="AE4" i="24" s="1"/>
  <c r="AD23" i="22"/>
  <c r="AD38" i="22"/>
  <c r="AE38" i="22"/>
  <c r="AD52" i="22"/>
  <c r="AE52" i="22"/>
  <c r="AE23" i="22"/>
  <c r="AD5" i="22"/>
  <c r="AE5" i="22"/>
  <c r="AD23" i="20"/>
  <c r="AE23" i="20"/>
  <c r="AE4" i="20" s="1"/>
  <c r="AD38" i="20"/>
  <c r="AE38" i="20"/>
  <c r="AD52" i="20"/>
  <c r="AE52" i="20"/>
  <c r="AD52" i="19"/>
  <c r="AE52" i="19"/>
  <c r="AD38" i="19"/>
  <c r="AE38" i="19"/>
  <c r="AD23" i="19"/>
  <c r="AE23" i="19"/>
  <c r="AD5" i="19"/>
  <c r="AE5" i="19"/>
  <c r="AD6" i="13"/>
  <c r="AE6" i="13"/>
  <c r="AD7" i="13"/>
  <c r="AE7" i="13"/>
  <c r="AD8" i="13"/>
  <c r="AE8" i="13"/>
  <c r="AD9" i="13"/>
  <c r="AE9" i="13"/>
  <c r="AD10" i="13"/>
  <c r="AE10" i="13"/>
  <c r="AD11" i="13"/>
  <c r="AE11" i="13"/>
  <c r="AD12" i="13"/>
  <c r="AE12" i="13"/>
  <c r="AD13" i="13"/>
  <c r="AE13" i="13"/>
  <c r="AD14" i="13"/>
  <c r="AE14" i="13"/>
  <c r="AD15" i="13"/>
  <c r="AE15" i="13"/>
  <c r="AD16" i="13"/>
  <c r="AE16" i="13"/>
  <c r="AD17" i="13"/>
  <c r="AE17" i="13"/>
  <c r="AD18" i="13"/>
  <c r="AE18" i="13"/>
  <c r="AD19" i="13"/>
  <c r="AE19" i="13"/>
  <c r="AD20" i="13"/>
  <c r="AE20" i="13"/>
  <c r="AD21" i="13"/>
  <c r="AE21" i="13"/>
  <c r="AD22" i="13"/>
  <c r="AE22" i="13"/>
  <c r="AD24" i="13"/>
  <c r="AE24" i="13"/>
  <c r="AD25" i="13"/>
  <c r="AE25" i="13"/>
  <c r="AD26" i="13"/>
  <c r="AE26" i="13"/>
  <c r="AD27" i="13"/>
  <c r="AE27" i="13"/>
  <c r="AD28" i="13"/>
  <c r="AE28" i="13"/>
  <c r="AD29" i="13"/>
  <c r="AE29" i="13"/>
  <c r="AD30" i="13"/>
  <c r="AE30" i="13"/>
  <c r="AD31" i="13"/>
  <c r="AE31" i="13"/>
  <c r="AD32" i="13"/>
  <c r="AE32" i="13"/>
  <c r="AD33" i="13"/>
  <c r="AE33" i="13"/>
  <c r="AD34" i="13"/>
  <c r="AE34" i="13"/>
  <c r="AD35" i="13"/>
  <c r="AE35" i="13"/>
  <c r="AD36" i="13"/>
  <c r="AE36" i="13"/>
  <c r="AD37" i="13"/>
  <c r="AE37" i="13"/>
  <c r="AD39" i="13"/>
  <c r="AE39" i="13"/>
  <c r="AD40" i="13"/>
  <c r="AE40" i="13"/>
  <c r="AD41" i="13"/>
  <c r="AE41" i="13"/>
  <c r="AD42" i="13"/>
  <c r="AE42" i="13"/>
  <c r="AD43" i="13"/>
  <c r="AE43" i="13"/>
  <c r="AD44" i="13"/>
  <c r="AE44" i="13"/>
  <c r="AD45" i="13"/>
  <c r="AE45" i="13"/>
  <c r="AD46" i="13"/>
  <c r="AE46" i="13"/>
  <c r="AD47" i="13"/>
  <c r="AE47" i="13"/>
  <c r="AD48" i="13"/>
  <c r="AE48" i="13"/>
  <c r="AD49" i="13"/>
  <c r="AE49" i="13"/>
  <c r="AD50" i="13"/>
  <c r="AE50" i="13"/>
  <c r="AD51" i="13"/>
  <c r="AE51" i="13"/>
  <c r="AD53" i="13"/>
  <c r="AE53" i="13"/>
  <c r="AD54" i="13"/>
  <c r="AE54" i="13"/>
  <c r="AD55" i="13"/>
  <c r="AE55" i="13"/>
  <c r="AD56" i="13"/>
  <c r="AE56" i="13"/>
  <c r="AD57" i="13"/>
  <c r="AE57" i="13"/>
  <c r="AD58" i="13"/>
  <c r="AE58" i="13"/>
  <c r="AD59" i="13"/>
  <c r="AE59" i="13"/>
  <c r="AD60" i="13"/>
  <c r="AE60" i="13"/>
  <c r="AD61" i="13"/>
  <c r="AE61" i="13"/>
  <c r="AD62" i="13"/>
  <c r="AE62" i="13"/>
  <c r="AD63" i="13"/>
  <c r="AE63" i="13"/>
  <c r="AD52" i="10"/>
  <c r="AD38" i="10"/>
  <c r="AD52" i="5"/>
  <c r="AD38" i="5"/>
  <c r="AD23" i="5"/>
  <c r="AD52" i="4"/>
  <c r="AD38" i="4"/>
  <c r="AD23" i="4"/>
  <c r="AD4" i="20" l="1"/>
  <c r="AD4" i="24"/>
  <c r="AE4" i="22"/>
  <c r="AE4" i="2"/>
  <c r="AD4" i="2"/>
  <c r="AD4" i="25"/>
  <c r="AE4" i="25"/>
  <c r="AD4" i="22"/>
  <c r="AE4" i="19"/>
  <c r="AD4" i="19"/>
  <c r="AD52" i="18" l="1"/>
  <c r="AD52" i="26" s="1"/>
  <c r="AE52" i="18"/>
  <c r="AD38" i="18"/>
  <c r="AD38" i="26" s="1"/>
  <c r="AE38" i="18"/>
  <c r="AD23" i="18"/>
  <c r="AD23" i="26" s="1"/>
  <c r="AE23" i="18"/>
  <c r="AD5" i="18"/>
  <c r="AD5" i="26" s="1"/>
  <c r="AE5" i="18"/>
  <c r="AD5" i="10"/>
  <c r="AE5" i="10"/>
  <c r="AE52" i="5"/>
  <c r="AE38" i="5"/>
  <c r="AE23" i="5"/>
  <c r="AD5" i="5"/>
  <c r="AE5" i="5"/>
  <c r="AE23" i="26" l="1"/>
  <c r="AE52" i="26"/>
  <c r="AE38" i="26"/>
  <c r="AE5" i="26"/>
  <c r="AE4" i="10"/>
  <c r="AE4" i="18"/>
  <c r="AD4" i="18"/>
  <c r="AD4" i="26" s="1"/>
  <c r="AD4" i="10"/>
  <c r="AD4" i="5"/>
  <c r="AE4" i="5"/>
  <c r="AE52" i="4"/>
  <c r="AE38" i="4"/>
  <c r="AE23" i="4"/>
  <c r="AD5" i="4"/>
  <c r="AE5" i="4"/>
  <c r="AD52" i="3"/>
  <c r="AE52" i="3"/>
  <c r="AD38" i="3"/>
  <c r="AE38" i="3"/>
  <c r="AD23" i="3"/>
  <c r="AE23" i="3"/>
  <c r="AD5" i="3"/>
  <c r="AD52" i="1"/>
  <c r="AE52" i="1"/>
  <c r="AD38" i="1"/>
  <c r="AE38" i="1"/>
  <c r="AD23" i="1"/>
  <c r="AE23" i="1"/>
  <c r="AE23" i="13" s="1"/>
  <c r="AD5" i="1"/>
  <c r="AE5" i="1"/>
  <c r="AD23" i="13" l="1"/>
  <c r="AD38" i="13"/>
  <c r="AE38" i="13"/>
  <c r="AD52" i="13"/>
  <c r="AE5" i="13"/>
  <c r="AE4" i="26"/>
  <c r="AE52" i="13"/>
  <c r="AD5" i="13"/>
  <c r="AE4" i="3"/>
  <c r="AE4" i="4"/>
  <c r="AD4" i="4"/>
  <c r="AD4" i="3"/>
  <c r="AE4" i="1"/>
  <c r="AD4" i="1"/>
  <c r="AC68" i="17"/>
  <c r="AE4" i="13" l="1"/>
  <c r="AD4" i="13"/>
  <c r="K59" i="16"/>
  <c r="K45" i="16"/>
  <c r="K30" i="16"/>
  <c r="K12" i="16"/>
  <c r="AC6" i="26" l="1"/>
  <c r="AC7" i="26"/>
  <c r="AC8" i="26"/>
  <c r="AC9" i="26"/>
  <c r="AC10" i="26"/>
  <c r="AC11" i="26"/>
  <c r="AC12" i="26"/>
  <c r="AC13" i="26"/>
  <c r="AC14" i="26"/>
  <c r="AC15" i="26"/>
  <c r="AC16" i="26"/>
  <c r="AC17" i="26"/>
  <c r="AC18" i="26"/>
  <c r="AC19" i="26"/>
  <c r="AC20" i="26"/>
  <c r="AC21" i="26"/>
  <c r="AC22" i="26"/>
  <c r="AC24" i="26"/>
  <c r="AC25" i="26"/>
  <c r="AC26" i="26"/>
  <c r="AC27" i="26"/>
  <c r="AC28" i="26"/>
  <c r="AC29" i="26"/>
  <c r="AC30" i="26"/>
  <c r="AC31" i="26"/>
  <c r="AC32" i="26"/>
  <c r="AC33" i="26"/>
  <c r="AC34" i="26"/>
  <c r="AC35" i="26"/>
  <c r="AC36" i="26"/>
  <c r="AC37" i="26"/>
  <c r="AC39" i="26"/>
  <c r="AC40" i="26"/>
  <c r="AC41" i="26"/>
  <c r="AC42" i="26"/>
  <c r="AC43" i="26"/>
  <c r="AC44" i="26"/>
  <c r="AC45" i="26"/>
  <c r="AC46" i="26"/>
  <c r="AC47" i="26"/>
  <c r="AC48" i="26"/>
  <c r="AC49" i="26"/>
  <c r="AC50" i="26"/>
  <c r="AC51" i="26"/>
  <c r="AC53" i="26"/>
  <c r="AC54" i="26"/>
  <c r="AC55" i="26"/>
  <c r="AC56" i="26"/>
  <c r="AC57" i="26"/>
  <c r="AC58" i="26"/>
  <c r="AC59" i="26"/>
  <c r="AC60" i="26"/>
  <c r="AC61" i="26"/>
  <c r="AC62" i="26"/>
  <c r="AC63" i="26"/>
  <c r="AC6" i="13"/>
  <c r="AC7" i="13"/>
  <c r="AC8" i="13"/>
  <c r="AC9" i="13"/>
  <c r="AC10" i="13"/>
  <c r="AC11" i="13"/>
  <c r="AC12" i="13"/>
  <c r="AC13" i="13"/>
  <c r="AC14" i="13"/>
  <c r="AC15" i="13"/>
  <c r="AC16" i="13"/>
  <c r="AC17" i="13"/>
  <c r="AC18" i="13"/>
  <c r="AC19" i="13"/>
  <c r="AC20" i="13"/>
  <c r="AC21" i="13"/>
  <c r="AC22" i="13"/>
  <c r="AC24" i="13"/>
  <c r="AC25" i="13"/>
  <c r="AC26" i="13"/>
  <c r="AC27" i="13"/>
  <c r="AC28" i="13"/>
  <c r="AC29" i="13"/>
  <c r="AC30" i="13"/>
  <c r="AC31" i="13"/>
  <c r="AC32" i="13"/>
  <c r="AC33" i="13"/>
  <c r="AC34" i="13"/>
  <c r="AC35" i="13"/>
  <c r="AC36" i="13"/>
  <c r="AC37" i="13"/>
  <c r="AC39" i="13"/>
  <c r="AC40" i="13"/>
  <c r="AC41" i="13"/>
  <c r="AC42" i="13"/>
  <c r="AC43" i="13"/>
  <c r="AC44" i="13"/>
  <c r="AC45" i="13"/>
  <c r="AC46" i="13"/>
  <c r="AC47" i="13"/>
  <c r="AC48" i="13"/>
  <c r="AC49" i="13"/>
  <c r="AC50" i="13"/>
  <c r="AC51" i="13"/>
  <c r="AC53" i="13"/>
  <c r="AC54" i="13"/>
  <c r="AC55" i="13"/>
  <c r="AC56" i="13"/>
  <c r="AC57" i="13"/>
  <c r="AC58" i="13"/>
  <c r="AC59" i="13"/>
  <c r="AC60" i="13"/>
  <c r="AC61" i="13"/>
  <c r="AC62" i="13"/>
  <c r="AC63" i="13"/>
  <c r="AC52" i="25"/>
  <c r="AC38" i="25"/>
  <c r="AC23" i="25"/>
  <c r="AC5" i="25"/>
  <c r="AC52" i="24"/>
  <c r="AC38" i="24"/>
  <c r="AC23" i="24"/>
  <c r="AC5" i="24"/>
  <c r="AC52" i="22"/>
  <c r="AC38" i="22"/>
  <c r="AC23" i="22"/>
  <c r="AC5" i="22"/>
  <c r="AC52" i="21"/>
  <c r="AC38" i="21"/>
  <c r="AC23" i="21"/>
  <c r="AC5" i="21"/>
  <c r="AC52" i="20"/>
  <c r="AC38" i="20"/>
  <c r="AC23" i="20"/>
  <c r="AC5" i="20"/>
  <c r="AC52" i="19"/>
  <c r="AC38" i="19"/>
  <c r="AC23" i="19"/>
  <c r="AC5" i="19"/>
  <c r="AC52" i="18"/>
  <c r="AC38" i="18"/>
  <c r="AC23" i="18"/>
  <c r="AC5" i="18"/>
  <c r="AC52" i="10"/>
  <c r="AC38" i="10"/>
  <c r="AC23" i="10"/>
  <c r="AC5" i="10"/>
  <c r="AC52" i="9"/>
  <c r="AC38" i="9"/>
  <c r="AC23" i="9"/>
  <c r="AC5" i="9"/>
  <c r="AC52" i="5"/>
  <c r="AC38" i="5"/>
  <c r="AC23" i="5"/>
  <c r="AC5" i="5"/>
  <c r="AC23" i="3"/>
  <c r="AC52" i="4"/>
  <c r="AC38" i="4"/>
  <c r="AC23" i="4"/>
  <c r="AC5" i="4"/>
  <c r="AC52" i="3"/>
  <c r="AC38" i="3"/>
  <c r="AC5" i="3"/>
  <c r="AC52" i="2"/>
  <c r="AC38" i="2"/>
  <c r="AC23" i="2"/>
  <c r="AC5" i="2"/>
  <c r="AC5" i="26" l="1"/>
  <c r="AC49" i="17"/>
  <c r="AC46" i="17"/>
  <c r="AC12" i="17"/>
  <c r="AC51" i="17"/>
  <c r="AC38" i="26"/>
  <c r="AC27" i="17"/>
  <c r="AC19" i="17"/>
  <c r="AC40" i="17"/>
  <c r="AC53" i="17"/>
  <c r="AC23" i="26"/>
  <c r="AC20" i="17"/>
  <c r="AC52" i="26"/>
  <c r="AC67" i="17"/>
  <c r="AC59" i="17"/>
  <c r="AC37" i="17"/>
  <c r="AC24" i="17"/>
  <c r="AC16" i="17"/>
  <c r="AC41" i="17"/>
  <c r="Z66" i="16"/>
  <c r="Z37" i="16"/>
  <c r="Z18" i="16"/>
  <c r="Z42" i="16"/>
  <c r="Z61" i="16"/>
  <c r="Z60" i="16"/>
  <c r="Z20" i="16"/>
  <c r="Z26" i="16"/>
  <c r="Z52" i="16"/>
  <c r="Z68" i="16"/>
  <c r="Z69" i="16"/>
  <c r="Z28" i="16"/>
  <c r="Z34" i="16"/>
  <c r="Z43" i="16"/>
  <c r="Z35" i="16"/>
  <c r="AB38" i="16"/>
  <c r="Z51" i="16"/>
  <c r="Z46" i="16"/>
  <c r="AB57" i="16"/>
  <c r="Z25" i="16"/>
  <c r="Z17" i="16"/>
  <c r="AB23" i="16"/>
  <c r="Z54" i="16"/>
  <c r="AB55" i="16"/>
  <c r="Z19" i="16"/>
  <c r="Z27" i="16"/>
  <c r="Z36" i="16"/>
  <c r="Z53" i="16"/>
  <c r="Z50" i="16"/>
  <c r="Z67" i="16"/>
  <c r="Z13" i="16"/>
  <c r="Z21" i="16"/>
  <c r="AC4" i="25"/>
  <c r="AC4" i="24"/>
  <c r="AC4" i="22"/>
  <c r="AC4" i="21"/>
  <c r="AC4" i="20"/>
  <c r="AC4" i="19"/>
  <c r="AC4" i="18"/>
  <c r="AC4" i="10"/>
  <c r="AC4" i="9"/>
  <c r="AC4" i="5"/>
  <c r="AC4" i="4"/>
  <c r="AC4" i="3"/>
  <c r="AC4" i="2"/>
  <c r="AC52" i="1"/>
  <c r="AC52" i="13" s="1"/>
  <c r="AC38" i="1"/>
  <c r="AC38" i="13" s="1"/>
  <c r="AC23" i="1"/>
  <c r="AC23" i="13" s="1"/>
  <c r="AC5" i="1"/>
  <c r="AB6" i="13"/>
  <c r="AB7" i="13"/>
  <c r="AB8" i="13"/>
  <c r="AB9" i="13"/>
  <c r="AB10" i="13"/>
  <c r="AB11" i="13"/>
  <c r="AB12" i="13"/>
  <c r="AB13" i="13"/>
  <c r="AB14" i="13"/>
  <c r="AB15" i="13"/>
  <c r="AB16" i="13"/>
  <c r="AB17" i="13"/>
  <c r="AB18" i="13"/>
  <c r="AB19" i="13"/>
  <c r="AB20" i="13"/>
  <c r="AB21" i="13"/>
  <c r="AB22" i="13"/>
  <c r="AB24" i="13"/>
  <c r="AB25" i="13"/>
  <c r="AB26" i="13"/>
  <c r="AB27" i="13"/>
  <c r="AB28" i="13"/>
  <c r="AB29" i="13"/>
  <c r="AB30" i="13"/>
  <c r="AB31" i="13"/>
  <c r="AB32" i="13"/>
  <c r="AB33" i="13"/>
  <c r="AB34" i="13"/>
  <c r="AB35" i="13"/>
  <c r="AB36" i="13"/>
  <c r="AB37" i="13"/>
  <c r="AB39" i="13"/>
  <c r="AB40" i="13"/>
  <c r="AB41" i="13"/>
  <c r="AB42" i="13"/>
  <c r="AB43" i="13"/>
  <c r="AB44" i="13"/>
  <c r="AB45" i="13"/>
  <c r="AB46" i="13"/>
  <c r="AB47" i="13"/>
  <c r="AB48" i="13"/>
  <c r="AB49" i="13"/>
  <c r="AB50" i="13"/>
  <c r="AB51" i="13"/>
  <c r="AB53" i="13"/>
  <c r="AB54" i="13"/>
  <c r="AB55" i="13"/>
  <c r="AB56" i="13"/>
  <c r="AB57" i="13"/>
  <c r="AB58" i="13"/>
  <c r="AB59" i="13"/>
  <c r="AB60" i="13"/>
  <c r="AB61" i="13"/>
  <c r="AB62" i="13"/>
  <c r="AB63" i="13"/>
  <c r="AB6" i="26"/>
  <c r="AB7" i="26"/>
  <c r="AB8" i="26"/>
  <c r="AB9" i="26"/>
  <c r="AB10" i="26"/>
  <c r="AB11" i="26"/>
  <c r="AB12" i="26"/>
  <c r="AB13" i="26"/>
  <c r="AB14" i="26"/>
  <c r="AB15" i="26"/>
  <c r="AB16" i="26"/>
  <c r="AB17" i="26"/>
  <c r="AB18" i="26"/>
  <c r="AB19" i="26"/>
  <c r="AB20" i="26"/>
  <c r="AB21" i="26"/>
  <c r="AB22" i="26"/>
  <c r="AB24" i="26"/>
  <c r="AB25" i="26"/>
  <c r="AB26" i="26"/>
  <c r="AB27" i="26"/>
  <c r="AB28" i="26"/>
  <c r="AB29" i="26"/>
  <c r="AB30" i="26"/>
  <c r="AB31" i="26"/>
  <c r="AB32" i="26"/>
  <c r="AB33" i="26"/>
  <c r="AB34" i="26"/>
  <c r="AB35" i="26"/>
  <c r="AB36" i="26"/>
  <c r="AB37" i="26"/>
  <c r="AB39" i="26"/>
  <c r="AB40" i="26"/>
  <c r="AB41" i="26"/>
  <c r="AB42" i="26"/>
  <c r="AB43" i="26"/>
  <c r="AB44" i="26"/>
  <c r="AB45" i="26"/>
  <c r="AB46" i="26"/>
  <c r="AB47" i="26"/>
  <c r="AB48" i="26"/>
  <c r="AB49" i="26"/>
  <c r="AB50" i="26"/>
  <c r="AB51" i="26"/>
  <c r="AB53" i="26"/>
  <c r="AB54" i="26"/>
  <c r="AB55" i="26"/>
  <c r="AB56" i="26"/>
  <c r="AB57" i="26"/>
  <c r="AB58" i="26"/>
  <c r="AB59" i="26"/>
  <c r="AB60" i="26"/>
  <c r="AB61" i="26"/>
  <c r="AB62" i="26"/>
  <c r="AB63" i="26"/>
  <c r="AB52" i="10"/>
  <c r="AB38" i="10"/>
  <c r="AB23" i="10"/>
  <c r="AB5" i="10"/>
  <c r="AB52" i="9"/>
  <c r="AB38" i="9"/>
  <c r="AB23" i="9"/>
  <c r="AB5" i="9"/>
  <c r="AB52" i="5"/>
  <c r="AB38" i="5"/>
  <c r="AB23" i="5"/>
  <c r="AB5" i="5"/>
  <c r="AB52" i="4"/>
  <c r="AB38" i="4"/>
  <c r="AB23" i="4"/>
  <c r="AB5" i="4"/>
  <c r="AB52" i="3"/>
  <c r="AB38" i="3"/>
  <c r="AB23" i="3"/>
  <c r="AB5" i="3"/>
  <c r="AB52" i="2"/>
  <c r="AB38" i="2"/>
  <c r="AB23" i="2"/>
  <c r="AB5" i="2"/>
  <c r="AB52" i="1"/>
  <c r="AB38" i="1"/>
  <c r="AB23" i="1"/>
  <c r="AB52" i="18"/>
  <c r="AB38" i="18"/>
  <c r="AB23" i="18"/>
  <c r="AB5" i="18"/>
  <c r="AB52" i="19"/>
  <c r="AB38" i="19"/>
  <c r="AB23" i="19"/>
  <c r="AB5" i="19"/>
  <c r="AB52" i="20"/>
  <c r="AB38" i="20"/>
  <c r="AB23" i="20"/>
  <c r="AB5" i="20"/>
  <c r="AB52" i="21"/>
  <c r="AB38" i="21"/>
  <c r="AB23" i="21"/>
  <c r="AB5" i="21"/>
  <c r="AB52" i="22"/>
  <c r="AB38" i="22"/>
  <c r="AB23" i="22"/>
  <c r="AB5" i="22"/>
  <c r="AB52" i="24"/>
  <c r="AB38" i="24"/>
  <c r="AB23" i="24"/>
  <c r="AB5" i="24"/>
  <c r="AC25" i="17" l="1"/>
  <c r="AC15" i="17"/>
  <c r="AC50" i="17"/>
  <c r="AC17" i="17"/>
  <c r="AB54" i="16"/>
  <c r="AD54" i="16" s="1"/>
  <c r="AB25" i="16"/>
  <c r="AD25" i="16" s="1"/>
  <c r="AB40" i="16"/>
  <c r="AB48" i="16"/>
  <c r="AB69" i="16"/>
  <c r="AD69" i="16" s="1"/>
  <c r="AC38" i="17"/>
  <c r="AC63" i="17"/>
  <c r="AC65" i="17"/>
  <c r="AC26" i="17"/>
  <c r="AC54" i="17"/>
  <c r="AC22" i="17"/>
  <c r="AC35" i="17"/>
  <c r="AC55" i="17"/>
  <c r="AC39" i="17"/>
  <c r="AC10" i="17"/>
  <c r="AC47" i="17"/>
  <c r="AC23" i="17"/>
  <c r="AC42" i="17"/>
  <c r="AC52" i="17"/>
  <c r="AC14" i="17"/>
  <c r="AC60" i="17"/>
  <c r="AC61" i="17"/>
  <c r="AC66" i="17"/>
  <c r="AC30" i="17"/>
  <c r="AC34" i="17"/>
  <c r="AC48" i="17"/>
  <c r="AC32" i="17"/>
  <c r="AC13" i="17"/>
  <c r="AC21" i="17"/>
  <c r="AC18" i="17"/>
  <c r="AC45" i="17"/>
  <c r="AC31" i="17"/>
  <c r="AC62" i="17"/>
  <c r="AC36" i="17"/>
  <c r="AC33" i="17"/>
  <c r="AC64" i="17"/>
  <c r="AC56" i="17"/>
  <c r="AC4" i="26"/>
  <c r="AB38" i="13"/>
  <c r="AB66" i="16"/>
  <c r="AD66" i="16" s="1"/>
  <c r="AB56" i="16"/>
  <c r="AB21" i="16"/>
  <c r="AD21" i="16" s="1"/>
  <c r="AB52" i="16"/>
  <c r="AD52" i="16" s="1"/>
  <c r="AB23" i="13"/>
  <c r="AB65" i="16"/>
  <c r="AB22" i="16"/>
  <c r="AB18" i="16"/>
  <c r="AD18" i="16" s="1"/>
  <c r="AB13" i="16"/>
  <c r="AD13" i="16" s="1"/>
  <c r="Z58" i="16"/>
  <c r="Z48" i="16"/>
  <c r="AB26" i="16"/>
  <c r="AD26" i="16" s="1"/>
  <c r="AB67" i="16"/>
  <c r="AD67" i="16" s="1"/>
  <c r="AB33" i="16"/>
  <c r="Z23" i="16"/>
  <c r="AD23" i="16" s="1"/>
  <c r="AB43" i="16"/>
  <c r="AD43" i="16" s="1"/>
  <c r="AC5" i="13"/>
  <c r="AB37" i="16"/>
  <c r="AD37" i="16" s="1"/>
  <c r="Z29" i="16"/>
  <c r="Z44" i="16"/>
  <c r="AB62" i="16"/>
  <c r="AB14" i="16"/>
  <c r="AB68" i="16"/>
  <c r="AD68" i="16" s="1"/>
  <c r="Z47" i="16"/>
  <c r="AB24" i="16"/>
  <c r="AB32" i="16"/>
  <c r="AB16" i="16"/>
  <c r="AB60" i="16"/>
  <c r="AD60" i="16" s="1"/>
  <c r="AB34" i="16"/>
  <c r="AD34" i="16" s="1"/>
  <c r="AB28" i="16"/>
  <c r="AD28" i="16" s="1"/>
  <c r="AB61" i="16"/>
  <c r="AD61" i="16" s="1"/>
  <c r="Z33" i="16"/>
  <c r="AB49" i="16"/>
  <c r="AB50" i="16"/>
  <c r="AD50" i="16" s="1"/>
  <c r="AB31" i="16"/>
  <c r="Z49" i="16"/>
  <c r="Z16" i="16"/>
  <c r="AB64" i="16"/>
  <c r="AB35" i="16"/>
  <c r="AD35" i="16" s="1"/>
  <c r="AB41" i="16"/>
  <c r="AB15" i="16"/>
  <c r="AB19" i="16"/>
  <c r="AD19" i="16" s="1"/>
  <c r="AB42" i="16"/>
  <c r="AD42" i="16" s="1"/>
  <c r="AB47" i="16"/>
  <c r="Z57" i="16"/>
  <c r="AD57" i="16" s="1"/>
  <c r="AB51" i="16"/>
  <c r="AD51" i="16" s="1"/>
  <c r="AB20" i="16"/>
  <c r="AD20" i="16" s="1"/>
  <c r="Z39" i="16"/>
  <c r="Z62" i="16"/>
  <c r="AB46" i="16"/>
  <c r="AD46" i="16" s="1"/>
  <c r="AB39" i="16"/>
  <c r="AB53" i="16"/>
  <c r="AD53" i="16" s="1"/>
  <c r="AB27" i="16"/>
  <c r="AD27" i="16" s="1"/>
  <c r="Z22" i="16"/>
  <c r="Z56" i="16"/>
  <c r="Z55" i="16"/>
  <c r="AD55" i="16" s="1"/>
  <c r="AB17" i="16"/>
  <c r="AD17" i="16" s="1"/>
  <c r="Z40" i="16"/>
  <c r="Z38" i="16"/>
  <c r="AD38" i="16" s="1"/>
  <c r="Z31" i="16"/>
  <c r="Z32" i="16"/>
  <c r="AB36" i="16"/>
  <c r="AD36" i="16" s="1"/>
  <c r="Z15" i="16"/>
  <c r="Z24" i="16"/>
  <c r="Z63" i="16"/>
  <c r="Z14" i="16"/>
  <c r="Z41" i="16"/>
  <c r="Z64" i="16"/>
  <c r="AB63" i="16"/>
  <c r="Z65" i="16"/>
  <c r="AC4" i="1"/>
  <c r="AB52" i="13"/>
  <c r="AB4" i="24"/>
  <c r="AB4" i="10"/>
  <c r="AB4" i="9"/>
  <c r="AB4" i="5"/>
  <c r="AB4" i="4"/>
  <c r="AB4" i="3"/>
  <c r="AB4" i="2"/>
  <c r="AB4" i="18"/>
  <c r="AB4" i="19"/>
  <c r="AB4" i="20"/>
  <c r="AB4" i="21"/>
  <c r="AB4" i="22"/>
  <c r="AD40" i="16" l="1"/>
  <c r="AD48" i="16"/>
  <c r="AD56" i="16"/>
  <c r="AC43" i="17"/>
  <c r="AC57" i="17"/>
  <c r="AC28" i="17"/>
  <c r="AB44" i="16"/>
  <c r="AD44" i="16" s="1"/>
  <c r="AD33" i="16"/>
  <c r="AD62" i="16"/>
  <c r="AD22" i="16"/>
  <c r="AD65" i="16"/>
  <c r="AD41" i="16"/>
  <c r="AD47" i="16"/>
  <c r="AD14" i="16"/>
  <c r="AB58" i="16"/>
  <c r="AD58" i="16" s="1"/>
  <c r="AB29" i="16"/>
  <c r="AD29" i="16" s="1"/>
  <c r="AC4" i="13"/>
  <c r="AD16" i="16"/>
  <c r="AD39" i="16"/>
  <c r="AD24" i="16"/>
  <c r="AD15" i="16"/>
  <c r="AD32" i="16"/>
  <c r="AD49" i="16"/>
  <c r="AD64" i="16"/>
  <c r="AD63" i="16"/>
  <c r="AD31" i="16"/>
  <c r="AB52" i="25"/>
  <c r="AB38" i="25"/>
  <c r="AB23" i="25"/>
  <c r="AB5" i="25"/>
  <c r="AB5" i="1"/>
  <c r="Z5" i="10"/>
  <c r="AA5" i="10"/>
  <c r="AA23" i="21"/>
  <c r="AA5" i="20"/>
  <c r="E4" i="26"/>
  <c r="F4" i="26"/>
  <c r="G4" i="26"/>
  <c r="H4" i="26"/>
  <c r="P4" i="26"/>
  <c r="Q4" i="26"/>
  <c r="C6" i="26"/>
  <c r="D6" i="26"/>
  <c r="E6" i="26"/>
  <c r="F6" i="26"/>
  <c r="G6" i="26"/>
  <c r="H6" i="26"/>
  <c r="I6" i="26"/>
  <c r="J6" i="26"/>
  <c r="K6" i="26"/>
  <c r="L6" i="26"/>
  <c r="M6" i="26"/>
  <c r="N6" i="26"/>
  <c r="O6" i="26"/>
  <c r="P6" i="26"/>
  <c r="Q6" i="26"/>
  <c r="R6" i="26"/>
  <c r="S6" i="26"/>
  <c r="T6" i="26"/>
  <c r="U6" i="26"/>
  <c r="V6" i="26"/>
  <c r="W6" i="26"/>
  <c r="X6" i="26"/>
  <c r="Y6" i="26"/>
  <c r="Z6" i="26"/>
  <c r="AA6" i="26"/>
  <c r="E7" i="26"/>
  <c r="F7" i="26"/>
  <c r="G7" i="26"/>
  <c r="H7" i="26"/>
  <c r="J7" i="26"/>
  <c r="M7" i="26"/>
  <c r="O7" i="26"/>
  <c r="P7" i="26"/>
  <c r="Q7" i="26"/>
  <c r="R7" i="26"/>
  <c r="S7" i="26"/>
  <c r="T7" i="26"/>
  <c r="U7" i="26"/>
  <c r="V7" i="26"/>
  <c r="W7" i="26"/>
  <c r="X7" i="26"/>
  <c r="Y7" i="26"/>
  <c r="Z7" i="26"/>
  <c r="AA7" i="26"/>
  <c r="E8" i="26"/>
  <c r="F8" i="26"/>
  <c r="G8" i="26"/>
  <c r="H8" i="26"/>
  <c r="J8" i="26"/>
  <c r="M8" i="26"/>
  <c r="O8" i="26"/>
  <c r="P8" i="26"/>
  <c r="Q8" i="26"/>
  <c r="R8" i="26"/>
  <c r="S8" i="26"/>
  <c r="T8" i="26"/>
  <c r="U8" i="26"/>
  <c r="V8" i="26"/>
  <c r="W8" i="26"/>
  <c r="X8" i="26"/>
  <c r="Y8" i="26"/>
  <c r="Z8" i="26"/>
  <c r="AA8" i="26"/>
  <c r="C9" i="26"/>
  <c r="E9" i="26"/>
  <c r="F9" i="26"/>
  <c r="G9" i="26"/>
  <c r="H9" i="26"/>
  <c r="I9" i="26"/>
  <c r="J9" i="26"/>
  <c r="K9" i="26"/>
  <c r="L9" i="26"/>
  <c r="M9" i="26"/>
  <c r="O9" i="26"/>
  <c r="P9" i="26"/>
  <c r="Q9" i="26"/>
  <c r="R9" i="26"/>
  <c r="S9" i="26"/>
  <c r="T9" i="26"/>
  <c r="U9" i="26"/>
  <c r="V9" i="26"/>
  <c r="W9" i="26"/>
  <c r="X9" i="26"/>
  <c r="Y9" i="26"/>
  <c r="Z9" i="26"/>
  <c r="AA9" i="26"/>
  <c r="E10" i="26"/>
  <c r="F10" i="26"/>
  <c r="G10" i="26"/>
  <c r="H10" i="26"/>
  <c r="J10" i="26"/>
  <c r="M10" i="26"/>
  <c r="O10" i="26"/>
  <c r="P10" i="26"/>
  <c r="Q10" i="26"/>
  <c r="R10" i="26"/>
  <c r="S10" i="26"/>
  <c r="T10" i="26"/>
  <c r="U10" i="26"/>
  <c r="V10" i="26"/>
  <c r="W10" i="26"/>
  <c r="X10" i="26"/>
  <c r="Y10" i="26"/>
  <c r="Z10" i="26"/>
  <c r="AA10" i="26"/>
  <c r="E11" i="26"/>
  <c r="F11" i="26"/>
  <c r="G11" i="26"/>
  <c r="H11" i="26"/>
  <c r="J11" i="26"/>
  <c r="M11" i="26"/>
  <c r="O11" i="26"/>
  <c r="P11" i="26"/>
  <c r="Q11" i="26"/>
  <c r="R11" i="26"/>
  <c r="S11" i="26"/>
  <c r="T11" i="26"/>
  <c r="U11" i="26"/>
  <c r="V11" i="26"/>
  <c r="W11" i="26"/>
  <c r="X11" i="26"/>
  <c r="Y11" i="26"/>
  <c r="Z11" i="26"/>
  <c r="AA11" i="26"/>
  <c r="E12" i="26"/>
  <c r="F12" i="26"/>
  <c r="G12" i="26"/>
  <c r="H12" i="26"/>
  <c r="J12" i="26"/>
  <c r="M12" i="26"/>
  <c r="O12" i="26"/>
  <c r="P12" i="26"/>
  <c r="Q12" i="26"/>
  <c r="R12" i="26"/>
  <c r="S12" i="26"/>
  <c r="T12" i="26"/>
  <c r="U12" i="26"/>
  <c r="V12" i="26"/>
  <c r="W12" i="26"/>
  <c r="X12" i="26"/>
  <c r="Y12" i="26"/>
  <c r="Z12" i="26"/>
  <c r="AA12" i="26"/>
  <c r="E13" i="26"/>
  <c r="F13" i="26"/>
  <c r="G13" i="26"/>
  <c r="H13" i="26"/>
  <c r="J13" i="26"/>
  <c r="M13" i="26"/>
  <c r="O13" i="26"/>
  <c r="P13" i="26"/>
  <c r="Q13" i="26"/>
  <c r="R13" i="26"/>
  <c r="S13" i="26"/>
  <c r="T13" i="26"/>
  <c r="U13" i="26"/>
  <c r="V13" i="26"/>
  <c r="W13" i="26"/>
  <c r="X13" i="26"/>
  <c r="Y13" i="26"/>
  <c r="Z13" i="26"/>
  <c r="AA13" i="26"/>
  <c r="E14" i="26"/>
  <c r="F14" i="26"/>
  <c r="G14" i="26"/>
  <c r="H14" i="26"/>
  <c r="J14" i="26"/>
  <c r="M14" i="26"/>
  <c r="O14" i="26"/>
  <c r="P14" i="26"/>
  <c r="Q14" i="26"/>
  <c r="R14" i="26"/>
  <c r="S14" i="26"/>
  <c r="T14" i="26"/>
  <c r="U14" i="26"/>
  <c r="V14" i="26"/>
  <c r="W14" i="26"/>
  <c r="X14" i="26"/>
  <c r="Y14" i="26"/>
  <c r="Z14" i="26"/>
  <c r="AA14" i="26"/>
  <c r="E15" i="26"/>
  <c r="F15" i="26"/>
  <c r="G15" i="26"/>
  <c r="H15" i="26"/>
  <c r="J15" i="26"/>
  <c r="M15" i="26"/>
  <c r="O15" i="26"/>
  <c r="P15" i="26"/>
  <c r="Q15" i="26"/>
  <c r="R15" i="26"/>
  <c r="S15" i="26"/>
  <c r="T15" i="26"/>
  <c r="U15" i="26"/>
  <c r="V15" i="26"/>
  <c r="W15" i="26"/>
  <c r="X15" i="26"/>
  <c r="Y15" i="26"/>
  <c r="Z15" i="26"/>
  <c r="AA15" i="26"/>
  <c r="E16" i="26"/>
  <c r="F16" i="26"/>
  <c r="G16" i="26"/>
  <c r="H16" i="26"/>
  <c r="J16" i="26"/>
  <c r="M16" i="26"/>
  <c r="O16" i="26"/>
  <c r="P16" i="26"/>
  <c r="Q16" i="26"/>
  <c r="R16" i="26"/>
  <c r="S16" i="26"/>
  <c r="T16" i="26"/>
  <c r="U16" i="26"/>
  <c r="V16" i="26"/>
  <c r="W16" i="26"/>
  <c r="X16" i="26"/>
  <c r="Y16" i="26"/>
  <c r="Z16" i="26"/>
  <c r="AA16" i="26"/>
  <c r="E17" i="26"/>
  <c r="F17" i="26"/>
  <c r="G17" i="26"/>
  <c r="H17" i="26"/>
  <c r="J17" i="26"/>
  <c r="M17" i="26"/>
  <c r="O17" i="26"/>
  <c r="P17" i="26"/>
  <c r="Q17" i="26"/>
  <c r="R17" i="26"/>
  <c r="S17" i="26"/>
  <c r="T17" i="26"/>
  <c r="U17" i="26"/>
  <c r="V17" i="26"/>
  <c r="W17" i="26"/>
  <c r="X17" i="26"/>
  <c r="Y17" i="26"/>
  <c r="Z17" i="26"/>
  <c r="AA17" i="26"/>
  <c r="E18" i="26"/>
  <c r="F18" i="26"/>
  <c r="G18" i="26"/>
  <c r="H18" i="26"/>
  <c r="J18" i="26"/>
  <c r="M18" i="26"/>
  <c r="O18" i="26"/>
  <c r="P18" i="26"/>
  <c r="Q18" i="26"/>
  <c r="R18" i="26"/>
  <c r="S18" i="26"/>
  <c r="T18" i="26"/>
  <c r="U18" i="26"/>
  <c r="V18" i="26"/>
  <c r="W18" i="26"/>
  <c r="X18" i="26"/>
  <c r="Y18" i="26"/>
  <c r="Z18" i="26"/>
  <c r="AA18" i="26"/>
  <c r="E19" i="26"/>
  <c r="F19" i="26"/>
  <c r="G19" i="26"/>
  <c r="H19" i="26"/>
  <c r="J19" i="26"/>
  <c r="M19" i="26"/>
  <c r="O19" i="26"/>
  <c r="P19" i="26"/>
  <c r="Q19" i="26"/>
  <c r="R19" i="26"/>
  <c r="S19" i="26"/>
  <c r="T19" i="26"/>
  <c r="U19" i="26"/>
  <c r="V19" i="26"/>
  <c r="W19" i="26"/>
  <c r="X19" i="26"/>
  <c r="Y19" i="26"/>
  <c r="Z19" i="26"/>
  <c r="AA19" i="26"/>
  <c r="E20" i="26"/>
  <c r="F20" i="26"/>
  <c r="G20" i="26"/>
  <c r="H20" i="26"/>
  <c r="J20" i="26"/>
  <c r="M20" i="26"/>
  <c r="O20" i="26"/>
  <c r="P20" i="26"/>
  <c r="Q20" i="26"/>
  <c r="R20" i="26"/>
  <c r="S20" i="26"/>
  <c r="T20" i="26"/>
  <c r="U20" i="26"/>
  <c r="V20" i="26"/>
  <c r="W20" i="26"/>
  <c r="X20" i="26"/>
  <c r="Y20" i="26"/>
  <c r="Z20" i="26"/>
  <c r="AA20" i="26"/>
  <c r="E21" i="26"/>
  <c r="F21" i="26"/>
  <c r="G21" i="26"/>
  <c r="H21" i="26"/>
  <c r="J21" i="26"/>
  <c r="M21" i="26"/>
  <c r="O21" i="26"/>
  <c r="P21" i="26"/>
  <c r="Q21" i="26"/>
  <c r="R21" i="26"/>
  <c r="S21" i="26"/>
  <c r="T21" i="26"/>
  <c r="U21" i="26"/>
  <c r="V21" i="26"/>
  <c r="W21" i="26"/>
  <c r="X21" i="26"/>
  <c r="Y21" i="26"/>
  <c r="Z21" i="26"/>
  <c r="AA21" i="26"/>
  <c r="E22" i="26"/>
  <c r="F22" i="26"/>
  <c r="G22" i="26"/>
  <c r="H22" i="26"/>
  <c r="J22" i="26"/>
  <c r="M22" i="26"/>
  <c r="O22" i="26"/>
  <c r="P22" i="26"/>
  <c r="Q22" i="26"/>
  <c r="R22" i="26"/>
  <c r="S22" i="26"/>
  <c r="T22" i="26"/>
  <c r="U22" i="26"/>
  <c r="V22" i="26"/>
  <c r="W22" i="26"/>
  <c r="X22" i="26"/>
  <c r="Y22" i="26"/>
  <c r="Z22" i="26"/>
  <c r="AA22" i="26"/>
  <c r="C24" i="26"/>
  <c r="D24" i="26"/>
  <c r="E24" i="26"/>
  <c r="F24" i="26"/>
  <c r="G24" i="26"/>
  <c r="H24" i="26"/>
  <c r="I24" i="26"/>
  <c r="J24" i="26"/>
  <c r="K24" i="26"/>
  <c r="L24" i="26"/>
  <c r="M24" i="26"/>
  <c r="N24" i="26"/>
  <c r="O24" i="26"/>
  <c r="P24" i="26"/>
  <c r="Q24" i="26"/>
  <c r="R24" i="26"/>
  <c r="S24" i="26"/>
  <c r="T24" i="26"/>
  <c r="U24" i="26"/>
  <c r="V24" i="26"/>
  <c r="W24" i="26"/>
  <c r="X24" i="26"/>
  <c r="Y24" i="26"/>
  <c r="Z24" i="26"/>
  <c r="AA24" i="26"/>
  <c r="C25" i="26"/>
  <c r="D25" i="26"/>
  <c r="E25" i="26"/>
  <c r="F25" i="26"/>
  <c r="G25" i="26"/>
  <c r="H25" i="26"/>
  <c r="I25" i="26"/>
  <c r="J25" i="26"/>
  <c r="K25" i="26"/>
  <c r="L25" i="26"/>
  <c r="M25" i="26"/>
  <c r="N25" i="26"/>
  <c r="O25" i="26"/>
  <c r="P25" i="26"/>
  <c r="Q25" i="26"/>
  <c r="R25" i="26"/>
  <c r="S25" i="26"/>
  <c r="T25" i="26"/>
  <c r="U25" i="26"/>
  <c r="V25" i="26"/>
  <c r="W25" i="26"/>
  <c r="X25" i="26"/>
  <c r="Y25" i="26"/>
  <c r="Z25" i="26"/>
  <c r="AA25" i="26"/>
  <c r="C26" i="26"/>
  <c r="D26" i="26"/>
  <c r="E26" i="26"/>
  <c r="F26" i="26"/>
  <c r="G26" i="26"/>
  <c r="H26" i="26"/>
  <c r="I26" i="26"/>
  <c r="J26" i="26"/>
  <c r="K26" i="26"/>
  <c r="L26" i="26"/>
  <c r="M26" i="26"/>
  <c r="N26" i="26"/>
  <c r="O26" i="26"/>
  <c r="P26" i="26"/>
  <c r="Q26" i="26"/>
  <c r="R26" i="26"/>
  <c r="S26" i="26"/>
  <c r="T26" i="26"/>
  <c r="U26" i="26"/>
  <c r="V26" i="26"/>
  <c r="W26" i="26"/>
  <c r="X26" i="26"/>
  <c r="Y26" i="26"/>
  <c r="Z26" i="26"/>
  <c r="AA26" i="26"/>
  <c r="C27" i="26"/>
  <c r="D27" i="26"/>
  <c r="E27" i="26"/>
  <c r="F27" i="26"/>
  <c r="G27" i="26"/>
  <c r="H27" i="26"/>
  <c r="I27" i="26"/>
  <c r="J27" i="26"/>
  <c r="K27" i="26"/>
  <c r="L27" i="26"/>
  <c r="M27" i="26"/>
  <c r="N27" i="26"/>
  <c r="O27" i="26"/>
  <c r="P27" i="26"/>
  <c r="Q27" i="26"/>
  <c r="R27" i="26"/>
  <c r="S27" i="26"/>
  <c r="T27" i="26"/>
  <c r="U27" i="26"/>
  <c r="V27" i="26"/>
  <c r="W27" i="26"/>
  <c r="X27" i="26"/>
  <c r="Y27" i="26"/>
  <c r="Z27" i="26"/>
  <c r="AA27" i="26"/>
  <c r="C28" i="26"/>
  <c r="D28" i="26"/>
  <c r="E28" i="26"/>
  <c r="F28" i="26"/>
  <c r="G28" i="26"/>
  <c r="H28" i="26"/>
  <c r="I28" i="26"/>
  <c r="J28" i="26"/>
  <c r="K28" i="26"/>
  <c r="L28" i="26"/>
  <c r="M28" i="26"/>
  <c r="N28" i="26"/>
  <c r="O28" i="26"/>
  <c r="P28" i="26"/>
  <c r="Q28" i="26"/>
  <c r="R28" i="26"/>
  <c r="S28" i="26"/>
  <c r="T28" i="26"/>
  <c r="U28" i="26"/>
  <c r="V28" i="26"/>
  <c r="W28" i="26"/>
  <c r="X28" i="26"/>
  <c r="Y28" i="26"/>
  <c r="Z28" i="26"/>
  <c r="AA28" i="26"/>
  <c r="C29" i="26"/>
  <c r="D29" i="26"/>
  <c r="E29" i="26"/>
  <c r="F29" i="26"/>
  <c r="G29" i="26"/>
  <c r="H29" i="26"/>
  <c r="I29" i="26"/>
  <c r="J29" i="26"/>
  <c r="K29" i="26"/>
  <c r="L29" i="26"/>
  <c r="M29" i="26"/>
  <c r="N29" i="26"/>
  <c r="O29" i="26"/>
  <c r="P29" i="26"/>
  <c r="Q29" i="26"/>
  <c r="R29" i="26"/>
  <c r="S29" i="26"/>
  <c r="T29" i="26"/>
  <c r="U29" i="26"/>
  <c r="V29" i="26"/>
  <c r="W29" i="26"/>
  <c r="X29" i="26"/>
  <c r="Y29" i="26"/>
  <c r="Z29" i="26"/>
  <c r="AA29" i="26"/>
  <c r="C30" i="26"/>
  <c r="D30" i="26"/>
  <c r="E30" i="26"/>
  <c r="F30" i="26"/>
  <c r="G30" i="26"/>
  <c r="H30" i="26"/>
  <c r="I30" i="26"/>
  <c r="J30" i="26"/>
  <c r="K30" i="26"/>
  <c r="L30" i="26"/>
  <c r="M30" i="26"/>
  <c r="N30" i="26"/>
  <c r="O30" i="26"/>
  <c r="P30" i="26"/>
  <c r="Q30" i="26"/>
  <c r="R30" i="26"/>
  <c r="S30" i="26"/>
  <c r="T30" i="26"/>
  <c r="U30" i="26"/>
  <c r="V30" i="26"/>
  <c r="W30" i="26"/>
  <c r="X30" i="26"/>
  <c r="Y30" i="26"/>
  <c r="Z30" i="26"/>
  <c r="AA30" i="26"/>
  <c r="C31" i="26"/>
  <c r="D31" i="26"/>
  <c r="E31" i="26"/>
  <c r="F31" i="26"/>
  <c r="G31" i="26"/>
  <c r="H31" i="26"/>
  <c r="I31" i="26"/>
  <c r="J31" i="26"/>
  <c r="K31" i="26"/>
  <c r="L31" i="26"/>
  <c r="M31" i="26"/>
  <c r="N31" i="26"/>
  <c r="O31" i="26"/>
  <c r="P31" i="26"/>
  <c r="Q31" i="26"/>
  <c r="R31" i="26"/>
  <c r="S31" i="26"/>
  <c r="T31" i="26"/>
  <c r="U31" i="26"/>
  <c r="V31" i="26"/>
  <c r="W31" i="26"/>
  <c r="X31" i="26"/>
  <c r="Y31" i="26"/>
  <c r="Z31" i="26"/>
  <c r="AA31" i="26"/>
  <c r="C32" i="26"/>
  <c r="D32" i="26"/>
  <c r="E32" i="26"/>
  <c r="F32" i="26"/>
  <c r="G32" i="26"/>
  <c r="H32" i="26"/>
  <c r="I32" i="26"/>
  <c r="J32" i="26"/>
  <c r="K32" i="26"/>
  <c r="L32" i="26"/>
  <c r="M32" i="26"/>
  <c r="N32" i="26"/>
  <c r="O32" i="26"/>
  <c r="P32" i="26"/>
  <c r="Q32" i="26"/>
  <c r="R32" i="26"/>
  <c r="S32" i="26"/>
  <c r="T32" i="26"/>
  <c r="U32" i="26"/>
  <c r="V32" i="26"/>
  <c r="W32" i="26"/>
  <c r="X32" i="26"/>
  <c r="Y32" i="26"/>
  <c r="Z32" i="26"/>
  <c r="AA32" i="26"/>
  <c r="C33" i="26"/>
  <c r="D33" i="26"/>
  <c r="E33" i="26"/>
  <c r="F33" i="26"/>
  <c r="G33" i="26"/>
  <c r="H33" i="26"/>
  <c r="I33" i="26"/>
  <c r="J33" i="26"/>
  <c r="K33" i="26"/>
  <c r="L33" i="26"/>
  <c r="M33" i="26"/>
  <c r="N33" i="26"/>
  <c r="O33" i="26"/>
  <c r="P33" i="26"/>
  <c r="Q33" i="26"/>
  <c r="R33" i="26"/>
  <c r="S33" i="26"/>
  <c r="T33" i="26"/>
  <c r="U33" i="26"/>
  <c r="V33" i="26"/>
  <c r="W33" i="26"/>
  <c r="X33" i="26"/>
  <c r="Y33" i="26"/>
  <c r="Z33" i="26"/>
  <c r="AA33" i="26"/>
  <c r="C34" i="26"/>
  <c r="D34" i="26"/>
  <c r="E34" i="26"/>
  <c r="F34" i="26"/>
  <c r="G34" i="26"/>
  <c r="H34" i="26"/>
  <c r="I34" i="26"/>
  <c r="J34" i="26"/>
  <c r="K34" i="26"/>
  <c r="L34" i="26"/>
  <c r="M34" i="26"/>
  <c r="N34" i="26"/>
  <c r="O34" i="26"/>
  <c r="P34" i="26"/>
  <c r="Q34" i="26"/>
  <c r="R34" i="26"/>
  <c r="S34" i="26"/>
  <c r="T34" i="26"/>
  <c r="U34" i="26"/>
  <c r="V34" i="26"/>
  <c r="W34" i="26"/>
  <c r="X34" i="26"/>
  <c r="Y34" i="26"/>
  <c r="Z34" i="26"/>
  <c r="AA34" i="26"/>
  <c r="C35" i="26"/>
  <c r="D35" i="26"/>
  <c r="E35" i="26"/>
  <c r="F35" i="26"/>
  <c r="G35" i="26"/>
  <c r="H35" i="26"/>
  <c r="I35" i="26"/>
  <c r="J35" i="26"/>
  <c r="K35" i="26"/>
  <c r="L35" i="26"/>
  <c r="M35" i="26"/>
  <c r="N35" i="26"/>
  <c r="O35" i="26"/>
  <c r="P35" i="26"/>
  <c r="Q35" i="26"/>
  <c r="R35" i="26"/>
  <c r="S35" i="26"/>
  <c r="T35" i="26"/>
  <c r="U35" i="26"/>
  <c r="V35" i="26"/>
  <c r="W35" i="26"/>
  <c r="X35" i="26"/>
  <c r="Y35" i="26"/>
  <c r="Z35" i="26"/>
  <c r="AA35" i="26"/>
  <c r="C36" i="26"/>
  <c r="D36" i="26"/>
  <c r="E36" i="26"/>
  <c r="F36" i="26"/>
  <c r="G36" i="26"/>
  <c r="H36" i="26"/>
  <c r="I36" i="26"/>
  <c r="J36" i="26"/>
  <c r="K36" i="26"/>
  <c r="L36" i="26"/>
  <c r="M36" i="26"/>
  <c r="N36" i="26"/>
  <c r="O36" i="26"/>
  <c r="P36" i="26"/>
  <c r="Q36" i="26"/>
  <c r="R36" i="26"/>
  <c r="S36" i="26"/>
  <c r="T36" i="26"/>
  <c r="U36" i="26"/>
  <c r="V36" i="26"/>
  <c r="W36" i="26"/>
  <c r="X36" i="26"/>
  <c r="Y36" i="26"/>
  <c r="Z36" i="26"/>
  <c r="AA36" i="26"/>
  <c r="C37" i="26"/>
  <c r="D37" i="26"/>
  <c r="E37" i="26"/>
  <c r="F37" i="26"/>
  <c r="G37" i="26"/>
  <c r="H37" i="26"/>
  <c r="I37" i="26"/>
  <c r="J37" i="26"/>
  <c r="K37" i="26"/>
  <c r="L37" i="26"/>
  <c r="M37" i="26"/>
  <c r="N37" i="26"/>
  <c r="O37" i="26"/>
  <c r="P37" i="26"/>
  <c r="Q37" i="26"/>
  <c r="R37" i="26"/>
  <c r="S37" i="26"/>
  <c r="T37" i="26"/>
  <c r="U37" i="26"/>
  <c r="V37" i="26"/>
  <c r="W37" i="26"/>
  <c r="X37" i="26"/>
  <c r="Y37" i="26"/>
  <c r="Z37" i="26"/>
  <c r="AA37" i="26"/>
  <c r="C39" i="26"/>
  <c r="D39" i="26"/>
  <c r="E39" i="26"/>
  <c r="F39" i="26"/>
  <c r="G39" i="26"/>
  <c r="H39" i="26"/>
  <c r="I39" i="26"/>
  <c r="J39" i="26"/>
  <c r="K39" i="26"/>
  <c r="L39" i="26"/>
  <c r="M39" i="26"/>
  <c r="N39" i="26"/>
  <c r="O39" i="26"/>
  <c r="P39" i="26"/>
  <c r="Q39" i="26"/>
  <c r="R39" i="26"/>
  <c r="S39" i="26"/>
  <c r="T39" i="26"/>
  <c r="U39" i="26"/>
  <c r="V39" i="26"/>
  <c r="W39" i="26"/>
  <c r="X39" i="26"/>
  <c r="Y39" i="26"/>
  <c r="Z39" i="26"/>
  <c r="AA39" i="26"/>
  <c r="C40" i="26"/>
  <c r="D40" i="26"/>
  <c r="E40" i="26"/>
  <c r="F40" i="26"/>
  <c r="G40" i="26"/>
  <c r="H40" i="26"/>
  <c r="I40" i="26"/>
  <c r="J40" i="26"/>
  <c r="K40" i="26"/>
  <c r="L40" i="26"/>
  <c r="M40" i="26"/>
  <c r="N40" i="26"/>
  <c r="O40" i="26"/>
  <c r="P40" i="26"/>
  <c r="Q40" i="26"/>
  <c r="R40" i="26"/>
  <c r="S40" i="26"/>
  <c r="T40" i="26"/>
  <c r="U40" i="26"/>
  <c r="V40" i="26"/>
  <c r="W40" i="26"/>
  <c r="X40" i="26"/>
  <c r="Y40" i="26"/>
  <c r="Z40" i="26"/>
  <c r="AA40" i="26"/>
  <c r="C41" i="26"/>
  <c r="D41" i="26"/>
  <c r="E41" i="26"/>
  <c r="F41" i="26"/>
  <c r="G41" i="26"/>
  <c r="H41" i="26"/>
  <c r="I41" i="26"/>
  <c r="J41" i="26"/>
  <c r="K41" i="26"/>
  <c r="L41" i="26"/>
  <c r="M41" i="26"/>
  <c r="N41" i="26"/>
  <c r="O41" i="26"/>
  <c r="P41" i="26"/>
  <c r="Q41" i="26"/>
  <c r="R41" i="26"/>
  <c r="S41" i="26"/>
  <c r="T41" i="26"/>
  <c r="U41" i="26"/>
  <c r="V41" i="26"/>
  <c r="W41" i="26"/>
  <c r="X41" i="26"/>
  <c r="Y41" i="26"/>
  <c r="Z41" i="26"/>
  <c r="AA41" i="26"/>
  <c r="C42" i="26"/>
  <c r="D42" i="26"/>
  <c r="E42" i="26"/>
  <c r="F42" i="26"/>
  <c r="G42" i="26"/>
  <c r="H42" i="26"/>
  <c r="I42" i="26"/>
  <c r="J42" i="26"/>
  <c r="K42" i="26"/>
  <c r="L42" i="26"/>
  <c r="M42" i="26"/>
  <c r="N42" i="26"/>
  <c r="O42" i="26"/>
  <c r="P42" i="26"/>
  <c r="Q42" i="26"/>
  <c r="R42" i="26"/>
  <c r="S42" i="26"/>
  <c r="T42" i="26"/>
  <c r="U42" i="26"/>
  <c r="V42" i="26"/>
  <c r="W42" i="26"/>
  <c r="X42" i="26"/>
  <c r="Y42" i="26"/>
  <c r="Z42" i="26"/>
  <c r="AA42" i="26"/>
  <c r="C43" i="26"/>
  <c r="D43" i="26"/>
  <c r="E43" i="26"/>
  <c r="F43" i="26"/>
  <c r="G43" i="26"/>
  <c r="H43" i="26"/>
  <c r="I43" i="26"/>
  <c r="J43" i="26"/>
  <c r="K43" i="26"/>
  <c r="L43" i="26"/>
  <c r="M43" i="26"/>
  <c r="N43" i="26"/>
  <c r="O43" i="26"/>
  <c r="P43" i="26"/>
  <c r="Q43" i="26"/>
  <c r="R43" i="26"/>
  <c r="S43" i="26"/>
  <c r="T43" i="26"/>
  <c r="U43" i="26"/>
  <c r="V43" i="26"/>
  <c r="W43" i="26"/>
  <c r="X43" i="26"/>
  <c r="Y43" i="26"/>
  <c r="Z43" i="26"/>
  <c r="AA43" i="26"/>
  <c r="C44" i="26"/>
  <c r="D44" i="26"/>
  <c r="E44" i="26"/>
  <c r="F44" i="26"/>
  <c r="G44" i="26"/>
  <c r="H44" i="26"/>
  <c r="I44" i="26"/>
  <c r="J44" i="26"/>
  <c r="K44" i="26"/>
  <c r="L44" i="26"/>
  <c r="M44" i="26"/>
  <c r="N44" i="26"/>
  <c r="O44" i="26"/>
  <c r="P44" i="26"/>
  <c r="Q44" i="26"/>
  <c r="R44" i="26"/>
  <c r="S44" i="26"/>
  <c r="T44" i="26"/>
  <c r="U44" i="26"/>
  <c r="V44" i="26"/>
  <c r="W44" i="26"/>
  <c r="X44" i="26"/>
  <c r="Y44" i="26"/>
  <c r="Z44" i="26"/>
  <c r="AA44" i="26"/>
  <c r="C45" i="26"/>
  <c r="D45" i="26"/>
  <c r="E45" i="26"/>
  <c r="F45" i="26"/>
  <c r="G45" i="26"/>
  <c r="H45" i="26"/>
  <c r="I45" i="26"/>
  <c r="J45" i="26"/>
  <c r="K45" i="26"/>
  <c r="L45" i="26"/>
  <c r="M45" i="26"/>
  <c r="N45" i="26"/>
  <c r="O45" i="26"/>
  <c r="P45" i="26"/>
  <c r="Q45" i="26"/>
  <c r="R45" i="26"/>
  <c r="S45" i="26"/>
  <c r="T45" i="26"/>
  <c r="U45" i="26"/>
  <c r="V45" i="26"/>
  <c r="W45" i="26"/>
  <c r="X45" i="26"/>
  <c r="Y45" i="26"/>
  <c r="Z45" i="26"/>
  <c r="AA45" i="26"/>
  <c r="C46" i="26"/>
  <c r="D46" i="26"/>
  <c r="E46" i="26"/>
  <c r="F46" i="26"/>
  <c r="G46" i="26"/>
  <c r="H46" i="26"/>
  <c r="I46" i="26"/>
  <c r="J46" i="26"/>
  <c r="K46" i="26"/>
  <c r="L46" i="26"/>
  <c r="M46" i="26"/>
  <c r="N46" i="26"/>
  <c r="O46" i="26"/>
  <c r="P46" i="26"/>
  <c r="Q46" i="26"/>
  <c r="R46" i="26"/>
  <c r="S46" i="26"/>
  <c r="T46" i="26"/>
  <c r="U46" i="26"/>
  <c r="V46" i="26"/>
  <c r="W46" i="26"/>
  <c r="X46" i="26"/>
  <c r="Y46" i="26"/>
  <c r="Z46" i="26"/>
  <c r="AA46" i="26"/>
  <c r="C47" i="26"/>
  <c r="D47" i="26"/>
  <c r="E47" i="26"/>
  <c r="F47" i="26"/>
  <c r="G47" i="26"/>
  <c r="H47" i="26"/>
  <c r="I47" i="26"/>
  <c r="J47" i="26"/>
  <c r="K47" i="26"/>
  <c r="L47" i="26"/>
  <c r="M47" i="26"/>
  <c r="N47" i="26"/>
  <c r="O47" i="26"/>
  <c r="P47" i="26"/>
  <c r="Q47" i="26"/>
  <c r="R47" i="26"/>
  <c r="S47" i="26"/>
  <c r="T47" i="26"/>
  <c r="U47" i="26"/>
  <c r="V47" i="26"/>
  <c r="W47" i="26"/>
  <c r="X47" i="26"/>
  <c r="Y47" i="26"/>
  <c r="Z47" i="26"/>
  <c r="AA47" i="26"/>
  <c r="C48" i="26"/>
  <c r="D48" i="26"/>
  <c r="E48" i="26"/>
  <c r="F48" i="26"/>
  <c r="G48" i="26"/>
  <c r="H48" i="26"/>
  <c r="I48" i="26"/>
  <c r="J48" i="26"/>
  <c r="K48" i="26"/>
  <c r="L48" i="26"/>
  <c r="M48" i="26"/>
  <c r="N48" i="26"/>
  <c r="O48" i="26"/>
  <c r="P48" i="26"/>
  <c r="Q48" i="26"/>
  <c r="R48" i="26"/>
  <c r="S48" i="26"/>
  <c r="T48" i="26"/>
  <c r="U48" i="26"/>
  <c r="V48" i="26"/>
  <c r="W48" i="26"/>
  <c r="X48" i="26"/>
  <c r="Y48" i="26"/>
  <c r="Z48" i="26"/>
  <c r="AA48" i="26"/>
  <c r="C49" i="26"/>
  <c r="D49" i="26"/>
  <c r="E49" i="26"/>
  <c r="F49" i="26"/>
  <c r="G49" i="26"/>
  <c r="H49" i="26"/>
  <c r="I49" i="26"/>
  <c r="J49" i="26"/>
  <c r="K49" i="26"/>
  <c r="L49" i="26"/>
  <c r="M49" i="26"/>
  <c r="N49" i="26"/>
  <c r="O49" i="26"/>
  <c r="P49" i="26"/>
  <c r="Q49" i="26"/>
  <c r="R49" i="26"/>
  <c r="S49" i="26"/>
  <c r="T49" i="26"/>
  <c r="U49" i="26"/>
  <c r="V49" i="26"/>
  <c r="W49" i="26"/>
  <c r="X49" i="26"/>
  <c r="Y49" i="26"/>
  <c r="Z49" i="26"/>
  <c r="AA49" i="26"/>
  <c r="C50" i="26"/>
  <c r="D50" i="26"/>
  <c r="E50" i="26"/>
  <c r="F50" i="26"/>
  <c r="G50" i="26"/>
  <c r="H50" i="26"/>
  <c r="I50" i="26"/>
  <c r="J50" i="26"/>
  <c r="K50" i="26"/>
  <c r="L50" i="26"/>
  <c r="M50" i="26"/>
  <c r="N50" i="26"/>
  <c r="O50" i="26"/>
  <c r="P50" i="26"/>
  <c r="Q50" i="26"/>
  <c r="R50" i="26"/>
  <c r="S50" i="26"/>
  <c r="T50" i="26"/>
  <c r="U50" i="26"/>
  <c r="V50" i="26"/>
  <c r="W50" i="26"/>
  <c r="X50" i="26"/>
  <c r="Y50" i="26"/>
  <c r="Z50" i="26"/>
  <c r="AA50" i="26"/>
  <c r="C51" i="26"/>
  <c r="D51" i="26"/>
  <c r="E51" i="26"/>
  <c r="F51" i="26"/>
  <c r="G51" i="26"/>
  <c r="H51" i="26"/>
  <c r="I51" i="26"/>
  <c r="J51" i="26"/>
  <c r="K51" i="26"/>
  <c r="L51" i="26"/>
  <c r="M51" i="26"/>
  <c r="N51" i="26"/>
  <c r="O51" i="26"/>
  <c r="P51" i="26"/>
  <c r="Q51" i="26"/>
  <c r="R51" i="26"/>
  <c r="S51" i="26"/>
  <c r="T51" i="26"/>
  <c r="U51" i="26"/>
  <c r="V51" i="26"/>
  <c r="W51" i="26"/>
  <c r="X51" i="26"/>
  <c r="Y51" i="26"/>
  <c r="Z51" i="26"/>
  <c r="AA51" i="26"/>
  <c r="C53" i="26"/>
  <c r="D53" i="26"/>
  <c r="E53" i="26"/>
  <c r="F53" i="26"/>
  <c r="G53" i="26"/>
  <c r="H53" i="26"/>
  <c r="I53" i="26"/>
  <c r="J53" i="26"/>
  <c r="K53" i="26"/>
  <c r="L53" i="26"/>
  <c r="M53" i="26"/>
  <c r="N53" i="26"/>
  <c r="O53" i="26"/>
  <c r="P53" i="26"/>
  <c r="Q53" i="26"/>
  <c r="R53" i="26"/>
  <c r="S53" i="26"/>
  <c r="T53" i="26"/>
  <c r="U53" i="26"/>
  <c r="V53" i="26"/>
  <c r="W53" i="26"/>
  <c r="X53" i="26"/>
  <c r="Y53" i="26"/>
  <c r="Z53" i="26"/>
  <c r="AA53" i="26"/>
  <c r="C54" i="26"/>
  <c r="D54" i="26"/>
  <c r="E54" i="26"/>
  <c r="F54" i="26"/>
  <c r="G54" i="26"/>
  <c r="H54" i="26"/>
  <c r="I54" i="26"/>
  <c r="J54" i="26"/>
  <c r="K54" i="26"/>
  <c r="L54" i="26"/>
  <c r="M54" i="26"/>
  <c r="N54" i="26"/>
  <c r="O54" i="26"/>
  <c r="P54" i="26"/>
  <c r="Q54" i="26"/>
  <c r="R54" i="26"/>
  <c r="S54" i="26"/>
  <c r="T54" i="26"/>
  <c r="U54" i="26"/>
  <c r="V54" i="26"/>
  <c r="W54" i="26"/>
  <c r="X54" i="26"/>
  <c r="Y54" i="26"/>
  <c r="Z54" i="26"/>
  <c r="AA54" i="26"/>
  <c r="C55" i="26"/>
  <c r="D55" i="26"/>
  <c r="E55" i="26"/>
  <c r="F55" i="26"/>
  <c r="G55" i="26"/>
  <c r="H55" i="26"/>
  <c r="I55" i="26"/>
  <c r="J55" i="26"/>
  <c r="K55" i="26"/>
  <c r="L55" i="26"/>
  <c r="M55" i="26"/>
  <c r="N55" i="26"/>
  <c r="O55" i="26"/>
  <c r="P55" i="26"/>
  <c r="Q55" i="26"/>
  <c r="R55" i="26"/>
  <c r="S55" i="26"/>
  <c r="T55" i="26"/>
  <c r="U55" i="26"/>
  <c r="V55" i="26"/>
  <c r="W55" i="26"/>
  <c r="X55" i="26"/>
  <c r="Y55" i="26"/>
  <c r="Z55" i="26"/>
  <c r="AA55" i="26"/>
  <c r="C56" i="26"/>
  <c r="D56" i="26"/>
  <c r="E56" i="26"/>
  <c r="F56" i="26"/>
  <c r="G56" i="26"/>
  <c r="H56" i="26"/>
  <c r="I56" i="26"/>
  <c r="J56" i="26"/>
  <c r="K56" i="26"/>
  <c r="L56" i="26"/>
  <c r="M56" i="26"/>
  <c r="N56" i="26"/>
  <c r="O56" i="26"/>
  <c r="P56" i="26"/>
  <c r="Q56" i="26"/>
  <c r="R56" i="26"/>
  <c r="S56" i="26"/>
  <c r="T56" i="26"/>
  <c r="U56" i="26"/>
  <c r="V56" i="26"/>
  <c r="W56" i="26"/>
  <c r="X56" i="26"/>
  <c r="Y56" i="26"/>
  <c r="Z56" i="26"/>
  <c r="AA56" i="26"/>
  <c r="C57" i="26"/>
  <c r="D57" i="26"/>
  <c r="E57" i="26"/>
  <c r="F57" i="26"/>
  <c r="G57" i="26"/>
  <c r="H57" i="26"/>
  <c r="I57" i="26"/>
  <c r="J57" i="26"/>
  <c r="K57" i="26"/>
  <c r="L57" i="26"/>
  <c r="M57" i="26"/>
  <c r="N57" i="26"/>
  <c r="O57" i="26"/>
  <c r="P57" i="26"/>
  <c r="Q57" i="26"/>
  <c r="R57" i="26"/>
  <c r="S57" i="26"/>
  <c r="T57" i="26"/>
  <c r="U57" i="26"/>
  <c r="V57" i="26"/>
  <c r="W57" i="26"/>
  <c r="X57" i="26"/>
  <c r="Y57" i="26"/>
  <c r="Z57" i="26"/>
  <c r="AA57" i="26"/>
  <c r="C58" i="26"/>
  <c r="D58" i="26"/>
  <c r="E58" i="26"/>
  <c r="F58" i="26"/>
  <c r="G58" i="26"/>
  <c r="H58" i="26"/>
  <c r="I58" i="26"/>
  <c r="J58" i="26"/>
  <c r="K58" i="26"/>
  <c r="L58" i="26"/>
  <c r="M58" i="26"/>
  <c r="N58" i="26"/>
  <c r="O58" i="26"/>
  <c r="P58" i="26"/>
  <c r="Q58" i="26"/>
  <c r="R58" i="26"/>
  <c r="S58" i="26"/>
  <c r="T58" i="26"/>
  <c r="U58" i="26"/>
  <c r="V58" i="26"/>
  <c r="W58" i="26"/>
  <c r="X58" i="26"/>
  <c r="Y58" i="26"/>
  <c r="Z58" i="26"/>
  <c r="AA58" i="26"/>
  <c r="C59" i="26"/>
  <c r="D59" i="26"/>
  <c r="E59" i="26"/>
  <c r="F59" i="26"/>
  <c r="G59" i="26"/>
  <c r="H59" i="26"/>
  <c r="I59" i="26"/>
  <c r="J59" i="26"/>
  <c r="K59" i="26"/>
  <c r="L59" i="26"/>
  <c r="M59" i="26"/>
  <c r="N59" i="26"/>
  <c r="O59" i="26"/>
  <c r="P59" i="26"/>
  <c r="Q59" i="26"/>
  <c r="R59" i="26"/>
  <c r="S59" i="26"/>
  <c r="T59" i="26"/>
  <c r="U59" i="26"/>
  <c r="V59" i="26"/>
  <c r="W59" i="26"/>
  <c r="X59" i="26"/>
  <c r="Y59" i="26"/>
  <c r="Z59" i="26"/>
  <c r="AA59" i="26"/>
  <c r="C60" i="26"/>
  <c r="D60" i="26"/>
  <c r="E60" i="26"/>
  <c r="F60" i="26"/>
  <c r="G60" i="26"/>
  <c r="H60" i="26"/>
  <c r="I60" i="26"/>
  <c r="J60" i="26"/>
  <c r="K60" i="26"/>
  <c r="L60" i="26"/>
  <c r="M60" i="26"/>
  <c r="N60" i="26"/>
  <c r="O60" i="26"/>
  <c r="P60" i="26"/>
  <c r="Q60" i="26"/>
  <c r="R60" i="26"/>
  <c r="S60" i="26"/>
  <c r="T60" i="26"/>
  <c r="U60" i="26"/>
  <c r="V60" i="26"/>
  <c r="W60" i="26"/>
  <c r="X60" i="26"/>
  <c r="Y60" i="26"/>
  <c r="Z60" i="26"/>
  <c r="AA60" i="26"/>
  <c r="C61" i="26"/>
  <c r="D61" i="26"/>
  <c r="E61" i="26"/>
  <c r="F61" i="26"/>
  <c r="G61" i="26"/>
  <c r="H61" i="26"/>
  <c r="I61" i="26"/>
  <c r="J61" i="26"/>
  <c r="K61" i="26"/>
  <c r="L61" i="26"/>
  <c r="M61" i="26"/>
  <c r="N61" i="26"/>
  <c r="O61" i="26"/>
  <c r="P61" i="26"/>
  <c r="Q61" i="26"/>
  <c r="R61" i="26"/>
  <c r="S61" i="26"/>
  <c r="T61" i="26"/>
  <c r="U61" i="26"/>
  <c r="V61" i="26"/>
  <c r="W61" i="26"/>
  <c r="X61" i="26"/>
  <c r="Y61" i="26"/>
  <c r="Z61" i="26"/>
  <c r="AA61" i="26"/>
  <c r="C62" i="26"/>
  <c r="D62" i="26"/>
  <c r="E62" i="26"/>
  <c r="F62" i="26"/>
  <c r="G62" i="26"/>
  <c r="H62" i="26"/>
  <c r="I62" i="26"/>
  <c r="J62" i="26"/>
  <c r="K62" i="26"/>
  <c r="L62" i="26"/>
  <c r="M62" i="26"/>
  <c r="N62" i="26"/>
  <c r="O62" i="26"/>
  <c r="P62" i="26"/>
  <c r="Q62" i="26"/>
  <c r="R62" i="26"/>
  <c r="S62" i="26"/>
  <c r="T62" i="26"/>
  <c r="U62" i="26"/>
  <c r="V62" i="26"/>
  <c r="W62" i="26"/>
  <c r="X62" i="26"/>
  <c r="Y62" i="26"/>
  <c r="Z62" i="26"/>
  <c r="AA62" i="26"/>
  <c r="C63" i="26"/>
  <c r="D63" i="26"/>
  <c r="E63" i="26"/>
  <c r="F63" i="26"/>
  <c r="G63" i="26"/>
  <c r="H63" i="26"/>
  <c r="I63" i="26"/>
  <c r="J63" i="26"/>
  <c r="K63" i="26"/>
  <c r="L63" i="26"/>
  <c r="M63" i="26"/>
  <c r="N63" i="26"/>
  <c r="O63" i="26"/>
  <c r="P63" i="26"/>
  <c r="Q63" i="26"/>
  <c r="R63" i="26"/>
  <c r="S63" i="26"/>
  <c r="T63" i="26"/>
  <c r="U63" i="26"/>
  <c r="V63" i="26"/>
  <c r="W63" i="26"/>
  <c r="X63" i="26"/>
  <c r="Y63" i="26"/>
  <c r="Z63" i="26"/>
  <c r="AA63" i="26"/>
  <c r="B6" i="26"/>
  <c r="B9" i="26"/>
  <c r="B24" i="26"/>
  <c r="B25" i="26"/>
  <c r="B26" i="26"/>
  <c r="B27" i="26"/>
  <c r="B28" i="26"/>
  <c r="B29" i="26"/>
  <c r="B30" i="26"/>
  <c r="B31" i="26"/>
  <c r="B32" i="26"/>
  <c r="B33" i="26"/>
  <c r="B34" i="26"/>
  <c r="B35" i="26"/>
  <c r="B36" i="26"/>
  <c r="B37" i="26"/>
  <c r="B39" i="26"/>
  <c r="B40" i="26"/>
  <c r="B41" i="26"/>
  <c r="B42" i="26"/>
  <c r="B43" i="26"/>
  <c r="B44" i="26"/>
  <c r="B45" i="26"/>
  <c r="B46" i="26"/>
  <c r="B47" i="26"/>
  <c r="B48" i="26"/>
  <c r="B49" i="26"/>
  <c r="B50" i="26"/>
  <c r="B51" i="26"/>
  <c r="B53" i="26"/>
  <c r="B54" i="26"/>
  <c r="B55" i="26"/>
  <c r="B56" i="26"/>
  <c r="B57" i="26"/>
  <c r="B58" i="26"/>
  <c r="B59" i="26"/>
  <c r="B60" i="26"/>
  <c r="B61" i="26"/>
  <c r="B62" i="26"/>
  <c r="B63" i="26"/>
  <c r="AA52" i="25"/>
  <c r="Z52" i="25"/>
  <c r="Y52" i="25"/>
  <c r="X52" i="25"/>
  <c r="W52" i="25"/>
  <c r="V52" i="25"/>
  <c r="U52" i="25"/>
  <c r="T52" i="25"/>
  <c r="S52" i="25"/>
  <c r="R52" i="25"/>
  <c r="Q52" i="25"/>
  <c r="P52" i="25"/>
  <c r="O52" i="25"/>
  <c r="N52" i="25"/>
  <c r="M52" i="25"/>
  <c r="L52" i="25"/>
  <c r="K52" i="25"/>
  <c r="J52" i="25"/>
  <c r="I52" i="25"/>
  <c r="H52" i="25"/>
  <c r="G52" i="25"/>
  <c r="F52" i="25"/>
  <c r="E52" i="25"/>
  <c r="D52" i="25"/>
  <c r="C52" i="25"/>
  <c r="B52" i="25"/>
  <c r="AA38" i="25"/>
  <c r="Z38" i="25"/>
  <c r="Y38" i="25"/>
  <c r="X38" i="25"/>
  <c r="W38" i="25"/>
  <c r="V38" i="25"/>
  <c r="U38" i="25"/>
  <c r="T38" i="25"/>
  <c r="S38" i="25"/>
  <c r="R38" i="25"/>
  <c r="Q38" i="25"/>
  <c r="P38" i="25"/>
  <c r="O38" i="25"/>
  <c r="N38" i="25"/>
  <c r="M38" i="25"/>
  <c r="L38" i="25"/>
  <c r="K38" i="25"/>
  <c r="J38" i="25"/>
  <c r="I38" i="25"/>
  <c r="H38" i="25"/>
  <c r="G38" i="25"/>
  <c r="F38" i="25"/>
  <c r="E38" i="25"/>
  <c r="D38" i="25"/>
  <c r="C38" i="25"/>
  <c r="B38" i="25"/>
  <c r="AA23" i="25"/>
  <c r="Z23" i="25"/>
  <c r="Y23" i="25"/>
  <c r="X23" i="25"/>
  <c r="W23" i="25"/>
  <c r="V23" i="25"/>
  <c r="U23" i="25"/>
  <c r="T23" i="25"/>
  <c r="S23" i="25"/>
  <c r="R23" i="25"/>
  <c r="Q23" i="25"/>
  <c r="P23" i="25"/>
  <c r="O23" i="25"/>
  <c r="N23" i="25"/>
  <c r="M23" i="25"/>
  <c r="L23" i="25"/>
  <c r="K23" i="25"/>
  <c r="J23" i="25"/>
  <c r="I23" i="25"/>
  <c r="H23" i="25"/>
  <c r="G23" i="25"/>
  <c r="F23" i="25"/>
  <c r="E23" i="25"/>
  <c r="D23" i="25"/>
  <c r="C23" i="25"/>
  <c r="B23" i="25"/>
  <c r="AA5" i="25"/>
  <c r="Z5" i="25"/>
  <c r="Y5" i="25"/>
  <c r="X5" i="25"/>
  <c r="W5" i="25"/>
  <c r="V5" i="25"/>
  <c r="U5" i="25"/>
  <c r="T5" i="25"/>
  <c r="S5" i="25"/>
  <c r="R5" i="25"/>
  <c r="Q5" i="25"/>
  <c r="P5" i="25"/>
  <c r="O5" i="25"/>
  <c r="M5" i="25"/>
  <c r="J5" i="25"/>
  <c r="H5" i="25"/>
  <c r="G5" i="25"/>
  <c r="F5" i="25"/>
  <c r="E5" i="25"/>
  <c r="AA52" i="24"/>
  <c r="Z52" i="24"/>
  <c r="Y52" i="24"/>
  <c r="X52" i="24"/>
  <c r="W52" i="24"/>
  <c r="V52" i="24"/>
  <c r="U52" i="24"/>
  <c r="T52" i="24"/>
  <c r="S52" i="24"/>
  <c r="R52" i="24"/>
  <c r="Q52" i="24"/>
  <c r="P52" i="24"/>
  <c r="O52" i="24"/>
  <c r="N52" i="24"/>
  <c r="M52" i="24"/>
  <c r="L52" i="24"/>
  <c r="K52" i="24"/>
  <c r="J52" i="24"/>
  <c r="I52" i="24"/>
  <c r="H52" i="24"/>
  <c r="G52" i="24"/>
  <c r="F52" i="24"/>
  <c r="E52" i="24"/>
  <c r="D52" i="24"/>
  <c r="C52" i="24"/>
  <c r="B52" i="24"/>
  <c r="AA38" i="24"/>
  <c r="Z38" i="24"/>
  <c r="Y38" i="24"/>
  <c r="X38" i="24"/>
  <c r="W38" i="24"/>
  <c r="V38" i="24"/>
  <c r="U38" i="24"/>
  <c r="T38" i="24"/>
  <c r="S38" i="24"/>
  <c r="R38" i="24"/>
  <c r="Q38" i="24"/>
  <c r="P38" i="24"/>
  <c r="O38" i="24"/>
  <c r="N38" i="24"/>
  <c r="M38" i="24"/>
  <c r="L38" i="24"/>
  <c r="K38" i="24"/>
  <c r="J38" i="24"/>
  <c r="I38" i="24"/>
  <c r="H38" i="24"/>
  <c r="G38" i="24"/>
  <c r="F38" i="24"/>
  <c r="E38" i="24"/>
  <c r="D38" i="24"/>
  <c r="C38" i="24"/>
  <c r="B38" i="24"/>
  <c r="AA23" i="24"/>
  <c r="Z23" i="24"/>
  <c r="Y23" i="24"/>
  <c r="X23" i="24"/>
  <c r="W23" i="24"/>
  <c r="V23" i="24"/>
  <c r="U23" i="24"/>
  <c r="U4" i="24" s="1"/>
  <c r="T23" i="24"/>
  <c r="S23" i="24"/>
  <c r="R23" i="24"/>
  <c r="Q23" i="24"/>
  <c r="P23" i="24"/>
  <c r="O23" i="24"/>
  <c r="N23" i="24"/>
  <c r="M23" i="24"/>
  <c r="L23" i="24"/>
  <c r="K23" i="24"/>
  <c r="J23" i="24"/>
  <c r="I23" i="24"/>
  <c r="H23" i="24"/>
  <c r="G23" i="24"/>
  <c r="F23" i="24"/>
  <c r="E23" i="24"/>
  <c r="D23" i="24"/>
  <c r="C23" i="24"/>
  <c r="B23" i="24"/>
  <c r="AA5" i="24"/>
  <c r="Z5" i="24"/>
  <c r="Y5" i="24"/>
  <c r="X5" i="24"/>
  <c r="W5" i="24"/>
  <c r="V5" i="24"/>
  <c r="U5" i="24"/>
  <c r="T5" i="24"/>
  <c r="S5" i="24"/>
  <c r="R5" i="24"/>
  <c r="Q5" i="24"/>
  <c r="P5" i="24"/>
  <c r="O5" i="24"/>
  <c r="N5" i="24"/>
  <c r="M5" i="24"/>
  <c r="L5" i="24"/>
  <c r="K5" i="24"/>
  <c r="J5" i="24"/>
  <c r="I5" i="24"/>
  <c r="H5" i="24"/>
  <c r="G5" i="24"/>
  <c r="F5" i="24"/>
  <c r="E5" i="24"/>
  <c r="D5" i="24"/>
  <c r="C5" i="24"/>
  <c r="B5" i="24"/>
  <c r="AA52" i="22"/>
  <c r="Z52" i="22"/>
  <c r="Y52" i="22"/>
  <c r="X52" i="22"/>
  <c r="W52" i="22"/>
  <c r="V52" i="22"/>
  <c r="U52" i="22"/>
  <c r="T52" i="22"/>
  <c r="S52" i="22"/>
  <c r="R52" i="22"/>
  <c r="Q52" i="22"/>
  <c r="P52" i="22"/>
  <c r="O52" i="22"/>
  <c r="N52" i="22"/>
  <c r="M52" i="22"/>
  <c r="L52" i="22"/>
  <c r="K52" i="22"/>
  <c r="J52" i="22"/>
  <c r="I52" i="22"/>
  <c r="H52" i="22"/>
  <c r="G52" i="22"/>
  <c r="F52" i="22"/>
  <c r="E52" i="22"/>
  <c r="D52" i="22"/>
  <c r="C52" i="22"/>
  <c r="B52" i="22"/>
  <c r="AA38" i="22"/>
  <c r="Z38" i="22"/>
  <c r="Y38" i="22"/>
  <c r="X38" i="22"/>
  <c r="W38" i="22"/>
  <c r="V38" i="22"/>
  <c r="U38" i="22"/>
  <c r="T38" i="22"/>
  <c r="S38" i="22"/>
  <c r="R38" i="22"/>
  <c r="Q38" i="22"/>
  <c r="P38" i="22"/>
  <c r="O38" i="22"/>
  <c r="N38" i="22"/>
  <c r="M38" i="22"/>
  <c r="L38" i="22"/>
  <c r="K38" i="22"/>
  <c r="J38" i="22"/>
  <c r="I38" i="22"/>
  <c r="H38" i="22"/>
  <c r="G38" i="22"/>
  <c r="F38" i="22"/>
  <c r="E38" i="22"/>
  <c r="D38" i="22"/>
  <c r="C38" i="22"/>
  <c r="B38" i="22"/>
  <c r="AA23" i="22"/>
  <c r="Z23" i="22"/>
  <c r="Y23" i="22"/>
  <c r="X23" i="22"/>
  <c r="W23" i="22"/>
  <c r="V23" i="22"/>
  <c r="U23" i="22"/>
  <c r="T23" i="22"/>
  <c r="S23" i="22"/>
  <c r="R23" i="22"/>
  <c r="Q23" i="22"/>
  <c r="P23" i="22"/>
  <c r="O23" i="22"/>
  <c r="N23" i="22"/>
  <c r="M23" i="22"/>
  <c r="L23" i="22"/>
  <c r="K23" i="22"/>
  <c r="J23" i="22"/>
  <c r="I23" i="22"/>
  <c r="H23" i="22"/>
  <c r="G23" i="22"/>
  <c r="F23" i="22"/>
  <c r="E23" i="22"/>
  <c r="D23" i="22"/>
  <c r="C23" i="22"/>
  <c r="B23" i="22"/>
  <c r="AA5" i="22"/>
  <c r="Z5" i="22"/>
  <c r="Y5" i="22"/>
  <c r="X5" i="22"/>
  <c r="W5" i="22"/>
  <c r="V5" i="22"/>
  <c r="U5" i="22"/>
  <c r="T5" i="22"/>
  <c r="S5" i="22"/>
  <c r="R5" i="22"/>
  <c r="Q5" i="22"/>
  <c r="P5" i="22"/>
  <c r="O5" i="22"/>
  <c r="M5" i="22"/>
  <c r="J5" i="22"/>
  <c r="H5" i="22"/>
  <c r="G5" i="22"/>
  <c r="F5" i="22"/>
  <c r="E5" i="22"/>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52"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38" i="21"/>
  <c r="Z23" i="21"/>
  <c r="Y23" i="21"/>
  <c r="X23" i="21"/>
  <c r="W23" i="21"/>
  <c r="V23" i="21"/>
  <c r="U23" i="21"/>
  <c r="T23" i="21"/>
  <c r="S23" i="21"/>
  <c r="R23" i="21"/>
  <c r="Q23" i="21"/>
  <c r="P23" i="21"/>
  <c r="O23" i="21"/>
  <c r="N23" i="21"/>
  <c r="M23" i="21"/>
  <c r="L23" i="21"/>
  <c r="K23" i="21"/>
  <c r="J23" i="21"/>
  <c r="I23" i="21"/>
  <c r="H23" i="21"/>
  <c r="G23" i="21"/>
  <c r="F23" i="21"/>
  <c r="E23" i="21"/>
  <c r="D23" i="21"/>
  <c r="C23" i="21"/>
  <c r="B23" i="21"/>
  <c r="AA5" i="21"/>
  <c r="Z5" i="21"/>
  <c r="Y5" i="21"/>
  <c r="X5" i="21"/>
  <c r="W5" i="21"/>
  <c r="V5" i="21"/>
  <c r="U5" i="21"/>
  <c r="T5" i="21"/>
  <c r="S5" i="21"/>
  <c r="R5" i="21"/>
  <c r="Q5" i="21"/>
  <c r="P5" i="21"/>
  <c r="O5" i="21"/>
  <c r="N5" i="21"/>
  <c r="M5" i="21"/>
  <c r="L5" i="21"/>
  <c r="K5" i="21"/>
  <c r="J5" i="21"/>
  <c r="I5" i="21"/>
  <c r="H5" i="21"/>
  <c r="G5" i="21"/>
  <c r="F5" i="21"/>
  <c r="E5" i="21"/>
  <c r="D5" i="21"/>
  <c r="C5" i="21"/>
  <c r="B5" i="21"/>
  <c r="AA52" i="20"/>
  <c r="Z52" i="20"/>
  <c r="Y52" i="20"/>
  <c r="X52" i="20"/>
  <c r="W52" i="20"/>
  <c r="V52" i="20"/>
  <c r="U52" i="20"/>
  <c r="T52" i="20"/>
  <c r="S52" i="20"/>
  <c r="R52" i="20"/>
  <c r="Q52" i="20"/>
  <c r="P52" i="20"/>
  <c r="O52" i="20"/>
  <c r="N52" i="20"/>
  <c r="M52" i="20"/>
  <c r="L52" i="20"/>
  <c r="K52" i="20"/>
  <c r="J52" i="20"/>
  <c r="I52" i="20"/>
  <c r="H52" i="20"/>
  <c r="G52" i="20"/>
  <c r="F52" i="20"/>
  <c r="E52" i="20"/>
  <c r="D52" i="20"/>
  <c r="C52" i="20"/>
  <c r="B52" i="20"/>
  <c r="AA38" i="20"/>
  <c r="Z38" i="20"/>
  <c r="Y38" i="20"/>
  <c r="X38" i="20"/>
  <c r="W38" i="20"/>
  <c r="V38" i="20"/>
  <c r="U38" i="20"/>
  <c r="T38" i="20"/>
  <c r="S38" i="20"/>
  <c r="R38" i="20"/>
  <c r="Q38" i="20"/>
  <c r="P38" i="20"/>
  <c r="O38" i="20"/>
  <c r="N38" i="20"/>
  <c r="M38" i="20"/>
  <c r="L38" i="20"/>
  <c r="K38" i="20"/>
  <c r="J38" i="20"/>
  <c r="I38" i="20"/>
  <c r="H38" i="20"/>
  <c r="G38" i="20"/>
  <c r="F38" i="20"/>
  <c r="E38" i="20"/>
  <c r="D38" i="20"/>
  <c r="C38" i="20"/>
  <c r="B38" i="20"/>
  <c r="AA23" i="20"/>
  <c r="Z23" i="20"/>
  <c r="Y23" i="20"/>
  <c r="X23" i="20"/>
  <c r="W23" i="20"/>
  <c r="V23" i="20"/>
  <c r="U23" i="20"/>
  <c r="T23" i="20"/>
  <c r="S23" i="20"/>
  <c r="R23" i="20"/>
  <c r="Q23" i="20"/>
  <c r="P23" i="20"/>
  <c r="O23" i="20"/>
  <c r="N23" i="20"/>
  <c r="M23" i="20"/>
  <c r="L23" i="20"/>
  <c r="K23" i="20"/>
  <c r="J23" i="20"/>
  <c r="I23" i="20"/>
  <c r="H23" i="20"/>
  <c r="G23" i="20"/>
  <c r="F23" i="20"/>
  <c r="E23" i="20"/>
  <c r="D23" i="20"/>
  <c r="C23" i="20"/>
  <c r="B23" i="20"/>
  <c r="Z5" i="20"/>
  <c r="Y5" i="20"/>
  <c r="X5" i="20"/>
  <c r="W5" i="20"/>
  <c r="V5" i="20"/>
  <c r="U5" i="20"/>
  <c r="T5" i="20"/>
  <c r="S5" i="20"/>
  <c r="R5" i="20"/>
  <c r="Q5" i="20"/>
  <c r="P5" i="20"/>
  <c r="O5" i="20"/>
  <c r="N5" i="20"/>
  <c r="M5" i="20"/>
  <c r="L5" i="20"/>
  <c r="K5" i="20"/>
  <c r="J5" i="20"/>
  <c r="I5" i="20"/>
  <c r="H5" i="20"/>
  <c r="G5" i="20"/>
  <c r="F5" i="20"/>
  <c r="E5" i="20"/>
  <c r="D5" i="20"/>
  <c r="C5" i="20"/>
  <c r="B5" i="20"/>
  <c r="AA52" i="19"/>
  <c r="Z52" i="19"/>
  <c r="Y52" i="19"/>
  <c r="X52" i="19"/>
  <c r="W52" i="19"/>
  <c r="V52" i="19"/>
  <c r="U52" i="19"/>
  <c r="T52" i="19"/>
  <c r="S52" i="19"/>
  <c r="R52" i="19"/>
  <c r="Q52" i="19"/>
  <c r="P52" i="19"/>
  <c r="O52" i="19"/>
  <c r="N52" i="19"/>
  <c r="M52" i="19"/>
  <c r="L52" i="19"/>
  <c r="K52" i="19"/>
  <c r="J52" i="19"/>
  <c r="I52" i="19"/>
  <c r="H52" i="19"/>
  <c r="G52" i="19"/>
  <c r="F52" i="19"/>
  <c r="E52" i="19"/>
  <c r="D52" i="19"/>
  <c r="C52" i="19"/>
  <c r="B52" i="19"/>
  <c r="AA38" i="19"/>
  <c r="Z38" i="19"/>
  <c r="Y38" i="19"/>
  <c r="X38" i="19"/>
  <c r="W38" i="19"/>
  <c r="V38" i="19"/>
  <c r="U38" i="19"/>
  <c r="T38" i="19"/>
  <c r="S38" i="19"/>
  <c r="R38" i="19"/>
  <c r="Q38" i="19"/>
  <c r="P38" i="19"/>
  <c r="O38" i="19"/>
  <c r="N38" i="19"/>
  <c r="M38" i="19"/>
  <c r="L38" i="19"/>
  <c r="K38" i="19"/>
  <c r="J38" i="19"/>
  <c r="I38" i="19"/>
  <c r="H38" i="19"/>
  <c r="G38" i="19"/>
  <c r="F38" i="19"/>
  <c r="E38" i="19"/>
  <c r="D38" i="19"/>
  <c r="C38" i="19"/>
  <c r="B38" i="19"/>
  <c r="AA23" i="19"/>
  <c r="Z23" i="19"/>
  <c r="Y23" i="19"/>
  <c r="X23" i="19"/>
  <c r="W23" i="19"/>
  <c r="V23" i="19"/>
  <c r="U23" i="19"/>
  <c r="T23" i="19"/>
  <c r="S23" i="19"/>
  <c r="R23" i="19"/>
  <c r="Q23" i="19"/>
  <c r="P23" i="19"/>
  <c r="O23" i="19"/>
  <c r="N23" i="19"/>
  <c r="M23" i="19"/>
  <c r="L23" i="19"/>
  <c r="K23" i="19"/>
  <c r="J23" i="19"/>
  <c r="I23" i="19"/>
  <c r="H23" i="19"/>
  <c r="G23" i="19"/>
  <c r="F23" i="19"/>
  <c r="E23" i="19"/>
  <c r="D23" i="19"/>
  <c r="C23" i="19"/>
  <c r="B23" i="19"/>
  <c r="AA5" i="19"/>
  <c r="Z5" i="19"/>
  <c r="Y5" i="19"/>
  <c r="X5" i="19"/>
  <c r="W5" i="19"/>
  <c r="V5" i="19"/>
  <c r="U5" i="19"/>
  <c r="T5" i="19"/>
  <c r="S5" i="19"/>
  <c r="R5" i="19"/>
  <c r="Q5" i="19"/>
  <c r="P5" i="19"/>
  <c r="O5" i="19"/>
  <c r="N5" i="19"/>
  <c r="M5" i="19"/>
  <c r="L5" i="19"/>
  <c r="K5" i="19"/>
  <c r="J5" i="19"/>
  <c r="I5" i="19"/>
  <c r="H5" i="19"/>
  <c r="G5" i="19"/>
  <c r="F5" i="19"/>
  <c r="E5" i="19"/>
  <c r="D5" i="19"/>
  <c r="C5" i="19"/>
  <c r="B5" i="19"/>
  <c r="C52" i="18"/>
  <c r="D52" i="18"/>
  <c r="E52" i="18"/>
  <c r="F52" i="18"/>
  <c r="G52" i="18"/>
  <c r="H52" i="18"/>
  <c r="I52" i="18"/>
  <c r="J52" i="18"/>
  <c r="K52" i="18"/>
  <c r="L52" i="18"/>
  <c r="M52" i="18"/>
  <c r="N52" i="18"/>
  <c r="O52" i="18"/>
  <c r="P52" i="18"/>
  <c r="Q52" i="18"/>
  <c r="R52" i="18"/>
  <c r="S52" i="18"/>
  <c r="T52" i="18"/>
  <c r="U52" i="18"/>
  <c r="V52" i="18"/>
  <c r="W52" i="18"/>
  <c r="X52" i="18"/>
  <c r="Y52" i="18"/>
  <c r="Z52" i="18"/>
  <c r="AA52" i="18"/>
  <c r="B52" i="18"/>
  <c r="C38" i="18"/>
  <c r="D38" i="18"/>
  <c r="E38" i="18"/>
  <c r="F38" i="18"/>
  <c r="G38" i="18"/>
  <c r="H38" i="18"/>
  <c r="I38" i="18"/>
  <c r="J38" i="18"/>
  <c r="K38" i="18"/>
  <c r="L38" i="18"/>
  <c r="M38" i="18"/>
  <c r="N38" i="18"/>
  <c r="O38" i="18"/>
  <c r="P38" i="18"/>
  <c r="Q38" i="18"/>
  <c r="R38" i="18"/>
  <c r="S38" i="18"/>
  <c r="T38" i="18"/>
  <c r="U38" i="18"/>
  <c r="V38" i="18"/>
  <c r="W38" i="18"/>
  <c r="X38" i="18"/>
  <c r="Y38" i="18"/>
  <c r="Z38" i="18"/>
  <c r="AA38" i="18"/>
  <c r="B38" i="18"/>
  <c r="C23" i="18"/>
  <c r="D23" i="18"/>
  <c r="E23" i="18"/>
  <c r="F23" i="18"/>
  <c r="G23" i="18"/>
  <c r="H23" i="18"/>
  <c r="I23" i="18"/>
  <c r="J23" i="18"/>
  <c r="K23" i="18"/>
  <c r="L23" i="18"/>
  <c r="M23" i="18"/>
  <c r="N23" i="18"/>
  <c r="O23" i="18"/>
  <c r="P23" i="18"/>
  <c r="Q23" i="18"/>
  <c r="R23" i="18"/>
  <c r="S23" i="18"/>
  <c r="T23" i="18"/>
  <c r="U23" i="18"/>
  <c r="V23" i="18"/>
  <c r="W23" i="18"/>
  <c r="X23" i="18"/>
  <c r="Y23" i="18"/>
  <c r="Z23" i="18"/>
  <c r="AA23" i="18"/>
  <c r="B23" i="18"/>
  <c r="C5" i="18"/>
  <c r="D5" i="18"/>
  <c r="E5" i="18"/>
  <c r="F5" i="18"/>
  <c r="G5" i="18"/>
  <c r="H5" i="18"/>
  <c r="I5" i="18"/>
  <c r="J5" i="18"/>
  <c r="K5" i="18"/>
  <c r="L5" i="18"/>
  <c r="M5" i="18"/>
  <c r="N5" i="18"/>
  <c r="O5" i="18"/>
  <c r="P5" i="18"/>
  <c r="Q5" i="18"/>
  <c r="R5" i="18"/>
  <c r="S5" i="18"/>
  <c r="T5" i="18"/>
  <c r="U5" i="18"/>
  <c r="V5" i="18"/>
  <c r="W5" i="18"/>
  <c r="X5" i="18"/>
  <c r="Y5" i="18"/>
  <c r="Z5" i="18"/>
  <c r="AA5" i="18"/>
  <c r="B5" i="18"/>
  <c r="R4" i="21" l="1"/>
  <c r="J4" i="21"/>
  <c r="Y4" i="20"/>
  <c r="N13" i="17"/>
  <c r="L13" i="17"/>
  <c r="K13" i="17"/>
  <c r="J13" i="17"/>
  <c r="N22" i="17"/>
  <c r="L22" i="17"/>
  <c r="K22" i="17"/>
  <c r="Z4" i="20"/>
  <c r="N62" i="17"/>
  <c r="L62" i="17"/>
  <c r="I62" i="17"/>
  <c r="N53" i="17"/>
  <c r="N45" i="17"/>
  <c r="L45" i="17"/>
  <c r="K45" i="17"/>
  <c r="N36" i="17"/>
  <c r="K36" i="17"/>
  <c r="L36" i="17"/>
  <c r="I36" i="17"/>
  <c r="N27" i="17"/>
  <c r="K27" i="17"/>
  <c r="J27" i="17"/>
  <c r="I27" i="17"/>
  <c r="N19" i="17"/>
  <c r="K31" i="17"/>
  <c r="N31" i="17"/>
  <c r="L31" i="17"/>
  <c r="L47" i="17"/>
  <c r="K47" i="17"/>
  <c r="N47" i="17"/>
  <c r="J47" i="17"/>
  <c r="I47" i="17"/>
  <c r="N17" i="17"/>
  <c r="I17" i="17"/>
  <c r="L63" i="17"/>
  <c r="N63" i="17"/>
  <c r="I63" i="17"/>
  <c r="N46" i="17"/>
  <c r="L46" i="17"/>
  <c r="K46" i="17"/>
  <c r="L35" i="17"/>
  <c r="K35" i="17"/>
  <c r="N35" i="17"/>
  <c r="J35" i="17"/>
  <c r="I35" i="17"/>
  <c r="N16" i="17"/>
  <c r="K16" i="17"/>
  <c r="J16" i="17"/>
  <c r="U68" i="17"/>
  <c r="R68" i="17"/>
  <c r="S68" i="17"/>
  <c r="T68" i="17"/>
  <c r="Q68" i="17"/>
  <c r="P68" i="17"/>
  <c r="W68" i="17" s="1"/>
  <c r="N60" i="17"/>
  <c r="L60" i="17"/>
  <c r="K60" i="17"/>
  <c r="I60" i="17"/>
  <c r="N51" i="17"/>
  <c r="L51" i="17"/>
  <c r="K51" i="17"/>
  <c r="I51" i="17"/>
  <c r="J51" i="17"/>
  <c r="N42" i="17"/>
  <c r="L42" i="17"/>
  <c r="J42" i="17"/>
  <c r="I42" i="17"/>
  <c r="N34" i="17"/>
  <c r="L34" i="17"/>
  <c r="I34" i="17"/>
  <c r="N21" i="17"/>
  <c r="L21" i="17"/>
  <c r="K21" i="17"/>
  <c r="I21" i="17"/>
  <c r="K56" i="17"/>
  <c r="N56" i="17"/>
  <c r="L56" i="17"/>
  <c r="J56" i="17"/>
  <c r="I56" i="17"/>
  <c r="L48" i="17"/>
  <c r="K48" i="17"/>
  <c r="N48" i="17"/>
  <c r="J48" i="17"/>
  <c r="L39" i="17"/>
  <c r="N39" i="17"/>
  <c r="J39" i="17"/>
  <c r="L20" i="17"/>
  <c r="K20" i="17"/>
  <c r="N20" i="17"/>
  <c r="J20" i="17"/>
  <c r="I20" i="17"/>
  <c r="L64" i="17"/>
  <c r="N64" i="17"/>
  <c r="K64" i="17"/>
  <c r="I64" i="17"/>
  <c r="K55" i="17"/>
  <c r="N55" i="17"/>
  <c r="J55" i="17"/>
  <c r="I55" i="17"/>
  <c r="N38" i="17"/>
  <c r="I38" i="17"/>
  <c r="N54" i="17"/>
  <c r="L54" i="17"/>
  <c r="K54" i="17"/>
  <c r="I54" i="17"/>
  <c r="N14" i="17"/>
  <c r="L14" i="17"/>
  <c r="K14" i="17"/>
  <c r="J14" i="17"/>
  <c r="R4" i="20"/>
  <c r="L61" i="17"/>
  <c r="N61" i="17"/>
  <c r="K61" i="17"/>
  <c r="I61" i="17"/>
  <c r="N24" i="17"/>
  <c r="K24" i="17"/>
  <c r="J24" i="17"/>
  <c r="N67" i="17"/>
  <c r="L67" i="17"/>
  <c r="K67" i="17"/>
  <c r="N59" i="17"/>
  <c r="L59" i="17"/>
  <c r="I59" i="17"/>
  <c r="N50" i="17"/>
  <c r="I50" i="17"/>
  <c r="J50" i="17"/>
  <c r="K41" i="17"/>
  <c r="N41" i="17"/>
  <c r="L41" i="17"/>
  <c r="J41" i="17"/>
  <c r="I41" i="17"/>
  <c r="L33" i="17"/>
  <c r="K33" i="17"/>
  <c r="N33" i="17"/>
  <c r="J33" i="17"/>
  <c r="L26" i="17"/>
  <c r="K26" i="17"/>
  <c r="N26" i="17"/>
  <c r="N18" i="17"/>
  <c r="K18" i="17"/>
  <c r="J18" i="17"/>
  <c r="I18" i="17"/>
  <c r="L65" i="17"/>
  <c r="K65" i="17"/>
  <c r="N65" i="17"/>
  <c r="I65" i="17"/>
  <c r="N25" i="17"/>
  <c r="K25" i="17"/>
  <c r="L25" i="17"/>
  <c r="J25" i="17"/>
  <c r="I25" i="17"/>
  <c r="Z4" i="21"/>
  <c r="L37" i="17"/>
  <c r="K37" i="17"/>
  <c r="N37" i="17"/>
  <c r="J37" i="17"/>
  <c r="J4" i="20"/>
  <c r="K52" i="17"/>
  <c r="N52" i="17"/>
  <c r="L52" i="17"/>
  <c r="J52" i="17"/>
  <c r="N12" i="17"/>
  <c r="L12" i="17"/>
  <c r="K12" i="17"/>
  <c r="I12" i="17"/>
  <c r="J12" i="17"/>
  <c r="L66" i="17"/>
  <c r="K66" i="17"/>
  <c r="N66" i="17"/>
  <c r="L49" i="17"/>
  <c r="K49" i="17"/>
  <c r="N49" i="17"/>
  <c r="J49" i="17"/>
  <c r="N40" i="17"/>
  <c r="L40" i="17"/>
  <c r="K40" i="17"/>
  <c r="J40" i="17"/>
  <c r="I40" i="17"/>
  <c r="N32" i="17"/>
  <c r="K32" i="17"/>
  <c r="L32" i="17"/>
  <c r="I32" i="17"/>
  <c r="L23" i="17"/>
  <c r="N23" i="17"/>
  <c r="I23" i="17"/>
  <c r="L15" i="17"/>
  <c r="N15" i="17"/>
  <c r="B52" i="26"/>
  <c r="R4" i="22"/>
  <c r="Z4" i="22"/>
  <c r="M4" i="25"/>
  <c r="T4" i="21"/>
  <c r="AA38" i="26"/>
  <c r="S38" i="26"/>
  <c r="K38" i="26"/>
  <c r="C38" i="26"/>
  <c r="J23" i="26"/>
  <c r="J4" i="19"/>
  <c r="Z4" i="19"/>
  <c r="B23" i="26"/>
  <c r="R23" i="26"/>
  <c r="R4" i="19"/>
  <c r="N23" i="26"/>
  <c r="Y52" i="26"/>
  <c r="Z4" i="25"/>
  <c r="Q52" i="26"/>
  <c r="R4" i="25"/>
  <c r="I52" i="26"/>
  <c r="J4" i="25"/>
  <c r="U4" i="25"/>
  <c r="P38" i="26"/>
  <c r="H38" i="26"/>
  <c r="Z52" i="26"/>
  <c r="R52" i="26"/>
  <c r="J52" i="26"/>
  <c r="AA4" i="24"/>
  <c r="S4" i="24"/>
  <c r="Y4" i="24"/>
  <c r="Z23" i="26"/>
  <c r="V4" i="24"/>
  <c r="T4" i="24"/>
  <c r="J4" i="24"/>
  <c r="R4" i="24"/>
  <c r="Z4" i="24"/>
  <c r="X4" i="24"/>
  <c r="O4" i="24"/>
  <c r="M4" i="24"/>
  <c r="AA4" i="22"/>
  <c r="S4" i="22"/>
  <c r="V52" i="26"/>
  <c r="V23" i="26"/>
  <c r="F23" i="26"/>
  <c r="S4" i="21"/>
  <c r="F52" i="26"/>
  <c r="AA4" i="21"/>
  <c r="G23" i="26"/>
  <c r="K52" i="26"/>
  <c r="S4" i="20"/>
  <c r="AC9" i="17"/>
  <c r="S52" i="26"/>
  <c r="M38" i="26"/>
  <c r="O23" i="26"/>
  <c r="C52" i="26"/>
  <c r="U38" i="26"/>
  <c r="AA52" i="26"/>
  <c r="E38" i="26"/>
  <c r="J5" i="26"/>
  <c r="V38" i="26"/>
  <c r="N38" i="26"/>
  <c r="F38" i="26"/>
  <c r="P52" i="26"/>
  <c r="H52" i="26"/>
  <c r="D38" i="26"/>
  <c r="L38" i="26"/>
  <c r="T38" i="26"/>
  <c r="H5" i="26"/>
  <c r="P5" i="26"/>
  <c r="X5" i="26"/>
  <c r="E5" i="26"/>
  <c r="Y38" i="26"/>
  <c r="Q38" i="26"/>
  <c r="I38" i="26"/>
  <c r="Y4" i="19"/>
  <c r="G38" i="26"/>
  <c r="I26" i="17"/>
  <c r="U4" i="18"/>
  <c r="T4" i="18"/>
  <c r="X38" i="26"/>
  <c r="O38" i="26"/>
  <c r="E52" i="26"/>
  <c r="M52" i="26"/>
  <c r="U52" i="26"/>
  <c r="N52" i="26"/>
  <c r="L50" i="17"/>
  <c r="K17" i="17"/>
  <c r="L17" i="17"/>
  <c r="K38" i="17"/>
  <c r="K34" i="17"/>
  <c r="X52" i="26"/>
  <c r="K63" i="17"/>
  <c r="L27" i="17"/>
  <c r="J19" i="17"/>
  <c r="K19" i="17"/>
  <c r="L19" i="17"/>
  <c r="K53" i="17"/>
  <c r="L53" i="17"/>
  <c r="J45" i="17"/>
  <c r="M4" i="18"/>
  <c r="F5" i="26"/>
  <c r="C23" i="26"/>
  <c r="K23" i="26"/>
  <c r="S23" i="26"/>
  <c r="AA23" i="26"/>
  <c r="K62" i="17"/>
  <c r="L55" i="17"/>
  <c r="L24" i="17"/>
  <c r="I24" i="17"/>
  <c r="L16" i="17"/>
  <c r="L18" i="17"/>
  <c r="K59" i="17"/>
  <c r="K42" i="17"/>
  <c r="D23" i="26"/>
  <c r="L23" i="26"/>
  <c r="G52" i="26"/>
  <c r="O52" i="26"/>
  <c r="W52" i="26"/>
  <c r="I46" i="17"/>
  <c r="K39" i="17"/>
  <c r="I31" i="17"/>
  <c r="J31" i="17"/>
  <c r="J21" i="17"/>
  <c r="Z11" i="16"/>
  <c r="AB11" i="16"/>
  <c r="W23" i="26"/>
  <c r="W38" i="26"/>
  <c r="AA5" i="26"/>
  <c r="S4" i="18"/>
  <c r="S5" i="26"/>
  <c r="U23" i="26"/>
  <c r="M23" i="26"/>
  <c r="E23" i="26"/>
  <c r="S4" i="19"/>
  <c r="AA4" i="19"/>
  <c r="T4" i="22"/>
  <c r="T4" i="25"/>
  <c r="V5" i="26"/>
  <c r="Q5" i="26"/>
  <c r="U5" i="26"/>
  <c r="T5" i="26"/>
  <c r="W4" i="18"/>
  <c r="W5" i="26"/>
  <c r="O4" i="18"/>
  <c r="O5" i="26"/>
  <c r="G5" i="26"/>
  <c r="Y23" i="26"/>
  <c r="Q23" i="26"/>
  <c r="I23" i="26"/>
  <c r="O4" i="19"/>
  <c r="W4" i="19"/>
  <c r="O4" i="20"/>
  <c r="W4" i="20"/>
  <c r="X4" i="21"/>
  <c r="X4" i="22"/>
  <c r="W4" i="24"/>
  <c r="V4" i="25"/>
  <c r="B38" i="26"/>
  <c r="T23" i="26"/>
  <c r="X23" i="26"/>
  <c r="P23" i="26"/>
  <c r="H23" i="26"/>
  <c r="Z38" i="26"/>
  <c r="R38" i="26"/>
  <c r="J38" i="26"/>
  <c r="T52" i="26"/>
  <c r="L52" i="26"/>
  <c r="D52" i="26"/>
  <c r="M5" i="26"/>
  <c r="AB38" i="26"/>
  <c r="V4" i="18"/>
  <c r="X4" i="19"/>
  <c r="X4" i="20"/>
  <c r="Y4" i="21"/>
  <c r="Y4" i="22"/>
  <c r="S4" i="25"/>
  <c r="AA4" i="25"/>
  <c r="K50" i="17"/>
  <c r="AB52" i="26"/>
  <c r="R4" i="18"/>
  <c r="T4" i="19"/>
  <c r="T4" i="20"/>
  <c r="M4" i="21"/>
  <c r="U4" i="21"/>
  <c r="J4" i="22"/>
  <c r="U4" i="22"/>
  <c r="O4" i="25"/>
  <c r="W4" i="25"/>
  <c r="AB4" i="1"/>
  <c r="AB5" i="13"/>
  <c r="Z4" i="18"/>
  <c r="M4" i="19"/>
  <c r="U4" i="19"/>
  <c r="M4" i="20"/>
  <c r="U4" i="20"/>
  <c r="V4" i="21"/>
  <c r="M4" i="22"/>
  <c r="V4" i="22"/>
  <c r="X4" i="25"/>
  <c r="Z5" i="26"/>
  <c r="N10" i="17" s="1"/>
  <c r="R5" i="26"/>
  <c r="AA4" i="20"/>
  <c r="AB5" i="26"/>
  <c r="J4" i="18"/>
  <c r="Y4" i="18"/>
  <c r="X4" i="18"/>
  <c r="V4" i="19"/>
  <c r="V4" i="20"/>
  <c r="O4" i="21"/>
  <c r="W4" i="21"/>
  <c r="O4" i="22"/>
  <c r="W4" i="22"/>
  <c r="Y4" i="25"/>
  <c r="Y5" i="26"/>
  <c r="AB23" i="26"/>
  <c r="AB4" i="25"/>
  <c r="AA12" i="17"/>
  <c r="AE12" i="17" s="1"/>
  <c r="AA13" i="17"/>
  <c r="AE13" i="17" s="1"/>
  <c r="AA14" i="17"/>
  <c r="AE14" i="17" s="1"/>
  <c r="AA15" i="17"/>
  <c r="AE15" i="17" s="1"/>
  <c r="AA16" i="17"/>
  <c r="AE16" i="17" s="1"/>
  <c r="AA17" i="17"/>
  <c r="AE17" i="17" s="1"/>
  <c r="AA18" i="17"/>
  <c r="AE18" i="17" s="1"/>
  <c r="AA19" i="17"/>
  <c r="AE19" i="17" s="1"/>
  <c r="AA20" i="17"/>
  <c r="AE20" i="17" s="1"/>
  <c r="AA21" i="17"/>
  <c r="AE21" i="17" s="1"/>
  <c r="AA22" i="17"/>
  <c r="AE22" i="17" s="1"/>
  <c r="AA23" i="17"/>
  <c r="AE23" i="17" s="1"/>
  <c r="AA24" i="17"/>
  <c r="AE24" i="17" s="1"/>
  <c r="AA25" i="17"/>
  <c r="AE25" i="17" s="1"/>
  <c r="AA26" i="17"/>
  <c r="AE26" i="17" s="1"/>
  <c r="AA27" i="17"/>
  <c r="AE27" i="17" s="1"/>
  <c r="AA30" i="17"/>
  <c r="AE30" i="17" s="1"/>
  <c r="AA31" i="17"/>
  <c r="AE31" i="17" s="1"/>
  <c r="AA32" i="17"/>
  <c r="AE32" i="17" s="1"/>
  <c r="AA33" i="17"/>
  <c r="AE33" i="17" s="1"/>
  <c r="AA34" i="17"/>
  <c r="AE34" i="17" s="1"/>
  <c r="AA35" i="17"/>
  <c r="AE35" i="17" s="1"/>
  <c r="AA36" i="17"/>
  <c r="AE36" i="17" s="1"/>
  <c r="AA37" i="17"/>
  <c r="AE37" i="17" s="1"/>
  <c r="AA38" i="17"/>
  <c r="AE38" i="17" s="1"/>
  <c r="AA39" i="17"/>
  <c r="AE39" i="17" s="1"/>
  <c r="AA40" i="17"/>
  <c r="AE40" i="17" s="1"/>
  <c r="AA41" i="17"/>
  <c r="AE41" i="17" s="1"/>
  <c r="AA42" i="17"/>
  <c r="AE42" i="17" s="1"/>
  <c r="AA45" i="17"/>
  <c r="AE45" i="17" s="1"/>
  <c r="AA46" i="17"/>
  <c r="AE46" i="17" s="1"/>
  <c r="AA47" i="17"/>
  <c r="AE47" i="17" s="1"/>
  <c r="AA48" i="17"/>
  <c r="AE48" i="17" s="1"/>
  <c r="AA49" i="17"/>
  <c r="AE49" i="17" s="1"/>
  <c r="AA50" i="17"/>
  <c r="AE50" i="17" s="1"/>
  <c r="AA51" i="17"/>
  <c r="AE51" i="17" s="1"/>
  <c r="AA52" i="17"/>
  <c r="AE52" i="17" s="1"/>
  <c r="AA53" i="17"/>
  <c r="AE53" i="17" s="1"/>
  <c r="AA54" i="17"/>
  <c r="AE54" i="17" s="1"/>
  <c r="AA55" i="17"/>
  <c r="AE55" i="17" s="1"/>
  <c r="AA56" i="17"/>
  <c r="AE56" i="17" s="1"/>
  <c r="X12" i="17"/>
  <c r="X13" i="17"/>
  <c r="X14" i="17"/>
  <c r="X15" i="17"/>
  <c r="X16" i="17"/>
  <c r="X17" i="17"/>
  <c r="X18" i="17"/>
  <c r="X19" i="17"/>
  <c r="X20" i="17"/>
  <c r="X21" i="17"/>
  <c r="X22" i="17"/>
  <c r="X23" i="17"/>
  <c r="X24" i="17"/>
  <c r="X25" i="17"/>
  <c r="X26" i="17"/>
  <c r="X27" i="17"/>
  <c r="X30" i="17"/>
  <c r="X31" i="17"/>
  <c r="X32" i="17"/>
  <c r="X33" i="17"/>
  <c r="X34" i="17"/>
  <c r="X35" i="17"/>
  <c r="X36" i="17"/>
  <c r="X37" i="17"/>
  <c r="X38" i="17"/>
  <c r="X39" i="17"/>
  <c r="X40" i="17"/>
  <c r="X41" i="17"/>
  <c r="X42" i="17"/>
  <c r="X45" i="17"/>
  <c r="X46" i="17"/>
  <c r="X47" i="17"/>
  <c r="X48" i="17"/>
  <c r="X49" i="17"/>
  <c r="X50" i="17"/>
  <c r="X51" i="17"/>
  <c r="X52" i="17"/>
  <c r="X53" i="17"/>
  <c r="X54" i="17"/>
  <c r="X55" i="17"/>
  <c r="X56" i="17"/>
  <c r="AA68" i="17"/>
  <c r="AE68" i="17" s="1"/>
  <c r="X68" i="17"/>
  <c r="AA67" i="17"/>
  <c r="AE67" i="17" s="1"/>
  <c r="X67" i="17"/>
  <c r="AA66" i="17"/>
  <c r="AE66" i="17" s="1"/>
  <c r="X66" i="17"/>
  <c r="AA65" i="17"/>
  <c r="AE65" i="17" s="1"/>
  <c r="X65" i="17"/>
  <c r="AA64" i="17"/>
  <c r="AE64" i="17" s="1"/>
  <c r="X64" i="17"/>
  <c r="AA63" i="17"/>
  <c r="AE63" i="17" s="1"/>
  <c r="X63" i="17"/>
  <c r="AA62" i="17"/>
  <c r="AE62" i="17" s="1"/>
  <c r="X62" i="17"/>
  <c r="AA61" i="17"/>
  <c r="AE61" i="17" s="1"/>
  <c r="X61" i="17"/>
  <c r="AA60" i="17"/>
  <c r="AE60" i="17" s="1"/>
  <c r="X60" i="17"/>
  <c r="AA59" i="17"/>
  <c r="AE59" i="17" s="1"/>
  <c r="X59" i="17"/>
  <c r="AA4" i="18"/>
  <c r="K10" i="17" l="1"/>
  <c r="K43" i="17"/>
  <c r="N43" i="17"/>
  <c r="N28" i="17"/>
  <c r="L57" i="17"/>
  <c r="L28" i="17"/>
  <c r="L43" i="17"/>
  <c r="N57" i="17"/>
  <c r="M43" i="17"/>
  <c r="K28" i="17"/>
  <c r="R4" i="26"/>
  <c r="Z10" i="16"/>
  <c r="J4" i="26"/>
  <c r="Z4" i="26"/>
  <c r="N9" i="17" s="1"/>
  <c r="Z17" i="17"/>
  <c r="AB25" i="17"/>
  <c r="AB54" i="17"/>
  <c r="AB24" i="17"/>
  <c r="AB30" i="17"/>
  <c r="AB68" i="17"/>
  <c r="Z54" i="17"/>
  <c r="AB50" i="17"/>
  <c r="AB48" i="17"/>
  <c r="Z20" i="17"/>
  <c r="Z46" i="17"/>
  <c r="AB23" i="17"/>
  <c r="Z32" i="17"/>
  <c r="Z27" i="17"/>
  <c r="AB61" i="17"/>
  <c r="W45" i="17"/>
  <c r="AB16" i="17"/>
  <c r="Z35" i="17"/>
  <c r="AB65" i="17"/>
  <c r="Z26" i="17"/>
  <c r="U4" i="26"/>
  <c r="AB36" i="17"/>
  <c r="AB40" i="17"/>
  <c r="Z53" i="17"/>
  <c r="W66" i="17"/>
  <c r="Z22" i="17"/>
  <c r="W60" i="17"/>
  <c r="AB33" i="17"/>
  <c r="W34" i="17"/>
  <c r="W15" i="17"/>
  <c r="Z18" i="17"/>
  <c r="J46" i="17"/>
  <c r="I66" i="17"/>
  <c r="AB39" i="17"/>
  <c r="W37" i="17"/>
  <c r="W33" i="17"/>
  <c r="Z12" i="17"/>
  <c r="AB46" i="17"/>
  <c r="Z23" i="17"/>
  <c r="W16" i="17"/>
  <c r="W55" i="17"/>
  <c r="AB51" i="17"/>
  <c r="AB60" i="17"/>
  <c r="Z48" i="17"/>
  <c r="AB34" i="17"/>
  <c r="Z36" i="17"/>
  <c r="AD36" i="17" s="1"/>
  <c r="J22" i="17"/>
  <c r="J36" i="17"/>
  <c r="AB42" i="17"/>
  <c r="W53" i="17"/>
  <c r="W38" i="17"/>
  <c r="I53" i="17"/>
  <c r="Z45" i="17"/>
  <c r="J54" i="17"/>
  <c r="M4" i="26"/>
  <c r="AB20" i="17"/>
  <c r="AB21" i="17"/>
  <c r="AB12" i="17"/>
  <c r="Z34" i="17"/>
  <c r="T4" i="26"/>
  <c r="W39" i="17"/>
  <c r="AB55" i="17"/>
  <c r="I33" i="17"/>
  <c r="L38" i="17"/>
  <c r="K15" i="17"/>
  <c r="AB63" i="17"/>
  <c r="AB27" i="17"/>
  <c r="AB53" i="17"/>
  <c r="AB15" i="17"/>
  <c r="AB26" i="17"/>
  <c r="J34" i="17"/>
  <c r="Z15" i="17"/>
  <c r="AB22" i="17"/>
  <c r="AB45" i="17"/>
  <c r="AB19" i="17"/>
  <c r="AB52" i="17"/>
  <c r="AA4" i="26"/>
  <c r="I37" i="17"/>
  <c r="Z52" i="17"/>
  <c r="Z39" i="17"/>
  <c r="W54" i="17"/>
  <c r="AB14" i="17"/>
  <c r="AB37" i="17"/>
  <c r="AB67" i="17"/>
  <c r="AB56" i="17"/>
  <c r="K57" i="17"/>
  <c r="AB35" i="17"/>
  <c r="W52" i="17"/>
  <c r="K23" i="17"/>
  <c r="AB66" i="17"/>
  <c r="AB47" i="17"/>
  <c r="AB17" i="17"/>
  <c r="Z37" i="17"/>
  <c r="W14" i="17"/>
  <c r="AB59" i="17"/>
  <c r="AB32" i="17"/>
  <c r="AB41" i="17"/>
  <c r="AB49" i="17"/>
  <c r="AB64" i="17"/>
  <c r="AB13" i="17"/>
  <c r="AB31" i="17"/>
  <c r="AB18" i="17"/>
  <c r="Z14" i="17"/>
  <c r="AB62" i="17"/>
  <c r="AB38" i="17"/>
  <c r="AD11" i="16"/>
  <c r="AB10" i="16"/>
  <c r="M36" i="17"/>
  <c r="M32" i="17"/>
  <c r="M41" i="17"/>
  <c r="J26" i="17"/>
  <c r="W56" i="17"/>
  <c r="W13" i="17"/>
  <c r="J62" i="17"/>
  <c r="Z62" i="17"/>
  <c r="M66" i="17"/>
  <c r="W19" i="17"/>
  <c r="M31" i="17"/>
  <c r="M60" i="17"/>
  <c r="M26" i="17"/>
  <c r="Z56" i="17"/>
  <c r="Z31" i="17"/>
  <c r="M20" i="17"/>
  <c r="Z68" i="17"/>
  <c r="W22" i="17"/>
  <c r="M54" i="17"/>
  <c r="W48" i="17"/>
  <c r="W24" i="17"/>
  <c r="W27" i="17"/>
  <c r="Z64" i="17"/>
  <c r="J64" i="17"/>
  <c r="M40" i="17"/>
  <c r="W23" i="17"/>
  <c r="M67" i="17"/>
  <c r="I13" i="17"/>
  <c r="Z55" i="17"/>
  <c r="Z47" i="17"/>
  <c r="Z38" i="17"/>
  <c r="Z30" i="17"/>
  <c r="Z21" i="17"/>
  <c r="Z13" i="17"/>
  <c r="J53" i="17"/>
  <c r="J32" i="17"/>
  <c r="J23" i="17"/>
  <c r="J15" i="17"/>
  <c r="W59" i="17"/>
  <c r="W35" i="17"/>
  <c r="M52" i="17"/>
  <c r="Y4" i="26"/>
  <c r="M13" i="17"/>
  <c r="W21" i="17"/>
  <c r="Z61" i="17"/>
  <c r="J61" i="17"/>
  <c r="AB4" i="13"/>
  <c r="W30" i="17"/>
  <c r="W18" i="17"/>
  <c r="W47" i="17"/>
  <c r="O4" i="26"/>
  <c r="M63" i="17"/>
  <c r="M39" i="17"/>
  <c r="M64" i="17"/>
  <c r="M59" i="17"/>
  <c r="J67" i="17"/>
  <c r="Z67" i="17"/>
  <c r="Z60" i="17"/>
  <c r="J60" i="17"/>
  <c r="M46" i="17"/>
  <c r="M50" i="17"/>
  <c r="J63" i="17"/>
  <c r="Z63" i="17"/>
  <c r="I16" i="17"/>
  <c r="W65" i="17"/>
  <c r="M61" i="17"/>
  <c r="Z59" i="17"/>
  <c r="J59" i="17"/>
  <c r="W64" i="17"/>
  <c r="W32" i="17"/>
  <c r="W20" i="17"/>
  <c r="M37" i="17"/>
  <c r="M24" i="17"/>
  <c r="M51" i="17"/>
  <c r="M15" i="17"/>
  <c r="M25" i="17"/>
  <c r="I15" i="17"/>
  <c r="Z51" i="17"/>
  <c r="Z25" i="17"/>
  <c r="J38" i="17"/>
  <c r="J17" i="17"/>
  <c r="M38" i="17"/>
  <c r="W17" i="17"/>
  <c r="M48" i="17"/>
  <c r="W51" i="17"/>
  <c r="Z65" i="17"/>
  <c r="J65" i="17"/>
  <c r="Z50" i="17"/>
  <c r="Z41" i="17"/>
  <c r="Z33" i="17"/>
  <c r="Z24" i="17"/>
  <c r="Z16" i="17"/>
  <c r="W62" i="17"/>
  <c r="AB4" i="26"/>
  <c r="W12" i="17"/>
  <c r="M45" i="17"/>
  <c r="W46" i="17"/>
  <c r="M18" i="17"/>
  <c r="W42" i="17"/>
  <c r="V4" i="26"/>
  <c r="M49" i="17"/>
  <c r="M19" i="17"/>
  <c r="W31" i="17"/>
  <c r="W40" i="17"/>
  <c r="S4" i="26"/>
  <c r="W41" i="17"/>
  <c r="M12" i="17"/>
  <c r="M62" i="17"/>
  <c r="M23" i="17"/>
  <c r="Z19" i="17"/>
  <c r="M56" i="17"/>
  <c r="W67" i="17"/>
  <c r="I67" i="17"/>
  <c r="M53" i="17"/>
  <c r="J66" i="17"/>
  <c r="Z66" i="17"/>
  <c r="M17" i="17"/>
  <c r="W4" i="26"/>
  <c r="W49" i="17"/>
  <c r="M27" i="17"/>
  <c r="I49" i="17"/>
  <c r="I45" i="17"/>
  <c r="I19" i="17"/>
  <c r="Z42" i="17"/>
  <c r="W63" i="17"/>
  <c r="M22" i="17"/>
  <c r="M42" i="17"/>
  <c r="W50" i="17"/>
  <c r="M35" i="17"/>
  <c r="M55" i="17"/>
  <c r="M33" i="17"/>
  <c r="W25" i="17"/>
  <c r="I52" i="17"/>
  <c r="I48" i="17"/>
  <c r="I39" i="17"/>
  <c r="I22" i="17"/>
  <c r="I14" i="17"/>
  <c r="Z49" i="17"/>
  <c r="Z40" i="17"/>
  <c r="W61" i="17"/>
  <c r="W36" i="17"/>
  <c r="X4" i="26"/>
  <c r="M21" i="17"/>
  <c r="M14" i="17"/>
  <c r="M57" i="17"/>
  <c r="W26" i="17"/>
  <c r="M34" i="17"/>
  <c r="M47" i="17"/>
  <c r="M16" i="17"/>
  <c r="M65" i="17"/>
  <c r="AD24" i="17" l="1"/>
  <c r="AD10" i="16"/>
  <c r="AD27" i="17"/>
  <c r="AD17" i="17"/>
  <c r="AD25" i="17"/>
  <c r="AD50" i="17"/>
  <c r="AD61" i="17"/>
  <c r="AD45" i="17"/>
  <c r="AD22" i="17"/>
  <c r="AD23" i="17"/>
  <c r="AD30" i="17"/>
  <c r="W10" i="17"/>
  <c r="AD54" i="17"/>
  <c r="AD20" i="17"/>
  <c r="AD55" i="17"/>
  <c r="AD48" i="17"/>
  <c r="AD46" i="17"/>
  <c r="AD16" i="17"/>
  <c r="AD68" i="17"/>
  <c r="AD53" i="17"/>
  <c r="L10" i="17"/>
  <c r="AD32" i="17"/>
  <c r="AD35" i="17"/>
  <c r="AD33" i="17"/>
  <c r="AD18" i="17"/>
  <c r="AB10" i="17"/>
  <c r="AB28" i="17"/>
  <c r="AD34" i="17"/>
  <c r="AD65" i="17"/>
  <c r="AD63" i="17"/>
  <c r="AD12" i="17"/>
  <c r="AD40" i="17"/>
  <c r="AD26" i="17"/>
  <c r="AD51" i="17"/>
  <c r="AD39" i="17"/>
  <c r="W43" i="17"/>
  <c r="AD13" i="17"/>
  <c r="Z28" i="17"/>
  <c r="Z57" i="17"/>
  <c r="AD21" i="17"/>
  <c r="AD38" i="17"/>
  <c r="AD31" i="17"/>
  <c r="AD56" i="17"/>
  <c r="AD60" i="17"/>
  <c r="W28" i="17"/>
  <c r="AD52" i="17"/>
  <c r="AD42" i="17"/>
  <c r="M10" i="17"/>
  <c r="AD62" i="17"/>
  <c r="AD64" i="17"/>
  <c r="AB57" i="17"/>
  <c r="Z43" i="17"/>
  <c r="AD49" i="17"/>
  <c r="AB43" i="17"/>
  <c r="L9" i="17"/>
  <c r="M28" i="17"/>
  <c r="AD41" i="17"/>
  <c r="AD15" i="17"/>
  <c r="AD66" i="17"/>
  <c r="AD37" i="17"/>
  <c r="AD19" i="17"/>
  <c r="AD47" i="17"/>
  <c r="AD67" i="17"/>
  <c r="AD59" i="17"/>
  <c r="AD14" i="17"/>
  <c r="W57" i="17"/>
  <c r="J57" i="17"/>
  <c r="AA57" i="17"/>
  <c r="AE57" i="17" s="1"/>
  <c r="J10" i="17"/>
  <c r="AA10" i="17"/>
  <c r="AE10" i="17" s="1"/>
  <c r="I28" i="17"/>
  <c r="X28" i="17"/>
  <c r="Z10" i="17"/>
  <c r="J43" i="17"/>
  <c r="AA43" i="17"/>
  <c r="AE43" i="17" s="1"/>
  <c r="I10" i="17"/>
  <c r="X10" i="17"/>
  <c r="I57" i="17"/>
  <c r="X57" i="17"/>
  <c r="J28" i="17"/>
  <c r="AA28" i="17"/>
  <c r="AE28" i="17" s="1"/>
  <c r="I43" i="17"/>
  <c r="X43" i="17"/>
  <c r="E4" i="13"/>
  <c r="F4" i="13"/>
  <c r="G4" i="13"/>
  <c r="H4" i="13"/>
  <c r="P4" i="13"/>
  <c r="Q4" i="13"/>
  <c r="E5" i="13"/>
  <c r="F5" i="13"/>
  <c r="G5" i="13"/>
  <c r="H5" i="13"/>
  <c r="P5" i="13"/>
  <c r="Q5" i="13"/>
  <c r="C6" i="13"/>
  <c r="D6" i="13"/>
  <c r="E6" i="13"/>
  <c r="F6" i="13"/>
  <c r="G6" i="13"/>
  <c r="H6" i="13"/>
  <c r="I6" i="13"/>
  <c r="J6" i="13"/>
  <c r="K6" i="13"/>
  <c r="L6" i="13"/>
  <c r="M6" i="13"/>
  <c r="N6" i="13"/>
  <c r="O6" i="13"/>
  <c r="P6" i="13"/>
  <c r="Q6" i="13"/>
  <c r="R6" i="13"/>
  <c r="S6" i="13"/>
  <c r="T6" i="13"/>
  <c r="U6" i="13"/>
  <c r="V6" i="13"/>
  <c r="W6" i="13"/>
  <c r="X6" i="13"/>
  <c r="Y6" i="13"/>
  <c r="Z6" i="13"/>
  <c r="AA6" i="13"/>
  <c r="E7" i="13"/>
  <c r="F7" i="13"/>
  <c r="G7" i="13"/>
  <c r="H7" i="13"/>
  <c r="J7" i="13"/>
  <c r="M7" i="13"/>
  <c r="O7" i="13"/>
  <c r="P7" i="13"/>
  <c r="Q7" i="13"/>
  <c r="R7" i="13"/>
  <c r="S7" i="13"/>
  <c r="T7" i="13"/>
  <c r="U7" i="13"/>
  <c r="V7" i="13"/>
  <c r="W7" i="13"/>
  <c r="X7" i="13"/>
  <c r="Y7" i="13"/>
  <c r="Z7" i="13"/>
  <c r="E8" i="13"/>
  <c r="F8" i="13"/>
  <c r="G8" i="13"/>
  <c r="H8" i="13"/>
  <c r="J8" i="13"/>
  <c r="M8" i="13"/>
  <c r="O8" i="13"/>
  <c r="P8" i="13"/>
  <c r="Q8" i="13"/>
  <c r="R8" i="13"/>
  <c r="S8" i="13"/>
  <c r="T8" i="13"/>
  <c r="U8" i="13"/>
  <c r="V8" i="13"/>
  <c r="W8" i="13"/>
  <c r="X8" i="13"/>
  <c r="Y8" i="13"/>
  <c r="Z8" i="13"/>
  <c r="C9" i="13"/>
  <c r="E9" i="13"/>
  <c r="F9" i="13"/>
  <c r="G9" i="13"/>
  <c r="H9" i="13"/>
  <c r="I9" i="13"/>
  <c r="J9" i="13"/>
  <c r="K9" i="13"/>
  <c r="L9" i="13"/>
  <c r="M9" i="13"/>
  <c r="O9" i="13"/>
  <c r="P9" i="13"/>
  <c r="Q9" i="13"/>
  <c r="R9" i="13"/>
  <c r="T9" i="13"/>
  <c r="U9" i="13"/>
  <c r="V9" i="13"/>
  <c r="X9" i="13"/>
  <c r="Y9" i="13"/>
  <c r="Z9" i="13"/>
  <c r="E10" i="13"/>
  <c r="F10" i="13"/>
  <c r="G10" i="13"/>
  <c r="H10" i="13"/>
  <c r="J10" i="13"/>
  <c r="M10" i="13"/>
  <c r="O10" i="13"/>
  <c r="P10" i="13"/>
  <c r="Q10" i="13"/>
  <c r="R10" i="13"/>
  <c r="S10" i="13"/>
  <c r="T10" i="13"/>
  <c r="U10" i="13"/>
  <c r="V10" i="13"/>
  <c r="W10" i="13"/>
  <c r="X10" i="13"/>
  <c r="Y10" i="13"/>
  <c r="Z10" i="13"/>
  <c r="E11" i="13"/>
  <c r="F11" i="13"/>
  <c r="G11" i="13"/>
  <c r="H11" i="13"/>
  <c r="J11" i="13"/>
  <c r="M11" i="13"/>
  <c r="O11" i="13"/>
  <c r="P11" i="13"/>
  <c r="Q11" i="13"/>
  <c r="R11" i="13"/>
  <c r="S11" i="13"/>
  <c r="T11" i="13"/>
  <c r="U11" i="13"/>
  <c r="V11" i="13"/>
  <c r="W11" i="13"/>
  <c r="X11" i="13"/>
  <c r="Y11" i="13"/>
  <c r="Z11" i="13"/>
  <c r="E12" i="13"/>
  <c r="F12" i="13"/>
  <c r="G12" i="13"/>
  <c r="H12" i="13"/>
  <c r="J12" i="13"/>
  <c r="M12" i="13"/>
  <c r="O12" i="13"/>
  <c r="P12" i="13"/>
  <c r="Q12" i="13"/>
  <c r="R12" i="13"/>
  <c r="S12" i="13"/>
  <c r="T12" i="13"/>
  <c r="U12" i="13"/>
  <c r="V12" i="13"/>
  <c r="W12" i="13"/>
  <c r="X12" i="13"/>
  <c r="Y12" i="13"/>
  <c r="Z12" i="13"/>
  <c r="E13" i="13"/>
  <c r="F13" i="13"/>
  <c r="G13" i="13"/>
  <c r="H13" i="13"/>
  <c r="J13" i="13"/>
  <c r="M13" i="13"/>
  <c r="O13" i="13"/>
  <c r="P13" i="13"/>
  <c r="Q13" i="13"/>
  <c r="R13" i="13"/>
  <c r="S13" i="13"/>
  <c r="T13" i="13"/>
  <c r="U13" i="13"/>
  <c r="V13" i="13"/>
  <c r="W13" i="13"/>
  <c r="X13" i="13"/>
  <c r="Y13" i="13"/>
  <c r="Z13" i="13"/>
  <c r="E14" i="13"/>
  <c r="F14" i="13"/>
  <c r="G14" i="13"/>
  <c r="H14" i="13"/>
  <c r="J14" i="13"/>
  <c r="M14" i="13"/>
  <c r="O14" i="13"/>
  <c r="P14" i="13"/>
  <c r="Q14" i="13"/>
  <c r="R14" i="13"/>
  <c r="S14" i="13"/>
  <c r="T14" i="13"/>
  <c r="U14" i="13"/>
  <c r="V14" i="13"/>
  <c r="W14" i="13"/>
  <c r="X14" i="13"/>
  <c r="Y14" i="13"/>
  <c r="Z14" i="13"/>
  <c r="E15" i="13"/>
  <c r="F15" i="13"/>
  <c r="G15" i="13"/>
  <c r="H15" i="13"/>
  <c r="J15" i="13"/>
  <c r="M15" i="13"/>
  <c r="O15" i="13"/>
  <c r="P15" i="13"/>
  <c r="Q15" i="13"/>
  <c r="R15" i="13"/>
  <c r="S15" i="13"/>
  <c r="T15" i="13"/>
  <c r="U15" i="13"/>
  <c r="V15" i="13"/>
  <c r="W15" i="13"/>
  <c r="X15" i="13"/>
  <c r="Y15" i="13"/>
  <c r="Z15" i="13"/>
  <c r="E16" i="13"/>
  <c r="F16" i="13"/>
  <c r="G16" i="13"/>
  <c r="H16" i="13"/>
  <c r="J16" i="13"/>
  <c r="M16" i="13"/>
  <c r="O16" i="13"/>
  <c r="P16" i="13"/>
  <c r="Q16" i="13"/>
  <c r="R16" i="13"/>
  <c r="S16" i="13"/>
  <c r="T16" i="13"/>
  <c r="U16" i="13"/>
  <c r="V16" i="13"/>
  <c r="W16" i="13"/>
  <c r="X16" i="13"/>
  <c r="Y16" i="13"/>
  <c r="Z16" i="13"/>
  <c r="E17" i="13"/>
  <c r="F17" i="13"/>
  <c r="G17" i="13"/>
  <c r="H17" i="13"/>
  <c r="J17" i="13"/>
  <c r="M17" i="13"/>
  <c r="O17" i="13"/>
  <c r="P17" i="13"/>
  <c r="Q17" i="13"/>
  <c r="R17" i="13"/>
  <c r="S17" i="13"/>
  <c r="T17" i="13"/>
  <c r="U17" i="13"/>
  <c r="V17" i="13"/>
  <c r="W17" i="13"/>
  <c r="X17" i="13"/>
  <c r="Y17" i="13"/>
  <c r="Z17" i="13"/>
  <c r="E18" i="13"/>
  <c r="F18" i="13"/>
  <c r="G18" i="13"/>
  <c r="H18" i="13"/>
  <c r="J18" i="13"/>
  <c r="M18" i="13"/>
  <c r="O18" i="13"/>
  <c r="P18" i="13"/>
  <c r="Q18" i="13"/>
  <c r="R18" i="13"/>
  <c r="S18" i="13"/>
  <c r="T18" i="13"/>
  <c r="U18" i="13"/>
  <c r="V18" i="13"/>
  <c r="W18" i="13"/>
  <c r="X18" i="13"/>
  <c r="Y18" i="13"/>
  <c r="Z18" i="13"/>
  <c r="E19" i="13"/>
  <c r="F19" i="13"/>
  <c r="G19" i="13"/>
  <c r="H19" i="13"/>
  <c r="J19" i="13"/>
  <c r="M19" i="13"/>
  <c r="O19" i="13"/>
  <c r="P19" i="13"/>
  <c r="Q19" i="13"/>
  <c r="R19" i="13"/>
  <c r="S19" i="13"/>
  <c r="T19" i="13"/>
  <c r="U19" i="13"/>
  <c r="V19" i="13"/>
  <c r="W19" i="13"/>
  <c r="X19" i="13"/>
  <c r="Y19" i="13"/>
  <c r="Z19" i="13"/>
  <c r="E20" i="13"/>
  <c r="F20" i="13"/>
  <c r="G20" i="13"/>
  <c r="H20" i="13"/>
  <c r="J20" i="13"/>
  <c r="M20" i="13"/>
  <c r="O20" i="13"/>
  <c r="P20" i="13"/>
  <c r="Q20" i="13"/>
  <c r="R20" i="13"/>
  <c r="S20" i="13"/>
  <c r="T20" i="13"/>
  <c r="U20" i="13"/>
  <c r="V20" i="13"/>
  <c r="W20" i="13"/>
  <c r="X20" i="13"/>
  <c r="Y20" i="13"/>
  <c r="Z20" i="13"/>
  <c r="E21" i="13"/>
  <c r="F21" i="13"/>
  <c r="G21" i="13"/>
  <c r="H21" i="13"/>
  <c r="J21" i="13"/>
  <c r="M21" i="13"/>
  <c r="O21" i="13"/>
  <c r="P21" i="13"/>
  <c r="Q21" i="13"/>
  <c r="R21" i="13"/>
  <c r="S21" i="13"/>
  <c r="T21" i="13"/>
  <c r="U21" i="13"/>
  <c r="V21" i="13"/>
  <c r="W21" i="13"/>
  <c r="X21" i="13"/>
  <c r="Y21" i="13"/>
  <c r="Z21" i="13"/>
  <c r="E22" i="13"/>
  <c r="F22" i="13"/>
  <c r="G22" i="13"/>
  <c r="H22" i="13"/>
  <c r="J22" i="13"/>
  <c r="M22" i="13"/>
  <c r="O22" i="13"/>
  <c r="P22" i="13"/>
  <c r="Q22" i="13"/>
  <c r="R22" i="13"/>
  <c r="S22" i="13"/>
  <c r="T22" i="13"/>
  <c r="U22" i="13"/>
  <c r="V22" i="13"/>
  <c r="W22" i="13"/>
  <c r="X22" i="13"/>
  <c r="Y22" i="13"/>
  <c r="Z22" i="13"/>
  <c r="C23" i="13"/>
  <c r="D23" i="13"/>
  <c r="E23" i="13"/>
  <c r="F23" i="13"/>
  <c r="G23" i="13"/>
  <c r="H23" i="13"/>
  <c r="I23" i="13"/>
  <c r="K23" i="13"/>
  <c r="L23" i="13"/>
  <c r="N23" i="13"/>
  <c r="P23" i="13"/>
  <c r="Q23" i="13"/>
  <c r="C24" i="13"/>
  <c r="D24" i="13"/>
  <c r="E24" i="13"/>
  <c r="F24" i="13"/>
  <c r="G24" i="13"/>
  <c r="H24" i="13"/>
  <c r="I24" i="13"/>
  <c r="J24" i="13"/>
  <c r="K24" i="13"/>
  <c r="L24" i="13"/>
  <c r="M24" i="13"/>
  <c r="N24" i="13"/>
  <c r="O24" i="13"/>
  <c r="P24" i="13"/>
  <c r="Q24" i="13"/>
  <c r="R24" i="13"/>
  <c r="S24" i="13"/>
  <c r="T24" i="13"/>
  <c r="U24" i="13"/>
  <c r="V24" i="13"/>
  <c r="W24" i="13"/>
  <c r="X24" i="13"/>
  <c r="Y24" i="13"/>
  <c r="Z24" i="13"/>
  <c r="C25" i="13"/>
  <c r="D25" i="13"/>
  <c r="E25" i="13"/>
  <c r="F25" i="13"/>
  <c r="G25" i="13"/>
  <c r="H25" i="13"/>
  <c r="I25" i="13"/>
  <c r="J25" i="13"/>
  <c r="K25" i="13"/>
  <c r="L25" i="13"/>
  <c r="M25" i="13"/>
  <c r="N25" i="13"/>
  <c r="O25" i="13"/>
  <c r="P25" i="13"/>
  <c r="Q25" i="13"/>
  <c r="R25" i="13"/>
  <c r="S25" i="13"/>
  <c r="T25" i="13"/>
  <c r="U25" i="13"/>
  <c r="V25" i="13"/>
  <c r="W25" i="13"/>
  <c r="X25" i="13"/>
  <c r="Y25" i="13"/>
  <c r="Z25" i="13"/>
  <c r="C26" i="13"/>
  <c r="D26" i="13"/>
  <c r="E26" i="13"/>
  <c r="F26" i="13"/>
  <c r="G26" i="13"/>
  <c r="H26" i="13"/>
  <c r="I26" i="13"/>
  <c r="J26" i="13"/>
  <c r="K26" i="13"/>
  <c r="L26" i="13"/>
  <c r="M26" i="13"/>
  <c r="N26" i="13"/>
  <c r="O26" i="13"/>
  <c r="P26" i="13"/>
  <c r="Q26" i="13"/>
  <c r="R26" i="13"/>
  <c r="S26" i="13"/>
  <c r="T26" i="13"/>
  <c r="U26" i="13"/>
  <c r="V26" i="13"/>
  <c r="W26" i="13"/>
  <c r="X26" i="13"/>
  <c r="Y26" i="13"/>
  <c r="Z26" i="13"/>
  <c r="C27" i="13"/>
  <c r="D27" i="13"/>
  <c r="E27" i="13"/>
  <c r="F27" i="13"/>
  <c r="G27" i="13"/>
  <c r="H27" i="13"/>
  <c r="I27" i="13"/>
  <c r="J27" i="13"/>
  <c r="K27" i="13"/>
  <c r="L27" i="13"/>
  <c r="M27" i="13"/>
  <c r="N27" i="13"/>
  <c r="O27" i="13"/>
  <c r="P27" i="13"/>
  <c r="Q27" i="13"/>
  <c r="R27" i="13"/>
  <c r="S27" i="13"/>
  <c r="T27" i="13"/>
  <c r="U27" i="13"/>
  <c r="V27" i="13"/>
  <c r="W27" i="13"/>
  <c r="X27" i="13"/>
  <c r="Y27" i="13"/>
  <c r="Z27" i="13"/>
  <c r="C28" i="13"/>
  <c r="D28" i="13"/>
  <c r="E28" i="13"/>
  <c r="F28" i="13"/>
  <c r="G28" i="13"/>
  <c r="H28" i="13"/>
  <c r="I28" i="13"/>
  <c r="J28" i="13"/>
  <c r="K28" i="13"/>
  <c r="L28" i="13"/>
  <c r="M28" i="13"/>
  <c r="N28" i="13"/>
  <c r="O28" i="13"/>
  <c r="P28" i="13"/>
  <c r="Q28" i="13"/>
  <c r="R28" i="13"/>
  <c r="S28" i="13"/>
  <c r="T28" i="13"/>
  <c r="U28" i="13"/>
  <c r="V28" i="13"/>
  <c r="W28" i="13"/>
  <c r="X28" i="13"/>
  <c r="Y28" i="13"/>
  <c r="Z28" i="13"/>
  <c r="C29" i="13"/>
  <c r="D29" i="13"/>
  <c r="E29" i="13"/>
  <c r="F29" i="13"/>
  <c r="G29" i="13"/>
  <c r="H29" i="13"/>
  <c r="I29" i="13"/>
  <c r="J29" i="13"/>
  <c r="K29" i="13"/>
  <c r="L29" i="13"/>
  <c r="M29" i="13"/>
  <c r="N29" i="13"/>
  <c r="O29" i="13"/>
  <c r="P29" i="13"/>
  <c r="Q29" i="13"/>
  <c r="R29" i="13"/>
  <c r="S29" i="13"/>
  <c r="T29" i="13"/>
  <c r="U29" i="13"/>
  <c r="V29" i="13"/>
  <c r="W29" i="13"/>
  <c r="X29" i="13"/>
  <c r="Y29" i="13"/>
  <c r="Z29" i="13"/>
  <c r="C30" i="13"/>
  <c r="D30" i="13"/>
  <c r="E30" i="13"/>
  <c r="F30" i="13"/>
  <c r="G30" i="13"/>
  <c r="H30" i="13"/>
  <c r="I30" i="13"/>
  <c r="J30" i="13"/>
  <c r="K30" i="13"/>
  <c r="L30" i="13"/>
  <c r="M30" i="13"/>
  <c r="N30" i="13"/>
  <c r="O30" i="13"/>
  <c r="P30" i="13"/>
  <c r="Q30" i="13"/>
  <c r="R30" i="13"/>
  <c r="S30" i="13"/>
  <c r="T30" i="13"/>
  <c r="U30" i="13"/>
  <c r="V30" i="13"/>
  <c r="W30" i="13"/>
  <c r="X30" i="13"/>
  <c r="Y30" i="13"/>
  <c r="Z30" i="13"/>
  <c r="C31" i="13"/>
  <c r="D31" i="13"/>
  <c r="E31" i="13"/>
  <c r="F31" i="13"/>
  <c r="G31" i="13"/>
  <c r="H31" i="13"/>
  <c r="I31" i="13"/>
  <c r="J31" i="13"/>
  <c r="K31" i="13"/>
  <c r="L31" i="13"/>
  <c r="M31" i="13"/>
  <c r="N31" i="13"/>
  <c r="O31" i="13"/>
  <c r="P31" i="13"/>
  <c r="Q31" i="13"/>
  <c r="R31" i="13"/>
  <c r="S31" i="13"/>
  <c r="T31" i="13"/>
  <c r="U31" i="13"/>
  <c r="V31" i="13"/>
  <c r="W31" i="13"/>
  <c r="X31" i="13"/>
  <c r="Y31" i="13"/>
  <c r="Z31" i="13"/>
  <c r="C32" i="13"/>
  <c r="D32" i="13"/>
  <c r="E32" i="13"/>
  <c r="F32" i="13"/>
  <c r="G32" i="13"/>
  <c r="H32" i="13"/>
  <c r="I32" i="13"/>
  <c r="J32" i="13"/>
  <c r="K32" i="13"/>
  <c r="L32" i="13"/>
  <c r="M32" i="13"/>
  <c r="N32" i="13"/>
  <c r="O32" i="13"/>
  <c r="P32" i="13"/>
  <c r="Q32" i="13"/>
  <c r="R32" i="13"/>
  <c r="S32" i="13"/>
  <c r="T32" i="13"/>
  <c r="U32" i="13"/>
  <c r="V32" i="13"/>
  <c r="W32" i="13"/>
  <c r="X32" i="13"/>
  <c r="Y32" i="13"/>
  <c r="Z32" i="13"/>
  <c r="C33" i="13"/>
  <c r="D33" i="13"/>
  <c r="E33" i="13"/>
  <c r="F33" i="13"/>
  <c r="G33" i="13"/>
  <c r="H33" i="13"/>
  <c r="I33" i="13"/>
  <c r="J33" i="13"/>
  <c r="K33" i="13"/>
  <c r="L33" i="13"/>
  <c r="M33" i="13"/>
  <c r="N33" i="13"/>
  <c r="O33" i="13"/>
  <c r="P33" i="13"/>
  <c r="Q33" i="13"/>
  <c r="R33" i="13"/>
  <c r="S33" i="13"/>
  <c r="T33" i="13"/>
  <c r="U33" i="13"/>
  <c r="V33" i="13"/>
  <c r="W33" i="13"/>
  <c r="X33" i="13"/>
  <c r="Y33" i="13"/>
  <c r="Z33" i="13"/>
  <c r="C34" i="13"/>
  <c r="D34" i="13"/>
  <c r="E34" i="13"/>
  <c r="F34" i="13"/>
  <c r="G34" i="13"/>
  <c r="H34" i="13"/>
  <c r="I34" i="13"/>
  <c r="J34" i="13"/>
  <c r="K34" i="13"/>
  <c r="L34" i="13"/>
  <c r="M34" i="13"/>
  <c r="N34" i="13"/>
  <c r="O34" i="13"/>
  <c r="P34" i="13"/>
  <c r="Q34" i="13"/>
  <c r="R34" i="13"/>
  <c r="S34" i="13"/>
  <c r="T34" i="13"/>
  <c r="U34" i="13"/>
  <c r="V34" i="13"/>
  <c r="W34" i="13"/>
  <c r="X34" i="13"/>
  <c r="Y34" i="13"/>
  <c r="Z34" i="13"/>
  <c r="C35" i="13"/>
  <c r="D35" i="13"/>
  <c r="E35" i="13"/>
  <c r="F35" i="13"/>
  <c r="G35" i="13"/>
  <c r="H35" i="13"/>
  <c r="I35" i="13"/>
  <c r="J35" i="13"/>
  <c r="K35" i="13"/>
  <c r="L35" i="13"/>
  <c r="M35" i="13"/>
  <c r="N35" i="13"/>
  <c r="O35" i="13"/>
  <c r="P35" i="13"/>
  <c r="Q35" i="13"/>
  <c r="R35" i="13"/>
  <c r="S35" i="13"/>
  <c r="T35" i="13"/>
  <c r="U35" i="13"/>
  <c r="V35" i="13"/>
  <c r="W35" i="13"/>
  <c r="X35" i="13"/>
  <c r="Y35" i="13"/>
  <c r="Z35" i="13"/>
  <c r="C36" i="13"/>
  <c r="D36" i="13"/>
  <c r="E36" i="13"/>
  <c r="F36" i="13"/>
  <c r="G36" i="13"/>
  <c r="H36" i="13"/>
  <c r="I36" i="13"/>
  <c r="J36" i="13"/>
  <c r="K36" i="13"/>
  <c r="L36" i="13"/>
  <c r="M36" i="13"/>
  <c r="N36" i="13"/>
  <c r="O36" i="13"/>
  <c r="P36" i="13"/>
  <c r="Q36" i="13"/>
  <c r="R36" i="13"/>
  <c r="S36" i="13"/>
  <c r="T36" i="13"/>
  <c r="U36" i="13"/>
  <c r="V36" i="13"/>
  <c r="W36" i="13"/>
  <c r="X36" i="13"/>
  <c r="Y36" i="13"/>
  <c r="Z36" i="13"/>
  <c r="C37" i="13"/>
  <c r="D37" i="13"/>
  <c r="E37" i="13"/>
  <c r="F37" i="13"/>
  <c r="G37" i="13"/>
  <c r="H37" i="13"/>
  <c r="I37" i="13"/>
  <c r="J37" i="13"/>
  <c r="K37" i="13"/>
  <c r="L37" i="13"/>
  <c r="M37" i="13"/>
  <c r="N37" i="13"/>
  <c r="O37" i="13"/>
  <c r="P37" i="13"/>
  <c r="Q37" i="13"/>
  <c r="R37" i="13"/>
  <c r="S37" i="13"/>
  <c r="T37" i="13"/>
  <c r="U37" i="13"/>
  <c r="V37" i="13"/>
  <c r="W37" i="13"/>
  <c r="X37" i="13"/>
  <c r="Y37" i="13"/>
  <c r="Z37" i="13"/>
  <c r="C38" i="13"/>
  <c r="D38" i="13"/>
  <c r="E38" i="13"/>
  <c r="F38" i="13"/>
  <c r="G38" i="13"/>
  <c r="H38" i="13"/>
  <c r="I38" i="13"/>
  <c r="K38" i="13"/>
  <c r="L38" i="13"/>
  <c r="N38" i="13"/>
  <c r="P38" i="13"/>
  <c r="Q38" i="13"/>
  <c r="C39" i="13"/>
  <c r="D39" i="13"/>
  <c r="E39" i="13"/>
  <c r="F39" i="13"/>
  <c r="G39" i="13"/>
  <c r="H39" i="13"/>
  <c r="I39" i="13"/>
  <c r="J39" i="13"/>
  <c r="K39" i="13"/>
  <c r="L39" i="13"/>
  <c r="M39" i="13"/>
  <c r="N39" i="13"/>
  <c r="O39" i="13"/>
  <c r="P39" i="13"/>
  <c r="Q39" i="13"/>
  <c r="R39" i="13"/>
  <c r="S39" i="13"/>
  <c r="T39" i="13"/>
  <c r="U39" i="13"/>
  <c r="V39" i="13"/>
  <c r="W39" i="13"/>
  <c r="X39" i="13"/>
  <c r="Y39" i="13"/>
  <c r="Z39" i="13"/>
  <c r="C40" i="13"/>
  <c r="D40" i="13"/>
  <c r="E40" i="13"/>
  <c r="F40" i="13"/>
  <c r="G40" i="13"/>
  <c r="H40" i="13"/>
  <c r="I40" i="13"/>
  <c r="J40" i="13"/>
  <c r="K40" i="13"/>
  <c r="L40" i="13"/>
  <c r="M40" i="13"/>
  <c r="N40" i="13"/>
  <c r="O40" i="13"/>
  <c r="P40" i="13"/>
  <c r="Q40" i="13"/>
  <c r="R40" i="13"/>
  <c r="S40" i="13"/>
  <c r="T40" i="13"/>
  <c r="U40" i="13"/>
  <c r="V40" i="13"/>
  <c r="W40" i="13"/>
  <c r="X40" i="13"/>
  <c r="Y40" i="13"/>
  <c r="Z40" i="13"/>
  <c r="C41" i="13"/>
  <c r="D41" i="13"/>
  <c r="E41" i="13"/>
  <c r="F41" i="13"/>
  <c r="G41" i="13"/>
  <c r="H41" i="13"/>
  <c r="I41" i="13"/>
  <c r="J41" i="13"/>
  <c r="K41" i="13"/>
  <c r="L41" i="13"/>
  <c r="M41" i="13"/>
  <c r="N41" i="13"/>
  <c r="O41" i="13"/>
  <c r="P41" i="13"/>
  <c r="Q41" i="13"/>
  <c r="R41" i="13"/>
  <c r="S41" i="13"/>
  <c r="T41" i="13"/>
  <c r="U41" i="13"/>
  <c r="V41" i="13"/>
  <c r="W41" i="13"/>
  <c r="X41" i="13"/>
  <c r="Y41" i="13"/>
  <c r="Z41" i="13"/>
  <c r="C42" i="13"/>
  <c r="D42" i="13"/>
  <c r="E42" i="13"/>
  <c r="F42" i="13"/>
  <c r="G42" i="13"/>
  <c r="H42" i="13"/>
  <c r="I42" i="13"/>
  <c r="J42" i="13"/>
  <c r="K42" i="13"/>
  <c r="L42" i="13"/>
  <c r="M42" i="13"/>
  <c r="N42" i="13"/>
  <c r="O42" i="13"/>
  <c r="P42" i="13"/>
  <c r="Q42" i="13"/>
  <c r="R42" i="13"/>
  <c r="S42" i="13"/>
  <c r="T42" i="13"/>
  <c r="U42" i="13"/>
  <c r="V42" i="13"/>
  <c r="W42" i="13"/>
  <c r="X42" i="13"/>
  <c r="Y42" i="13"/>
  <c r="Z42" i="13"/>
  <c r="C43" i="13"/>
  <c r="D43" i="13"/>
  <c r="E43" i="13"/>
  <c r="F43" i="13"/>
  <c r="G43" i="13"/>
  <c r="H43" i="13"/>
  <c r="I43" i="13"/>
  <c r="J43" i="13"/>
  <c r="K43" i="13"/>
  <c r="L43" i="13"/>
  <c r="M43" i="13"/>
  <c r="N43" i="13"/>
  <c r="O43" i="13"/>
  <c r="P43" i="13"/>
  <c r="Q43" i="13"/>
  <c r="R43" i="13"/>
  <c r="S43" i="13"/>
  <c r="T43" i="13"/>
  <c r="U43" i="13"/>
  <c r="V43" i="13"/>
  <c r="W43" i="13"/>
  <c r="X43" i="13"/>
  <c r="Y43" i="13"/>
  <c r="Z43" i="13"/>
  <c r="C44" i="13"/>
  <c r="D44" i="13"/>
  <c r="E44" i="13"/>
  <c r="F44" i="13"/>
  <c r="G44" i="13"/>
  <c r="H44" i="13"/>
  <c r="I44" i="13"/>
  <c r="J44" i="13"/>
  <c r="K44" i="13"/>
  <c r="L44" i="13"/>
  <c r="M44" i="13"/>
  <c r="N44" i="13"/>
  <c r="O44" i="13"/>
  <c r="P44" i="13"/>
  <c r="Q44" i="13"/>
  <c r="R44" i="13"/>
  <c r="S44" i="13"/>
  <c r="T44" i="13"/>
  <c r="U44" i="13"/>
  <c r="V44" i="13"/>
  <c r="W44" i="13"/>
  <c r="X44" i="13"/>
  <c r="Y44" i="13"/>
  <c r="Z44" i="13"/>
  <c r="C45" i="13"/>
  <c r="D45" i="13"/>
  <c r="E45" i="13"/>
  <c r="F45" i="13"/>
  <c r="G45" i="13"/>
  <c r="H45" i="13"/>
  <c r="I45" i="13"/>
  <c r="J45" i="13"/>
  <c r="K45" i="13"/>
  <c r="L45" i="13"/>
  <c r="M45" i="13"/>
  <c r="N45" i="13"/>
  <c r="O45" i="13"/>
  <c r="P45" i="13"/>
  <c r="Q45" i="13"/>
  <c r="R45" i="13"/>
  <c r="S45" i="13"/>
  <c r="T45" i="13"/>
  <c r="U45" i="13"/>
  <c r="V45" i="13"/>
  <c r="W45" i="13"/>
  <c r="X45" i="13"/>
  <c r="Y45" i="13"/>
  <c r="Z45" i="13"/>
  <c r="C46" i="13"/>
  <c r="D46" i="13"/>
  <c r="E46" i="13"/>
  <c r="F46" i="13"/>
  <c r="G46" i="13"/>
  <c r="H46" i="13"/>
  <c r="I46" i="13"/>
  <c r="J46" i="13"/>
  <c r="K46" i="13"/>
  <c r="L46" i="13"/>
  <c r="M46" i="13"/>
  <c r="N46" i="13"/>
  <c r="O46" i="13"/>
  <c r="P46" i="13"/>
  <c r="Q46" i="13"/>
  <c r="R46" i="13"/>
  <c r="S46" i="13"/>
  <c r="T46" i="13"/>
  <c r="U46" i="13"/>
  <c r="V46" i="13"/>
  <c r="W46" i="13"/>
  <c r="X46" i="13"/>
  <c r="Y46" i="13"/>
  <c r="Z46" i="13"/>
  <c r="C47" i="13"/>
  <c r="D47" i="13"/>
  <c r="E47" i="13"/>
  <c r="F47" i="13"/>
  <c r="G47" i="13"/>
  <c r="H47" i="13"/>
  <c r="I47" i="13"/>
  <c r="J47" i="13"/>
  <c r="K47" i="13"/>
  <c r="L47" i="13"/>
  <c r="M47" i="13"/>
  <c r="N47" i="13"/>
  <c r="O47" i="13"/>
  <c r="P47" i="13"/>
  <c r="Q47" i="13"/>
  <c r="R47" i="13"/>
  <c r="S47" i="13"/>
  <c r="T47" i="13"/>
  <c r="U47" i="13"/>
  <c r="V47" i="13"/>
  <c r="W47" i="13"/>
  <c r="X47" i="13"/>
  <c r="Y47" i="13"/>
  <c r="Z47" i="13"/>
  <c r="C48" i="13"/>
  <c r="D48" i="13"/>
  <c r="E48" i="13"/>
  <c r="F48" i="13"/>
  <c r="G48" i="13"/>
  <c r="H48" i="13"/>
  <c r="I48" i="13"/>
  <c r="J48" i="13"/>
  <c r="K48" i="13"/>
  <c r="L48" i="13"/>
  <c r="M48" i="13"/>
  <c r="N48" i="13"/>
  <c r="O48" i="13"/>
  <c r="P48" i="13"/>
  <c r="Q48" i="13"/>
  <c r="R48" i="13"/>
  <c r="S48" i="13"/>
  <c r="T48" i="13"/>
  <c r="U48" i="13"/>
  <c r="V48" i="13"/>
  <c r="W48" i="13"/>
  <c r="X48" i="13"/>
  <c r="Y48" i="13"/>
  <c r="Z48" i="13"/>
  <c r="C49" i="13"/>
  <c r="D49" i="13"/>
  <c r="E49" i="13"/>
  <c r="F49" i="13"/>
  <c r="G49" i="13"/>
  <c r="H49" i="13"/>
  <c r="I49" i="13"/>
  <c r="J49" i="13"/>
  <c r="K49" i="13"/>
  <c r="L49" i="13"/>
  <c r="M49" i="13"/>
  <c r="N49" i="13"/>
  <c r="O49" i="13"/>
  <c r="P49" i="13"/>
  <c r="Q49" i="13"/>
  <c r="R49" i="13"/>
  <c r="S49" i="13"/>
  <c r="T49" i="13"/>
  <c r="U49" i="13"/>
  <c r="V49" i="13"/>
  <c r="W49" i="13"/>
  <c r="X49" i="13"/>
  <c r="Y49" i="13"/>
  <c r="Z49" i="13"/>
  <c r="C50" i="13"/>
  <c r="D50" i="13"/>
  <c r="E50" i="13"/>
  <c r="F50" i="13"/>
  <c r="G50" i="13"/>
  <c r="H50" i="13"/>
  <c r="I50" i="13"/>
  <c r="J50" i="13"/>
  <c r="K50" i="13"/>
  <c r="L50" i="13"/>
  <c r="M50" i="13"/>
  <c r="N50" i="13"/>
  <c r="O50" i="13"/>
  <c r="P50" i="13"/>
  <c r="Q50" i="13"/>
  <c r="R50" i="13"/>
  <c r="S50" i="13"/>
  <c r="T50" i="13"/>
  <c r="U50" i="13"/>
  <c r="V50" i="13"/>
  <c r="W50" i="13"/>
  <c r="X50" i="13"/>
  <c r="Y50" i="13"/>
  <c r="Z50" i="13"/>
  <c r="C51" i="13"/>
  <c r="D51" i="13"/>
  <c r="E51" i="13"/>
  <c r="F51" i="13"/>
  <c r="G51" i="13"/>
  <c r="H51" i="13"/>
  <c r="I51" i="13"/>
  <c r="J51" i="13"/>
  <c r="K51" i="13"/>
  <c r="L51" i="13"/>
  <c r="M51" i="13"/>
  <c r="N51" i="13"/>
  <c r="O51" i="13"/>
  <c r="P51" i="13"/>
  <c r="Q51" i="13"/>
  <c r="R51" i="13"/>
  <c r="S51" i="13"/>
  <c r="T51" i="13"/>
  <c r="U51" i="13"/>
  <c r="V51" i="13"/>
  <c r="W51" i="13"/>
  <c r="X51" i="13"/>
  <c r="Y51" i="13"/>
  <c r="Z51" i="13"/>
  <c r="C52" i="13"/>
  <c r="D52" i="13"/>
  <c r="E52" i="13"/>
  <c r="F52" i="13"/>
  <c r="G52" i="13"/>
  <c r="H52" i="13"/>
  <c r="I52" i="13"/>
  <c r="K52" i="13"/>
  <c r="L52" i="13"/>
  <c r="N52" i="13"/>
  <c r="P52" i="13"/>
  <c r="Q52" i="13"/>
  <c r="C53" i="13"/>
  <c r="D53" i="13"/>
  <c r="E53" i="13"/>
  <c r="F53" i="13"/>
  <c r="G53" i="13"/>
  <c r="H53" i="13"/>
  <c r="I53" i="13"/>
  <c r="J53" i="13"/>
  <c r="K53" i="13"/>
  <c r="L53" i="13"/>
  <c r="M53" i="13"/>
  <c r="N53" i="13"/>
  <c r="O53" i="13"/>
  <c r="P53" i="13"/>
  <c r="Q53" i="13"/>
  <c r="R53" i="13"/>
  <c r="S53" i="13"/>
  <c r="T53" i="13"/>
  <c r="U53" i="13"/>
  <c r="V53" i="13"/>
  <c r="W53" i="13"/>
  <c r="X53" i="13"/>
  <c r="Y53" i="13"/>
  <c r="Z53" i="13"/>
  <c r="C54" i="13"/>
  <c r="D54" i="13"/>
  <c r="E54" i="13"/>
  <c r="F54" i="13"/>
  <c r="G54" i="13"/>
  <c r="H54" i="13"/>
  <c r="I54" i="13"/>
  <c r="J54" i="13"/>
  <c r="K54" i="13"/>
  <c r="L54" i="13"/>
  <c r="M54" i="13"/>
  <c r="N54" i="13"/>
  <c r="O54" i="13"/>
  <c r="P54" i="13"/>
  <c r="Q54" i="13"/>
  <c r="R54" i="13"/>
  <c r="S54" i="13"/>
  <c r="T54" i="13"/>
  <c r="U54" i="13"/>
  <c r="V54" i="13"/>
  <c r="W54" i="13"/>
  <c r="X54" i="13"/>
  <c r="Y54" i="13"/>
  <c r="Z54" i="13"/>
  <c r="C55" i="13"/>
  <c r="D55" i="13"/>
  <c r="E55" i="13"/>
  <c r="F55" i="13"/>
  <c r="G55" i="13"/>
  <c r="H55" i="13"/>
  <c r="I55" i="13"/>
  <c r="J55" i="13"/>
  <c r="K55" i="13"/>
  <c r="L55" i="13"/>
  <c r="M55" i="13"/>
  <c r="N55" i="13"/>
  <c r="O55" i="13"/>
  <c r="P55" i="13"/>
  <c r="Q55" i="13"/>
  <c r="R55" i="13"/>
  <c r="S55" i="13"/>
  <c r="T55" i="13"/>
  <c r="U55" i="13"/>
  <c r="V55" i="13"/>
  <c r="W55" i="13"/>
  <c r="X55" i="13"/>
  <c r="Y55" i="13"/>
  <c r="Z55" i="13"/>
  <c r="C56" i="13"/>
  <c r="D56" i="13"/>
  <c r="E56" i="13"/>
  <c r="F56" i="13"/>
  <c r="G56" i="13"/>
  <c r="H56" i="13"/>
  <c r="I56" i="13"/>
  <c r="J56" i="13"/>
  <c r="K56" i="13"/>
  <c r="L56" i="13"/>
  <c r="M56" i="13"/>
  <c r="N56" i="13"/>
  <c r="O56" i="13"/>
  <c r="P56" i="13"/>
  <c r="Q56" i="13"/>
  <c r="R56" i="13"/>
  <c r="S56" i="13"/>
  <c r="T56" i="13"/>
  <c r="U56" i="13"/>
  <c r="V56" i="13"/>
  <c r="W56" i="13"/>
  <c r="X56" i="13"/>
  <c r="Y56" i="13"/>
  <c r="Z56" i="13"/>
  <c r="C57" i="13"/>
  <c r="D57" i="13"/>
  <c r="E57" i="13"/>
  <c r="F57" i="13"/>
  <c r="G57" i="13"/>
  <c r="H57" i="13"/>
  <c r="I57" i="13"/>
  <c r="J57" i="13"/>
  <c r="K57" i="13"/>
  <c r="L57" i="13"/>
  <c r="M57" i="13"/>
  <c r="N57" i="13"/>
  <c r="O57" i="13"/>
  <c r="P57" i="13"/>
  <c r="Q57" i="13"/>
  <c r="R57" i="13"/>
  <c r="S57" i="13"/>
  <c r="T57" i="13"/>
  <c r="U57" i="13"/>
  <c r="V57" i="13"/>
  <c r="W57" i="13"/>
  <c r="X57" i="13"/>
  <c r="Y57" i="13"/>
  <c r="Z57" i="13"/>
  <c r="C58" i="13"/>
  <c r="D58" i="13"/>
  <c r="E58" i="13"/>
  <c r="F58" i="13"/>
  <c r="G58" i="13"/>
  <c r="H58" i="13"/>
  <c r="I58" i="13"/>
  <c r="J58" i="13"/>
  <c r="K58" i="13"/>
  <c r="L58" i="13"/>
  <c r="M58" i="13"/>
  <c r="N58" i="13"/>
  <c r="O58" i="13"/>
  <c r="P58" i="13"/>
  <c r="Q58" i="13"/>
  <c r="R58" i="13"/>
  <c r="S58" i="13"/>
  <c r="T58" i="13"/>
  <c r="U58" i="13"/>
  <c r="V58" i="13"/>
  <c r="W58" i="13"/>
  <c r="X58" i="13"/>
  <c r="Y58" i="13"/>
  <c r="Z58" i="13"/>
  <c r="C59" i="13"/>
  <c r="D59" i="13"/>
  <c r="E59" i="13"/>
  <c r="F59" i="13"/>
  <c r="G59" i="13"/>
  <c r="H59" i="13"/>
  <c r="I59" i="13"/>
  <c r="J59" i="13"/>
  <c r="K59" i="13"/>
  <c r="L59" i="13"/>
  <c r="M59" i="13"/>
  <c r="N59" i="13"/>
  <c r="O59" i="13"/>
  <c r="P59" i="13"/>
  <c r="Q59" i="13"/>
  <c r="R59" i="13"/>
  <c r="S59" i="13"/>
  <c r="T59" i="13"/>
  <c r="U59" i="13"/>
  <c r="V59" i="13"/>
  <c r="W59" i="13"/>
  <c r="X59" i="13"/>
  <c r="Y59" i="13"/>
  <c r="Z59" i="13"/>
  <c r="C60" i="13"/>
  <c r="D60" i="13"/>
  <c r="E60" i="13"/>
  <c r="F60" i="13"/>
  <c r="G60" i="13"/>
  <c r="H60" i="13"/>
  <c r="I60" i="13"/>
  <c r="J60" i="13"/>
  <c r="K60" i="13"/>
  <c r="L60" i="13"/>
  <c r="M60" i="13"/>
  <c r="N60" i="13"/>
  <c r="O60" i="13"/>
  <c r="P60" i="13"/>
  <c r="Q60" i="13"/>
  <c r="R60" i="13"/>
  <c r="S60" i="13"/>
  <c r="T60" i="13"/>
  <c r="U60" i="13"/>
  <c r="V60" i="13"/>
  <c r="W60" i="13"/>
  <c r="X60" i="13"/>
  <c r="Y60" i="13"/>
  <c r="Z60" i="13"/>
  <c r="C61" i="13"/>
  <c r="D61" i="13"/>
  <c r="E61" i="13"/>
  <c r="F61" i="13"/>
  <c r="G61" i="13"/>
  <c r="H61" i="13"/>
  <c r="I61" i="13"/>
  <c r="J61" i="13"/>
  <c r="K61" i="13"/>
  <c r="L61" i="13"/>
  <c r="M61" i="13"/>
  <c r="N61" i="13"/>
  <c r="O61" i="13"/>
  <c r="P61" i="13"/>
  <c r="Q61" i="13"/>
  <c r="R61" i="13"/>
  <c r="S61" i="13"/>
  <c r="T61" i="13"/>
  <c r="U61" i="13"/>
  <c r="V61" i="13"/>
  <c r="W61" i="13"/>
  <c r="X61" i="13"/>
  <c r="Y61" i="13"/>
  <c r="Z61" i="13"/>
  <c r="C62" i="13"/>
  <c r="D62" i="13"/>
  <c r="E62" i="13"/>
  <c r="F62" i="13"/>
  <c r="G62" i="13"/>
  <c r="H62" i="13"/>
  <c r="I62" i="13"/>
  <c r="J62" i="13"/>
  <c r="K62" i="13"/>
  <c r="L62" i="13"/>
  <c r="M62" i="13"/>
  <c r="N62" i="13"/>
  <c r="O62" i="13"/>
  <c r="P62" i="13"/>
  <c r="Q62" i="13"/>
  <c r="R62" i="13"/>
  <c r="S62" i="13"/>
  <c r="T62" i="13"/>
  <c r="U62" i="13"/>
  <c r="V62" i="13"/>
  <c r="W62" i="13"/>
  <c r="X62" i="13"/>
  <c r="Y62" i="13"/>
  <c r="Z62" i="13"/>
  <c r="C63" i="13"/>
  <c r="D63" i="13"/>
  <c r="E63" i="13"/>
  <c r="F63" i="13"/>
  <c r="G63" i="13"/>
  <c r="H63" i="13"/>
  <c r="I63" i="13"/>
  <c r="J63" i="13"/>
  <c r="K63" i="13"/>
  <c r="L63" i="13"/>
  <c r="M63" i="13"/>
  <c r="N63" i="13"/>
  <c r="O63" i="13"/>
  <c r="P63" i="13"/>
  <c r="Q63" i="13"/>
  <c r="R63" i="13"/>
  <c r="S63" i="13"/>
  <c r="T63" i="13"/>
  <c r="U63" i="13"/>
  <c r="V63" i="13"/>
  <c r="W63" i="13"/>
  <c r="X63" i="13"/>
  <c r="Y63" i="13"/>
  <c r="Z63" i="13"/>
  <c r="B63" i="13"/>
  <c r="B62" i="13"/>
  <c r="B61" i="13"/>
  <c r="B60" i="13"/>
  <c r="B59" i="13"/>
  <c r="B58" i="13"/>
  <c r="B57" i="13"/>
  <c r="B56" i="13"/>
  <c r="B55" i="13"/>
  <c r="B54" i="13"/>
  <c r="B53" i="13"/>
  <c r="B52" i="13"/>
  <c r="B51" i="13"/>
  <c r="B50" i="13"/>
  <c r="B49" i="13"/>
  <c r="B48" i="13"/>
  <c r="B47" i="13"/>
  <c r="B46" i="13"/>
  <c r="B45" i="13"/>
  <c r="B44" i="13"/>
  <c r="B43" i="13"/>
  <c r="B42" i="13"/>
  <c r="B41" i="13"/>
  <c r="B40" i="13"/>
  <c r="B39" i="13"/>
  <c r="B38" i="13"/>
  <c r="B37" i="13"/>
  <c r="B36" i="13"/>
  <c r="B35" i="13"/>
  <c r="B34" i="13"/>
  <c r="B33" i="13"/>
  <c r="B32" i="13"/>
  <c r="B31" i="13"/>
  <c r="B30" i="13"/>
  <c r="B29" i="13"/>
  <c r="B28" i="13"/>
  <c r="B27" i="13"/>
  <c r="B26" i="13"/>
  <c r="B25" i="13"/>
  <c r="B24" i="13"/>
  <c r="B23" i="13"/>
  <c r="B9" i="13"/>
  <c r="B6" i="13"/>
  <c r="D4" i="1"/>
  <c r="C4" i="1"/>
  <c r="B4" i="1"/>
  <c r="Z5" i="1"/>
  <c r="Y5" i="1"/>
  <c r="X5" i="1"/>
  <c r="W5" i="1"/>
  <c r="V5" i="1"/>
  <c r="U5" i="1"/>
  <c r="T5" i="1"/>
  <c r="S5" i="1"/>
  <c r="R5" i="1"/>
  <c r="O5" i="1"/>
  <c r="M5" i="1"/>
  <c r="J5" i="1"/>
  <c r="Z23" i="1"/>
  <c r="Y23" i="1"/>
  <c r="X23" i="1"/>
  <c r="W23" i="1"/>
  <c r="V23" i="1"/>
  <c r="U23" i="1"/>
  <c r="T23" i="1"/>
  <c r="S23" i="1"/>
  <c r="R23" i="1"/>
  <c r="O23" i="1"/>
  <c r="M23" i="1"/>
  <c r="J23" i="1"/>
  <c r="Z38" i="1"/>
  <c r="Y38" i="1"/>
  <c r="X38" i="1"/>
  <c r="W38" i="1"/>
  <c r="V38" i="1"/>
  <c r="U38" i="1"/>
  <c r="T38" i="1"/>
  <c r="S38" i="1"/>
  <c r="R38" i="1"/>
  <c r="O38" i="1"/>
  <c r="M38" i="1"/>
  <c r="J38" i="1"/>
  <c r="Z52" i="1"/>
  <c r="Y52" i="1"/>
  <c r="X52" i="1"/>
  <c r="W52" i="1"/>
  <c r="V52" i="1"/>
  <c r="U52" i="1"/>
  <c r="T52" i="1"/>
  <c r="S52" i="1"/>
  <c r="R52" i="1"/>
  <c r="O52" i="1"/>
  <c r="M52" i="1"/>
  <c r="J52" i="1"/>
  <c r="AA5" i="2"/>
  <c r="Z5" i="2"/>
  <c r="Y5" i="2"/>
  <c r="X5" i="2"/>
  <c r="W5" i="2"/>
  <c r="V5" i="2"/>
  <c r="U5" i="2"/>
  <c r="T5" i="2"/>
  <c r="S5" i="2"/>
  <c r="R5" i="2"/>
  <c r="O5" i="2"/>
  <c r="M5" i="2"/>
  <c r="J5" i="2"/>
  <c r="AA23" i="2"/>
  <c r="Z23" i="2"/>
  <c r="Y23" i="2"/>
  <c r="X23" i="2"/>
  <c r="X4" i="2" s="1"/>
  <c r="W23" i="2"/>
  <c r="V23" i="2"/>
  <c r="U23" i="2"/>
  <c r="T23" i="2"/>
  <c r="S23" i="2"/>
  <c r="R23" i="2"/>
  <c r="O23" i="2"/>
  <c r="M23" i="2"/>
  <c r="J23" i="2"/>
  <c r="AA38" i="2"/>
  <c r="Z38" i="2"/>
  <c r="Y38" i="2"/>
  <c r="X38" i="2"/>
  <c r="W38" i="2"/>
  <c r="V38" i="2"/>
  <c r="U38" i="2"/>
  <c r="T38" i="2"/>
  <c r="S38" i="2"/>
  <c r="R38" i="2"/>
  <c r="O38" i="2"/>
  <c r="M38" i="2"/>
  <c r="J38" i="2"/>
  <c r="O52" i="2"/>
  <c r="AA52" i="2"/>
  <c r="Z52" i="2"/>
  <c r="Y52" i="2"/>
  <c r="X52" i="2"/>
  <c r="W52" i="2"/>
  <c r="V52" i="2"/>
  <c r="U52" i="2"/>
  <c r="T52" i="2"/>
  <c r="S52" i="2"/>
  <c r="R52" i="2"/>
  <c r="M52" i="2"/>
  <c r="J52" i="2"/>
  <c r="AA5" i="3"/>
  <c r="Z5" i="3"/>
  <c r="Y5" i="3"/>
  <c r="X5" i="3"/>
  <c r="W5" i="3"/>
  <c r="V5" i="3"/>
  <c r="U5" i="3"/>
  <c r="T5" i="3"/>
  <c r="S5" i="3"/>
  <c r="R5" i="3"/>
  <c r="AA23" i="3"/>
  <c r="Z23" i="3"/>
  <c r="Y23" i="3"/>
  <c r="X23" i="3"/>
  <c r="W23" i="3"/>
  <c r="V23" i="3"/>
  <c r="U23" i="3"/>
  <c r="T23" i="3"/>
  <c r="S23" i="3"/>
  <c r="R23" i="3"/>
  <c r="AA38" i="3"/>
  <c r="Z38" i="3"/>
  <c r="Y38" i="3"/>
  <c r="X38" i="3"/>
  <c r="W38" i="3"/>
  <c r="V38" i="3"/>
  <c r="U38" i="3"/>
  <c r="T38" i="3"/>
  <c r="S38" i="3"/>
  <c r="R38" i="3"/>
  <c r="AA52" i="3"/>
  <c r="Z52" i="3"/>
  <c r="Y52" i="3"/>
  <c r="X52" i="3"/>
  <c r="W52" i="3"/>
  <c r="V52" i="3"/>
  <c r="U52" i="3"/>
  <c r="T52" i="3"/>
  <c r="S52" i="3"/>
  <c r="R52" i="3"/>
  <c r="O5" i="3"/>
  <c r="O23" i="3"/>
  <c r="O38" i="3"/>
  <c r="O52" i="3"/>
  <c r="N5" i="3"/>
  <c r="M52" i="3"/>
  <c r="M38" i="3"/>
  <c r="M23" i="3"/>
  <c r="M5" i="3"/>
  <c r="L5" i="3"/>
  <c r="K5" i="3"/>
  <c r="J5" i="3"/>
  <c r="J23" i="3"/>
  <c r="J38" i="3"/>
  <c r="J52" i="3"/>
  <c r="I5" i="3"/>
  <c r="AA5" i="4"/>
  <c r="Z5" i="4"/>
  <c r="Y5" i="4"/>
  <c r="X5" i="4"/>
  <c r="V5" i="4"/>
  <c r="U5" i="4"/>
  <c r="T5" i="4"/>
  <c r="S5" i="4"/>
  <c r="R5" i="4"/>
  <c r="AA23" i="4"/>
  <c r="Z23" i="4"/>
  <c r="Y23" i="4"/>
  <c r="X23" i="4"/>
  <c r="W23" i="4"/>
  <c r="V23" i="4"/>
  <c r="U23" i="4"/>
  <c r="T23" i="4"/>
  <c r="S23" i="4"/>
  <c r="R23" i="4"/>
  <c r="AA38" i="4"/>
  <c r="Z38" i="4"/>
  <c r="Y38" i="4"/>
  <c r="X38" i="4"/>
  <c r="W38" i="4"/>
  <c r="V38" i="4"/>
  <c r="U38" i="4"/>
  <c r="T38" i="4"/>
  <c r="S38" i="4"/>
  <c r="R38" i="4"/>
  <c r="AA52" i="4"/>
  <c r="Z52" i="4"/>
  <c r="Y52" i="4"/>
  <c r="X52" i="4"/>
  <c r="W52" i="4"/>
  <c r="V52" i="4"/>
  <c r="U52" i="4"/>
  <c r="T52" i="4"/>
  <c r="S52" i="4"/>
  <c r="R52" i="4"/>
  <c r="O5" i="4"/>
  <c r="N5" i="4"/>
  <c r="M5" i="4"/>
  <c r="O52" i="4"/>
  <c r="M52" i="4"/>
  <c r="O38" i="4"/>
  <c r="M38" i="4"/>
  <c r="O23" i="4"/>
  <c r="M23" i="4"/>
  <c r="J52" i="4"/>
  <c r="J38" i="4"/>
  <c r="J23" i="4"/>
  <c r="J5" i="4"/>
  <c r="I5" i="4"/>
  <c r="AA5" i="5"/>
  <c r="Z5" i="5"/>
  <c r="Y5" i="5"/>
  <c r="X5" i="5"/>
  <c r="V5" i="5"/>
  <c r="U5" i="5"/>
  <c r="T5" i="5"/>
  <c r="S5" i="5"/>
  <c r="R5" i="5"/>
  <c r="AA23" i="5"/>
  <c r="Z23" i="5"/>
  <c r="Y23" i="5"/>
  <c r="X23" i="5"/>
  <c r="W23" i="5"/>
  <c r="V23" i="5"/>
  <c r="U23" i="5"/>
  <c r="T23" i="5"/>
  <c r="S23" i="5"/>
  <c r="R23" i="5"/>
  <c r="AA38" i="5"/>
  <c r="Z38" i="5"/>
  <c r="Y38" i="5"/>
  <c r="X38" i="5"/>
  <c r="W38" i="5"/>
  <c r="V38" i="5"/>
  <c r="U38" i="5"/>
  <c r="T38" i="5"/>
  <c r="S38" i="5"/>
  <c r="R38" i="5"/>
  <c r="AA52" i="5"/>
  <c r="Z52" i="5"/>
  <c r="Y52" i="5"/>
  <c r="X52" i="5"/>
  <c r="W52" i="5"/>
  <c r="V52" i="5"/>
  <c r="U52" i="5"/>
  <c r="T52" i="5"/>
  <c r="S52" i="5"/>
  <c r="R52" i="5"/>
  <c r="K68" i="16" l="1"/>
  <c r="K64" i="16"/>
  <c r="K42" i="16"/>
  <c r="K35" i="16"/>
  <c r="K34" i="16"/>
  <c r="K25" i="16"/>
  <c r="K21" i="16"/>
  <c r="K17" i="16"/>
  <c r="K14" i="16"/>
  <c r="K66" i="16"/>
  <c r="K62" i="16"/>
  <c r="K43" i="16"/>
  <c r="K67" i="16"/>
  <c r="K61" i="16"/>
  <c r="K60" i="16"/>
  <c r="K39" i="16"/>
  <c r="K36" i="16"/>
  <c r="K22" i="16"/>
  <c r="K57" i="16"/>
  <c r="K55" i="16"/>
  <c r="K51" i="16"/>
  <c r="K49" i="16"/>
  <c r="K24" i="16"/>
  <c r="K16" i="16"/>
  <c r="K69" i="16"/>
  <c r="K65" i="16"/>
  <c r="K63" i="16"/>
  <c r="K41" i="16"/>
  <c r="K38" i="16"/>
  <c r="K37" i="16"/>
  <c r="K33" i="16"/>
  <c r="K56" i="16"/>
  <c r="K54" i="16"/>
  <c r="K52" i="16"/>
  <c r="K50" i="16"/>
  <c r="K46" i="16"/>
  <c r="K28" i="16"/>
  <c r="K13" i="16"/>
  <c r="K27" i="16"/>
  <c r="K23" i="16"/>
  <c r="K15" i="16"/>
  <c r="S4" i="5"/>
  <c r="J4" i="4"/>
  <c r="V4" i="2"/>
  <c r="AD10" i="17"/>
  <c r="AD28" i="17"/>
  <c r="AD57" i="17"/>
  <c r="AB9" i="17"/>
  <c r="Z9" i="17"/>
  <c r="W9" i="17"/>
  <c r="AD43" i="17"/>
  <c r="R4" i="5"/>
  <c r="T4" i="4"/>
  <c r="X4" i="3"/>
  <c r="K19" i="16"/>
  <c r="K40" i="16"/>
  <c r="K32" i="16"/>
  <c r="K31" i="16"/>
  <c r="K26" i="16"/>
  <c r="K53" i="16"/>
  <c r="K48" i="16"/>
  <c r="K47" i="16"/>
  <c r="K20" i="16"/>
  <c r="J4" i="3"/>
  <c r="Y4" i="3"/>
  <c r="V4" i="1"/>
  <c r="Y4" i="2"/>
  <c r="W4" i="1"/>
  <c r="S4" i="3"/>
  <c r="R4" i="2"/>
  <c r="X4" i="5"/>
  <c r="Z4" i="4"/>
  <c r="O4" i="3"/>
  <c r="T4" i="3"/>
  <c r="S4" i="2"/>
  <c r="AA4" i="2"/>
  <c r="Y4" i="1"/>
  <c r="M9" i="17"/>
  <c r="I9" i="17"/>
  <c r="X9" i="17"/>
  <c r="W4" i="2"/>
  <c r="U4" i="1"/>
  <c r="T4" i="5"/>
  <c r="U4" i="5"/>
  <c r="X4" i="4"/>
  <c r="Z4" i="3"/>
  <c r="Z4" i="2"/>
  <c r="Y4" i="5"/>
  <c r="R4" i="4"/>
  <c r="U4" i="3"/>
  <c r="T4" i="2"/>
  <c r="R4" i="1"/>
  <c r="Z4" i="1"/>
  <c r="K9" i="17"/>
  <c r="W4" i="3"/>
  <c r="T4" i="1"/>
  <c r="V4" i="4"/>
  <c r="R4" i="3"/>
  <c r="V4" i="5"/>
  <c r="AA4" i="3"/>
  <c r="X4" i="1"/>
  <c r="J9" i="17"/>
  <c r="AA9" i="17"/>
  <c r="AE9" i="17" s="1"/>
  <c r="Z4" i="5"/>
  <c r="O4" i="4"/>
  <c r="V4" i="3"/>
  <c r="U4" i="2"/>
  <c r="S4" i="1"/>
  <c r="M4" i="4"/>
  <c r="AA4" i="4"/>
  <c r="S4" i="4"/>
  <c r="U4" i="4"/>
  <c r="Y4" i="4"/>
  <c r="J4" i="1"/>
  <c r="O4" i="1"/>
  <c r="M4" i="1"/>
  <c r="J4" i="2"/>
  <c r="O4" i="2"/>
  <c r="M4" i="2"/>
  <c r="M4" i="3"/>
  <c r="AA4" i="5"/>
  <c r="O52" i="5"/>
  <c r="M52" i="5"/>
  <c r="J52" i="5"/>
  <c r="O38" i="5"/>
  <c r="M38" i="5"/>
  <c r="J38" i="5"/>
  <c r="O23" i="5"/>
  <c r="M23" i="5"/>
  <c r="J23" i="5"/>
  <c r="M5" i="5"/>
  <c r="O5" i="5"/>
  <c r="N4" i="5"/>
  <c r="L4" i="5"/>
  <c r="K4" i="5"/>
  <c r="J5" i="5"/>
  <c r="AA52" i="9"/>
  <c r="Z52" i="9"/>
  <c r="Y52" i="9"/>
  <c r="X52" i="9"/>
  <c r="W52" i="9"/>
  <c r="V52" i="9"/>
  <c r="U52" i="9"/>
  <c r="T52" i="9"/>
  <c r="S52" i="9"/>
  <c r="R52" i="9"/>
  <c r="AA38" i="9"/>
  <c r="Z38" i="9"/>
  <c r="Y38" i="9"/>
  <c r="X38" i="9"/>
  <c r="W38" i="9"/>
  <c r="V38" i="9"/>
  <c r="U38" i="9"/>
  <c r="T38" i="9"/>
  <c r="S38" i="9"/>
  <c r="R38" i="9"/>
  <c r="AA23" i="9"/>
  <c r="Z23" i="9"/>
  <c r="Y23" i="9"/>
  <c r="X23" i="9"/>
  <c r="W23" i="9"/>
  <c r="V23" i="9"/>
  <c r="U23" i="9"/>
  <c r="T23" i="9"/>
  <c r="S23" i="9"/>
  <c r="R23" i="9"/>
  <c r="AA5" i="9"/>
  <c r="Z5" i="9"/>
  <c r="Y5" i="9"/>
  <c r="X5" i="9"/>
  <c r="V5" i="9"/>
  <c r="U5" i="9"/>
  <c r="T5" i="9"/>
  <c r="S5" i="9"/>
  <c r="R5" i="9"/>
  <c r="L5" i="9"/>
  <c r="K5" i="9"/>
  <c r="O5" i="9"/>
  <c r="M5" i="9"/>
  <c r="I5" i="9"/>
  <c r="J5" i="9"/>
  <c r="O52" i="9"/>
  <c r="M52" i="9"/>
  <c r="O38" i="9"/>
  <c r="M38" i="9"/>
  <c r="O23" i="9"/>
  <c r="M23" i="9"/>
  <c r="J52" i="9"/>
  <c r="J38" i="9"/>
  <c r="J23" i="9"/>
  <c r="N4" i="10"/>
  <c r="L4" i="10"/>
  <c r="K4" i="10"/>
  <c r="X4" i="9" l="1"/>
  <c r="Z5" i="13"/>
  <c r="AA20" i="16"/>
  <c r="Y50" i="16"/>
  <c r="AA38" i="16"/>
  <c r="Y68" i="16"/>
  <c r="AD9" i="17"/>
  <c r="Y54" i="16"/>
  <c r="Y37" i="16"/>
  <c r="M4" i="5"/>
  <c r="AA48" i="16"/>
  <c r="AA56" i="16"/>
  <c r="AA39" i="16"/>
  <c r="AA26" i="16"/>
  <c r="AA31" i="16"/>
  <c r="AA35" i="16"/>
  <c r="Y17" i="16"/>
  <c r="Y60" i="16"/>
  <c r="Y4" i="9"/>
  <c r="Z4" i="9"/>
  <c r="T4" i="9"/>
  <c r="AA4" i="9"/>
  <c r="AA52" i="16"/>
  <c r="Y27" i="16"/>
  <c r="AA67" i="16"/>
  <c r="W47" i="16"/>
  <c r="W16" i="16"/>
  <c r="W65" i="16"/>
  <c r="AA17" i="16"/>
  <c r="AA60" i="16"/>
  <c r="AA61" i="16"/>
  <c r="N4" i="1"/>
  <c r="N4" i="13" s="1"/>
  <c r="Y20" i="16"/>
  <c r="AA47" i="16"/>
  <c r="AA51" i="16"/>
  <c r="AA55" i="16"/>
  <c r="Y38" i="16"/>
  <c r="AA24" i="16"/>
  <c r="AA49" i="16"/>
  <c r="AA53" i="16"/>
  <c r="AA57" i="16"/>
  <c r="AA33" i="16"/>
  <c r="AA36" i="16"/>
  <c r="Y66" i="16"/>
  <c r="AA32" i="16"/>
  <c r="AA63" i="16"/>
  <c r="Y61" i="16"/>
  <c r="Y67" i="16"/>
  <c r="Y15" i="16"/>
  <c r="AA19" i="16"/>
  <c r="AA69" i="16"/>
  <c r="Y40" i="16"/>
  <c r="Y33" i="16"/>
  <c r="Y63" i="16"/>
  <c r="AA21" i="16"/>
  <c r="AA13" i="16"/>
  <c r="Y24" i="16"/>
  <c r="AA28" i="16"/>
  <c r="Y49" i="16"/>
  <c r="Y53" i="16"/>
  <c r="Y57" i="16"/>
  <c r="Y18" i="16"/>
  <c r="Y36" i="16"/>
  <c r="AA41" i="16"/>
  <c r="Y69" i="16"/>
  <c r="Y32" i="16"/>
  <c r="AA64" i="16"/>
  <c r="Y65" i="16"/>
  <c r="AA62" i="16"/>
  <c r="Y19" i="16"/>
  <c r="AA23" i="16"/>
  <c r="W42" i="16"/>
  <c r="W37" i="16"/>
  <c r="W17" i="16"/>
  <c r="Y25" i="16"/>
  <c r="Y16" i="16"/>
  <c r="Y46" i="16"/>
  <c r="Y47" i="16"/>
  <c r="Y51" i="16"/>
  <c r="Y55" i="16"/>
  <c r="AA18" i="16"/>
  <c r="AA22" i="16"/>
  <c r="AA42" i="16"/>
  <c r="AA34" i="16"/>
  <c r="AA14" i="16"/>
  <c r="AA25" i="16"/>
  <c r="W60" i="16"/>
  <c r="Y48" i="16"/>
  <c r="Y31" i="16"/>
  <c r="AA15" i="16"/>
  <c r="W61" i="16"/>
  <c r="Y39" i="16"/>
  <c r="AA43" i="16"/>
  <c r="AA66" i="16"/>
  <c r="Y13" i="16"/>
  <c r="Y28" i="16"/>
  <c r="Y41" i="16"/>
  <c r="Y42" i="16"/>
  <c r="AA68" i="16"/>
  <c r="Y34" i="16"/>
  <c r="Y64" i="16"/>
  <c r="AA65" i="16"/>
  <c r="Y21" i="16"/>
  <c r="W23" i="16"/>
  <c r="Y52" i="16"/>
  <c r="Y56" i="16"/>
  <c r="W41" i="16"/>
  <c r="W52" i="16"/>
  <c r="AA16" i="16"/>
  <c r="AA46" i="16"/>
  <c r="AA50" i="16"/>
  <c r="AA54" i="16"/>
  <c r="AC54" i="16" s="1"/>
  <c r="Y22" i="16"/>
  <c r="AA37" i="16"/>
  <c r="Y43" i="16"/>
  <c r="Y26" i="16"/>
  <c r="Y35" i="16"/>
  <c r="Y14" i="16"/>
  <c r="AA40" i="16"/>
  <c r="Y62" i="16"/>
  <c r="Y23" i="16"/>
  <c r="AA27" i="16"/>
  <c r="W40" i="16"/>
  <c r="W51" i="16"/>
  <c r="W64" i="16"/>
  <c r="W50" i="16"/>
  <c r="U4" i="9"/>
  <c r="W18" i="16"/>
  <c r="W34" i="16"/>
  <c r="W38" i="16"/>
  <c r="W39" i="16"/>
  <c r="W62" i="16"/>
  <c r="W66" i="16"/>
  <c r="W69" i="16"/>
  <c r="W20" i="16"/>
  <c r="W49" i="16"/>
  <c r="M4" i="9"/>
  <c r="V4" i="9"/>
  <c r="O4" i="5"/>
  <c r="W57" i="16"/>
  <c r="W67" i="16"/>
  <c r="W19" i="16"/>
  <c r="W48" i="16"/>
  <c r="W32" i="16"/>
  <c r="W55" i="16"/>
  <c r="R4" i="9"/>
  <c r="J4" i="5"/>
  <c r="W53" i="16"/>
  <c r="W21" i="16"/>
  <c r="W25" i="16"/>
  <c r="S4" i="9"/>
  <c r="W24" i="16"/>
  <c r="W26" i="16"/>
  <c r="W31" i="16"/>
  <c r="W35" i="16"/>
  <c r="W36" i="16"/>
  <c r="W63" i="16"/>
  <c r="W13" i="16"/>
  <c r="W28" i="16"/>
  <c r="W27" i="16"/>
  <c r="W68" i="16"/>
  <c r="W22" i="16"/>
  <c r="W33" i="16"/>
  <c r="W43" i="16"/>
  <c r="W54" i="16"/>
  <c r="J4" i="9"/>
  <c r="W14" i="16"/>
  <c r="W56" i="16"/>
  <c r="W46" i="16"/>
  <c r="K4" i="1"/>
  <c r="O4" i="9"/>
  <c r="AC38" i="16" l="1"/>
  <c r="AC50" i="16"/>
  <c r="AC68" i="16"/>
  <c r="AC20" i="16"/>
  <c r="AC37" i="16"/>
  <c r="AC15" i="16"/>
  <c r="AC60" i="16"/>
  <c r="AC35" i="16"/>
  <c r="AC17" i="16"/>
  <c r="AC26" i="16"/>
  <c r="AC56" i="16"/>
  <c r="AC39" i="16"/>
  <c r="AC31" i="16"/>
  <c r="AC48" i="16"/>
  <c r="AC67" i="16"/>
  <c r="AC27" i="16"/>
  <c r="AC52" i="16"/>
  <c r="AC53" i="16"/>
  <c r="AC63" i="16"/>
  <c r="AC33" i="16"/>
  <c r="AC32" i="16"/>
  <c r="AC61" i="16"/>
  <c r="AC18" i="16"/>
  <c r="AC49" i="16"/>
  <c r="AC51" i="16"/>
  <c r="AC24" i="16"/>
  <c r="AC19" i="16"/>
  <c r="AC25" i="16"/>
  <c r="AC47" i="16"/>
  <c r="AC57" i="16"/>
  <c r="AC40" i="16"/>
  <c r="AC69" i="16"/>
  <c r="AC65" i="16"/>
  <c r="AC66" i="16"/>
  <c r="AC41" i="16"/>
  <c r="AC64" i="16"/>
  <c r="AC36" i="16"/>
  <c r="AC55" i="16"/>
  <c r="AC62" i="16"/>
  <c r="AC28" i="16"/>
  <c r="AC23" i="16"/>
  <c r="AC16" i="16"/>
  <c r="AC21" i="16"/>
  <c r="AC13" i="16"/>
  <c r="AC34" i="16"/>
  <c r="AC46" i="16"/>
  <c r="AC22" i="16"/>
  <c r="AC42" i="16"/>
  <c r="AC14" i="16"/>
  <c r="AC43" i="16"/>
  <c r="L4" i="1"/>
  <c r="L4" i="13" s="1"/>
  <c r="K4" i="13"/>
  <c r="AA52" i="10"/>
  <c r="Z52" i="10"/>
  <c r="Y52" i="10"/>
  <c r="Y52" i="13" s="1"/>
  <c r="X52" i="10"/>
  <c r="X52" i="13" s="1"/>
  <c r="W52" i="10"/>
  <c r="V52" i="10"/>
  <c r="V52" i="13" s="1"/>
  <c r="U52" i="10"/>
  <c r="U52" i="13" s="1"/>
  <c r="T52" i="10"/>
  <c r="T52" i="13" s="1"/>
  <c r="S52" i="10"/>
  <c r="S52" i="13" s="1"/>
  <c r="R52" i="10"/>
  <c r="R52" i="13" s="1"/>
  <c r="AA38" i="10"/>
  <c r="Z38" i="10"/>
  <c r="Y38" i="10"/>
  <c r="Y38" i="13" s="1"/>
  <c r="X38" i="10"/>
  <c r="X38" i="13" s="1"/>
  <c r="W38" i="10"/>
  <c r="V38" i="10"/>
  <c r="V38" i="13" s="1"/>
  <c r="U38" i="10"/>
  <c r="U38" i="13" s="1"/>
  <c r="T38" i="10"/>
  <c r="T38" i="13" s="1"/>
  <c r="S38" i="10"/>
  <c r="S38" i="13" s="1"/>
  <c r="R38" i="10"/>
  <c r="R38" i="13" s="1"/>
  <c r="AA23" i="10"/>
  <c r="AA4" i="10" s="1"/>
  <c r="Z23" i="10"/>
  <c r="Y23" i="10"/>
  <c r="Y23" i="13" s="1"/>
  <c r="X23" i="10"/>
  <c r="X23" i="13" s="1"/>
  <c r="W23" i="10"/>
  <c r="V23" i="10"/>
  <c r="V23" i="13" s="1"/>
  <c r="U23" i="10"/>
  <c r="U23" i="13" s="1"/>
  <c r="T23" i="10"/>
  <c r="T23" i="13" s="1"/>
  <c r="S23" i="10"/>
  <c r="S23" i="13" s="1"/>
  <c r="R23" i="10"/>
  <c r="R23" i="13" s="1"/>
  <c r="Y5" i="10"/>
  <c r="X5" i="10"/>
  <c r="W5" i="10"/>
  <c r="V5" i="10"/>
  <c r="U5" i="10"/>
  <c r="T5" i="10"/>
  <c r="R5" i="10"/>
  <c r="O52" i="10"/>
  <c r="O52" i="13" s="1"/>
  <c r="M52" i="10"/>
  <c r="M52" i="13" s="1"/>
  <c r="J52" i="10"/>
  <c r="J52" i="13" s="1"/>
  <c r="O38" i="10"/>
  <c r="O38" i="13" s="1"/>
  <c r="M38" i="10"/>
  <c r="M38" i="13" s="1"/>
  <c r="J38" i="10"/>
  <c r="J38" i="13" s="1"/>
  <c r="O23" i="10"/>
  <c r="O23" i="13" s="1"/>
  <c r="M23" i="10"/>
  <c r="M23" i="13" s="1"/>
  <c r="J23" i="10"/>
  <c r="J23" i="13" s="1"/>
  <c r="O5" i="10"/>
  <c r="M5" i="10"/>
  <c r="J5" i="10"/>
  <c r="I4" i="10"/>
  <c r="I4" i="13" s="1"/>
  <c r="AA53" i="13"/>
  <c r="AA39" i="13"/>
  <c r="AA24" i="13"/>
  <c r="B7" i="2"/>
  <c r="C7" i="2"/>
  <c r="D7" i="2"/>
  <c r="B8" i="2"/>
  <c r="C8" i="2"/>
  <c r="D8" i="2"/>
  <c r="D9" i="2"/>
  <c r="B10" i="2"/>
  <c r="C10" i="2"/>
  <c r="D10" i="2"/>
  <c r="B11" i="2"/>
  <c r="C11" i="2"/>
  <c r="D11" i="2"/>
  <c r="B12" i="2"/>
  <c r="C12" i="2"/>
  <c r="D12" i="2"/>
  <c r="B13" i="2"/>
  <c r="C13" i="2"/>
  <c r="D13" i="2"/>
  <c r="C14" i="2"/>
  <c r="B15" i="2"/>
  <c r="C15" i="2"/>
  <c r="D15" i="2"/>
  <c r="B16" i="2"/>
  <c r="C16" i="2"/>
  <c r="D16" i="2"/>
  <c r="C17" i="2"/>
  <c r="D17" i="2"/>
  <c r="B18" i="2"/>
  <c r="C18" i="2"/>
  <c r="D18" i="2"/>
  <c r="B19" i="2"/>
  <c r="C19" i="2"/>
  <c r="D19" i="2"/>
  <c r="B20" i="2"/>
  <c r="C20" i="2"/>
  <c r="D20" i="2"/>
  <c r="B21" i="2"/>
  <c r="C21" i="2"/>
  <c r="D21" i="2"/>
  <c r="B22" i="2"/>
  <c r="C22" i="2"/>
  <c r="D22" i="2"/>
  <c r="Z23" i="13" l="1"/>
  <c r="Z52" i="13"/>
  <c r="Z38" i="13"/>
  <c r="Z4" i="10"/>
  <c r="R4" i="10"/>
  <c r="R4" i="13" s="1"/>
  <c r="R5" i="13"/>
  <c r="U4" i="10"/>
  <c r="U4" i="13" s="1"/>
  <c r="U5" i="13"/>
  <c r="M4" i="10"/>
  <c r="M4" i="13" s="1"/>
  <c r="M5" i="13"/>
  <c r="X4" i="10"/>
  <c r="X4" i="13" s="1"/>
  <c r="X5" i="13"/>
  <c r="O4" i="10"/>
  <c r="O4" i="13" s="1"/>
  <c r="O5" i="13"/>
  <c r="Y4" i="10"/>
  <c r="Y4" i="13" s="1"/>
  <c r="Y5" i="13"/>
  <c r="W23" i="13"/>
  <c r="W38" i="13"/>
  <c r="W52" i="13"/>
  <c r="V4" i="10"/>
  <c r="V4" i="13" s="1"/>
  <c r="V5" i="13"/>
  <c r="T4" i="10"/>
  <c r="T4" i="13" s="1"/>
  <c r="T5" i="13"/>
  <c r="J4" i="10"/>
  <c r="J4" i="13" s="1"/>
  <c r="J5" i="13"/>
  <c r="W4" i="10"/>
  <c r="AA9" i="13"/>
  <c r="AA13" i="13"/>
  <c r="AA8" i="13"/>
  <c r="AA10" i="13"/>
  <c r="AA12" i="13"/>
  <c r="AA14" i="13"/>
  <c r="AA16" i="13"/>
  <c r="AA18" i="13"/>
  <c r="AA20" i="13"/>
  <c r="AA22" i="13"/>
  <c r="AA25" i="13"/>
  <c r="AA27" i="13"/>
  <c r="AA29" i="13"/>
  <c r="AA31" i="13"/>
  <c r="AA33" i="13"/>
  <c r="AA35" i="13"/>
  <c r="AA37" i="13"/>
  <c r="AA40" i="13"/>
  <c r="AA42" i="13"/>
  <c r="AA44" i="13"/>
  <c r="AA46" i="13"/>
  <c r="AA48" i="13"/>
  <c r="AA50" i="13"/>
  <c r="AA55" i="13"/>
  <c r="AA57" i="13"/>
  <c r="AA59" i="13"/>
  <c r="AA61" i="13"/>
  <c r="AA63" i="13"/>
  <c r="AA5" i="1"/>
  <c r="AA7" i="13"/>
  <c r="AA11" i="13"/>
  <c r="AA15" i="13"/>
  <c r="AA17" i="13"/>
  <c r="AA19" i="13"/>
  <c r="AA21" i="13"/>
  <c r="AA26" i="13"/>
  <c r="AA28" i="13"/>
  <c r="AA30" i="13"/>
  <c r="AA32" i="13"/>
  <c r="AA34" i="13"/>
  <c r="AA36" i="13"/>
  <c r="AA41" i="13"/>
  <c r="AA43" i="13"/>
  <c r="AA45" i="13"/>
  <c r="AA47" i="13"/>
  <c r="AA49" i="13"/>
  <c r="AA51" i="13"/>
  <c r="AA52" i="1"/>
  <c r="AA54" i="13"/>
  <c r="AA56" i="13"/>
  <c r="AA58" i="13"/>
  <c r="AA60" i="13"/>
  <c r="AA62" i="13"/>
  <c r="AA23" i="1"/>
  <c r="AA38" i="1"/>
  <c r="W9" i="4"/>
  <c r="W9" i="5"/>
  <c r="W9" i="9"/>
  <c r="N4" i="18"/>
  <c r="D18" i="22"/>
  <c r="D18" i="25"/>
  <c r="D19" i="22"/>
  <c r="D19" i="25"/>
  <c r="D20" i="22"/>
  <c r="D20" i="25"/>
  <c r="D21" i="22"/>
  <c r="D21" i="25"/>
  <c r="B7" i="22"/>
  <c r="B8" i="22"/>
  <c r="B10" i="22"/>
  <c r="B11" i="22"/>
  <c r="B12" i="22"/>
  <c r="B12" i="26" s="1"/>
  <c r="B14" i="22"/>
  <c r="B16" i="22"/>
  <c r="B17" i="22"/>
  <c r="B18" i="22"/>
  <c r="B19" i="22"/>
  <c r="B20" i="22"/>
  <c r="B21" i="22"/>
  <c r="B22" i="22"/>
  <c r="C7" i="22"/>
  <c r="C8" i="22"/>
  <c r="C10" i="22"/>
  <c r="C11" i="22"/>
  <c r="C12" i="22"/>
  <c r="C13" i="22"/>
  <c r="C14" i="22"/>
  <c r="C15" i="22"/>
  <c r="C16" i="22"/>
  <c r="C17" i="22"/>
  <c r="C18" i="22"/>
  <c r="C19" i="22"/>
  <c r="C20" i="22"/>
  <c r="C21" i="22"/>
  <c r="D7" i="22"/>
  <c r="D8" i="22"/>
  <c r="D10" i="22"/>
  <c r="D11" i="22"/>
  <c r="D12" i="22"/>
  <c r="D13" i="22"/>
  <c r="D14" i="22"/>
  <c r="D16" i="22"/>
  <c r="D17" i="22"/>
  <c r="D22" i="22"/>
  <c r="I7" i="22"/>
  <c r="I8" i="22"/>
  <c r="I10" i="22"/>
  <c r="I11" i="22"/>
  <c r="I12" i="22"/>
  <c r="I13" i="22"/>
  <c r="I14" i="22"/>
  <c r="I15" i="22"/>
  <c r="I16" i="22"/>
  <c r="I17" i="22"/>
  <c r="I18" i="22"/>
  <c r="I19" i="22"/>
  <c r="I20" i="22"/>
  <c r="I21" i="22"/>
  <c r="I22" i="22"/>
  <c r="K7" i="22"/>
  <c r="K8" i="22"/>
  <c r="K10" i="22"/>
  <c r="K11" i="22"/>
  <c r="K13" i="22"/>
  <c r="K14" i="22"/>
  <c r="K15" i="22"/>
  <c r="K16" i="22"/>
  <c r="K17" i="22"/>
  <c r="K18" i="22"/>
  <c r="K19" i="22"/>
  <c r="K20" i="22"/>
  <c r="K21" i="22"/>
  <c r="L7" i="22"/>
  <c r="L8" i="22"/>
  <c r="L10" i="22"/>
  <c r="L11" i="22"/>
  <c r="L13" i="22"/>
  <c r="L14" i="22"/>
  <c r="L15" i="22"/>
  <c r="L16" i="22"/>
  <c r="L17" i="22"/>
  <c r="L18" i="22"/>
  <c r="L19" i="22"/>
  <c r="L20" i="22"/>
  <c r="L21" i="22"/>
  <c r="N7" i="22"/>
  <c r="N8" i="22"/>
  <c r="N9" i="22"/>
  <c r="N10" i="22"/>
  <c r="N11" i="22"/>
  <c r="N12" i="22"/>
  <c r="N13" i="22"/>
  <c r="N14" i="22"/>
  <c r="N15" i="22"/>
  <c r="N16" i="22"/>
  <c r="N17" i="22"/>
  <c r="N18" i="22"/>
  <c r="N19" i="22"/>
  <c r="N20" i="22"/>
  <c r="N21" i="22"/>
  <c r="N22" i="22"/>
  <c r="B7" i="5"/>
  <c r="B8" i="5"/>
  <c r="B10" i="5"/>
  <c r="B11" i="5"/>
  <c r="B12" i="5"/>
  <c r="B13" i="5"/>
  <c r="B14" i="5"/>
  <c r="B15" i="5"/>
  <c r="B16" i="5"/>
  <c r="B17" i="5"/>
  <c r="B18" i="5"/>
  <c r="B19" i="5"/>
  <c r="B20" i="5"/>
  <c r="B21" i="5"/>
  <c r="B22" i="5"/>
  <c r="C7" i="5"/>
  <c r="C8" i="5"/>
  <c r="C10" i="5"/>
  <c r="C11" i="5"/>
  <c r="C12" i="5"/>
  <c r="C13" i="5"/>
  <c r="C14" i="5"/>
  <c r="C15" i="5"/>
  <c r="C16" i="5"/>
  <c r="C17" i="5"/>
  <c r="C18" i="5"/>
  <c r="C19" i="5"/>
  <c r="C20" i="5"/>
  <c r="C21" i="5"/>
  <c r="C22" i="5"/>
  <c r="D7" i="5"/>
  <c r="D8" i="5"/>
  <c r="D9" i="5"/>
  <c r="D10" i="5"/>
  <c r="D11" i="5"/>
  <c r="D12" i="5"/>
  <c r="D13" i="5"/>
  <c r="D14" i="5"/>
  <c r="D15" i="5"/>
  <c r="D16" i="5"/>
  <c r="D17" i="5"/>
  <c r="D18" i="5"/>
  <c r="D19" i="5"/>
  <c r="D20" i="5"/>
  <c r="D21" i="5"/>
  <c r="D22" i="5"/>
  <c r="I7" i="5"/>
  <c r="I8" i="5"/>
  <c r="I10" i="5"/>
  <c r="I11" i="5"/>
  <c r="I12" i="5"/>
  <c r="I13" i="5"/>
  <c r="I14" i="5"/>
  <c r="I15" i="5"/>
  <c r="I16" i="5"/>
  <c r="I17" i="5"/>
  <c r="I18" i="5"/>
  <c r="I19" i="5"/>
  <c r="I20" i="5"/>
  <c r="I21" i="5"/>
  <c r="I22" i="5"/>
  <c r="K7" i="5"/>
  <c r="K10" i="5"/>
  <c r="K11" i="5"/>
  <c r="K12" i="5"/>
  <c r="K13" i="5"/>
  <c r="K15" i="5"/>
  <c r="K16" i="5"/>
  <c r="K17" i="5"/>
  <c r="K18" i="5"/>
  <c r="K19" i="5"/>
  <c r="K20" i="5"/>
  <c r="K21" i="5"/>
  <c r="K22" i="5"/>
  <c r="L7" i="5"/>
  <c r="L10" i="5"/>
  <c r="L11" i="5"/>
  <c r="L12" i="5"/>
  <c r="L13" i="5"/>
  <c r="L14" i="5"/>
  <c r="L15" i="5"/>
  <c r="L16" i="5"/>
  <c r="L17" i="5"/>
  <c r="L18" i="5"/>
  <c r="L19" i="5"/>
  <c r="L20" i="5"/>
  <c r="L21" i="5"/>
  <c r="L22" i="5"/>
  <c r="K4" i="18"/>
  <c r="B4" i="25"/>
  <c r="C4" i="25"/>
  <c r="D4" i="25"/>
  <c r="I4" i="25"/>
  <c r="I4" i="26" s="1"/>
  <c r="K4" i="25"/>
  <c r="L4" i="25"/>
  <c r="N4" i="25"/>
  <c r="B7" i="25"/>
  <c r="B8" i="25"/>
  <c r="B10" i="25"/>
  <c r="B11" i="25"/>
  <c r="B13" i="25"/>
  <c r="B13" i="26" s="1"/>
  <c r="B14" i="25"/>
  <c r="B15" i="25"/>
  <c r="B15" i="26" s="1"/>
  <c r="B16" i="25"/>
  <c r="B17" i="25"/>
  <c r="B18" i="25"/>
  <c r="B19" i="25"/>
  <c r="B20" i="25"/>
  <c r="B21" i="25"/>
  <c r="B22" i="25"/>
  <c r="C7" i="25"/>
  <c r="C8" i="25"/>
  <c r="C10" i="25"/>
  <c r="C11" i="25"/>
  <c r="C12" i="25"/>
  <c r="C13" i="25"/>
  <c r="C14" i="25"/>
  <c r="C15" i="25"/>
  <c r="C16" i="25"/>
  <c r="C17" i="25"/>
  <c r="C18" i="25"/>
  <c r="C19" i="25"/>
  <c r="C20" i="25"/>
  <c r="C21" i="25"/>
  <c r="C22" i="25"/>
  <c r="C22" i="26" s="1"/>
  <c r="D7" i="25"/>
  <c r="D8" i="25"/>
  <c r="D9" i="25"/>
  <c r="D9" i="26" s="1"/>
  <c r="D10" i="25"/>
  <c r="D11" i="25"/>
  <c r="D12" i="25"/>
  <c r="D13" i="25"/>
  <c r="D14" i="25"/>
  <c r="D15" i="25"/>
  <c r="D15" i="26" s="1"/>
  <c r="D16" i="25"/>
  <c r="D17" i="25"/>
  <c r="D22" i="25"/>
  <c r="I7" i="25"/>
  <c r="I8" i="25"/>
  <c r="I10" i="25"/>
  <c r="I11" i="25"/>
  <c r="I12" i="25"/>
  <c r="I13" i="25"/>
  <c r="I14" i="25"/>
  <c r="I15" i="25"/>
  <c r="I16" i="25"/>
  <c r="I17" i="25"/>
  <c r="I18" i="25"/>
  <c r="I19" i="25"/>
  <c r="I20" i="25"/>
  <c r="I21" i="25"/>
  <c r="I22" i="25"/>
  <c r="K7" i="25"/>
  <c r="K8" i="25"/>
  <c r="K10" i="25"/>
  <c r="K11" i="25"/>
  <c r="K12" i="25"/>
  <c r="K12" i="26" s="1"/>
  <c r="K13" i="25"/>
  <c r="K14" i="25"/>
  <c r="K15" i="25"/>
  <c r="K16" i="25"/>
  <c r="K17" i="25"/>
  <c r="K18" i="25"/>
  <c r="K19" i="25"/>
  <c r="K20" i="25"/>
  <c r="K21" i="25"/>
  <c r="K22" i="25"/>
  <c r="K22" i="26" s="1"/>
  <c r="L7" i="25"/>
  <c r="L8" i="25"/>
  <c r="L10" i="25"/>
  <c r="L11" i="25"/>
  <c r="L12" i="25"/>
  <c r="L12" i="26" s="1"/>
  <c r="L13" i="25"/>
  <c r="L14" i="25"/>
  <c r="L15" i="25"/>
  <c r="L16" i="25"/>
  <c r="L17" i="25"/>
  <c r="L18" i="25"/>
  <c r="L19" i="25"/>
  <c r="L20" i="25"/>
  <c r="L21" i="25"/>
  <c r="L22" i="25"/>
  <c r="L22" i="26" s="1"/>
  <c r="N7" i="25"/>
  <c r="N8" i="25"/>
  <c r="N9" i="25"/>
  <c r="N10" i="25"/>
  <c r="N11" i="25"/>
  <c r="N12" i="25"/>
  <c r="N13" i="25"/>
  <c r="N14" i="25"/>
  <c r="N15" i="25"/>
  <c r="N16" i="25"/>
  <c r="N17" i="25"/>
  <c r="N18" i="25"/>
  <c r="N19" i="25"/>
  <c r="N20" i="25"/>
  <c r="N21" i="25"/>
  <c r="N22" i="25"/>
  <c r="B4" i="22"/>
  <c r="C4" i="22"/>
  <c r="D4" i="22"/>
  <c r="K4" i="22"/>
  <c r="L4" i="22"/>
  <c r="N4" i="22"/>
  <c r="D4" i="18"/>
  <c r="B4" i="10"/>
  <c r="C4" i="10"/>
  <c r="D4" i="10"/>
  <c r="S9" i="10"/>
  <c r="B7" i="10"/>
  <c r="B8" i="10"/>
  <c r="B10" i="10"/>
  <c r="B11" i="10"/>
  <c r="B12" i="10"/>
  <c r="B13" i="10"/>
  <c r="B14" i="10"/>
  <c r="B15" i="10"/>
  <c r="B16" i="10"/>
  <c r="B17" i="10"/>
  <c r="B18" i="10"/>
  <c r="B19" i="10"/>
  <c r="B20" i="10"/>
  <c r="B21" i="10"/>
  <c r="B22" i="10"/>
  <c r="C7" i="10"/>
  <c r="C8" i="10"/>
  <c r="C10" i="10"/>
  <c r="C11" i="10"/>
  <c r="C12" i="10"/>
  <c r="C13" i="10"/>
  <c r="C14" i="10"/>
  <c r="C15" i="10"/>
  <c r="C16" i="10"/>
  <c r="C17" i="10"/>
  <c r="C18" i="10"/>
  <c r="C19" i="10"/>
  <c r="C20" i="10"/>
  <c r="C21" i="10"/>
  <c r="C22" i="10"/>
  <c r="D7" i="10"/>
  <c r="D8" i="10"/>
  <c r="D9" i="10"/>
  <c r="D10" i="10"/>
  <c r="D11" i="10"/>
  <c r="D12" i="10"/>
  <c r="D13" i="10"/>
  <c r="D14" i="10"/>
  <c r="D15" i="10"/>
  <c r="D16" i="10"/>
  <c r="D17" i="10"/>
  <c r="D18" i="10"/>
  <c r="D19" i="10"/>
  <c r="D20" i="10"/>
  <c r="D21" i="10"/>
  <c r="D22" i="10"/>
  <c r="I7" i="10"/>
  <c r="I8" i="10"/>
  <c r="I10" i="10"/>
  <c r="I11" i="10"/>
  <c r="I12" i="10"/>
  <c r="I13" i="10"/>
  <c r="I14" i="10"/>
  <c r="I15" i="10"/>
  <c r="I16" i="10"/>
  <c r="I17" i="10"/>
  <c r="I18" i="10"/>
  <c r="I19" i="10"/>
  <c r="I20" i="10"/>
  <c r="I21" i="10"/>
  <c r="I22" i="10"/>
  <c r="K7" i="10"/>
  <c r="K8" i="10"/>
  <c r="K8" i="13" s="1"/>
  <c r="K10" i="10"/>
  <c r="K11" i="10"/>
  <c r="K12" i="10"/>
  <c r="K13" i="10"/>
  <c r="K14" i="10"/>
  <c r="K14" i="13" s="1"/>
  <c r="K15" i="10"/>
  <c r="K16" i="10"/>
  <c r="K17" i="10"/>
  <c r="K18" i="10"/>
  <c r="K19" i="10"/>
  <c r="K20" i="10"/>
  <c r="K21" i="10"/>
  <c r="K22" i="10"/>
  <c r="L7" i="10"/>
  <c r="L8" i="10"/>
  <c r="L8" i="13" s="1"/>
  <c r="L10" i="10"/>
  <c r="L11" i="10"/>
  <c r="L12" i="10"/>
  <c r="L13" i="10"/>
  <c r="L14" i="10"/>
  <c r="L15" i="10"/>
  <c r="L16" i="10"/>
  <c r="L17" i="10"/>
  <c r="L18" i="10"/>
  <c r="L19" i="10"/>
  <c r="L20" i="10"/>
  <c r="L21" i="10"/>
  <c r="L22" i="10"/>
  <c r="N7" i="10"/>
  <c r="N8" i="10"/>
  <c r="N9" i="10"/>
  <c r="N10" i="10"/>
  <c r="N11" i="10"/>
  <c r="N12" i="10"/>
  <c r="N13" i="10"/>
  <c r="N14" i="10"/>
  <c r="N15" i="10"/>
  <c r="N16" i="10"/>
  <c r="N17" i="10"/>
  <c r="N18" i="10"/>
  <c r="N19" i="10"/>
  <c r="N20" i="10"/>
  <c r="N21" i="10"/>
  <c r="N22" i="10"/>
  <c r="B4" i="9"/>
  <c r="C4" i="9"/>
  <c r="D4" i="9"/>
  <c r="B7" i="9"/>
  <c r="B8" i="9"/>
  <c r="B11" i="9"/>
  <c r="B13" i="9"/>
  <c r="B15" i="9"/>
  <c r="B16" i="9"/>
  <c r="B18" i="9"/>
  <c r="B19" i="9"/>
  <c r="B20" i="9"/>
  <c r="B21" i="9"/>
  <c r="B22" i="9"/>
  <c r="C7" i="9"/>
  <c r="C8" i="9"/>
  <c r="C10" i="9"/>
  <c r="C11" i="9"/>
  <c r="C12" i="9"/>
  <c r="C13" i="9"/>
  <c r="C14" i="9"/>
  <c r="C15" i="9"/>
  <c r="C16" i="9"/>
  <c r="C17" i="9"/>
  <c r="C18" i="9"/>
  <c r="C19" i="9"/>
  <c r="C20" i="9"/>
  <c r="C21" i="9"/>
  <c r="C22" i="9"/>
  <c r="D7" i="9"/>
  <c r="D8" i="9"/>
  <c r="D10" i="9"/>
  <c r="D11" i="9"/>
  <c r="D12" i="9"/>
  <c r="D13" i="9"/>
  <c r="D14" i="9"/>
  <c r="D15" i="9"/>
  <c r="D16" i="9"/>
  <c r="D17" i="9"/>
  <c r="D18" i="9"/>
  <c r="D19" i="9"/>
  <c r="D20" i="9"/>
  <c r="D21" i="9"/>
  <c r="D22" i="9"/>
  <c r="B4" i="5"/>
  <c r="C4" i="5"/>
  <c r="D4" i="5"/>
  <c r="N7" i="5"/>
  <c r="N8" i="5"/>
  <c r="N9" i="5"/>
  <c r="N10" i="5"/>
  <c r="N11" i="5"/>
  <c r="N12" i="5"/>
  <c r="N13" i="5"/>
  <c r="N14" i="5"/>
  <c r="N15" i="5"/>
  <c r="N16" i="5"/>
  <c r="N17" i="5"/>
  <c r="N18" i="5"/>
  <c r="N19" i="5"/>
  <c r="N20" i="5"/>
  <c r="N21" i="5"/>
  <c r="N22" i="5"/>
  <c r="B4" i="4"/>
  <c r="C4" i="4"/>
  <c r="D4" i="4"/>
  <c r="B7" i="4"/>
  <c r="B8" i="4"/>
  <c r="B10" i="4"/>
  <c r="B11" i="4"/>
  <c r="B12" i="4"/>
  <c r="B13" i="4"/>
  <c r="B15" i="4"/>
  <c r="B16" i="4"/>
  <c r="B18" i="4"/>
  <c r="B19" i="4"/>
  <c r="B20" i="4"/>
  <c r="B21" i="4"/>
  <c r="B22" i="4"/>
  <c r="C7" i="4"/>
  <c r="C8" i="4"/>
  <c r="C10" i="4"/>
  <c r="C11" i="4"/>
  <c r="C12" i="4"/>
  <c r="C13" i="4"/>
  <c r="C14" i="4"/>
  <c r="C15" i="4"/>
  <c r="C16" i="4"/>
  <c r="C18" i="4"/>
  <c r="C19" i="4"/>
  <c r="C20" i="4"/>
  <c r="C21" i="4"/>
  <c r="C22" i="4"/>
  <c r="D7" i="4"/>
  <c r="D8" i="4"/>
  <c r="D9" i="4"/>
  <c r="D10" i="4"/>
  <c r="D11" i="4"/>
  <c r="D12" i="4"/>
  <c r="D13" i="4"/>
  <c r="D14" i="4"/>
  <c r="D15" i="4"/>
  <c r="D16" i="4"/>
  <c r="D17" i="4"/>
  <c r="D18" i="4"/>
  <c r="D19" i="4"/>
  <c r="D20" i="4"/>
  <c r="D21" i="4"/>
  <c r="D22" i="4"/>
  <c r="B4" i="3"/>
  <c r="C4" i="3"/>
  <c r="D4" i="3"/>
  <c r="B7" i="3"/>
  <c r="B5" i="3" s="1"/>
  <c r="C7" i="3"/>
  <c r="C5" i="3" s="1"/>
  <c r="D7" i="3"/>
  <c r="D11" i="3"/>
  <c r="D13" i="3"/>
  <c r="D14" i="3"/>
  <c r="D15" i="3"/>
  <c r="D16" i="3"/>
  <c r="D17" i="3"/>
  <c r="D18" i="3"/>
  <c r="D19" i="3"/>
  <c r="D20" i="3"/>
  <c r="D21" i="3"/>
  <c r="D22" i="3"/>
  <c r="B4" i="2"/>
  <c r="C4" i="2"/>
  <c r="D4" i="2"/>
  <c r="B7" i="1"/>
  <c r="B8" i="1"/>
  <c r="B10" i="1"/>
  <c r="B11" i="1"/>
  <c r="B12" i="1"/>
  <c r="B13" i="1"/>
  <c r="B15" i="1"/>
  <c r="B16" i="1"/>
  <c r="B18" i="1"/>
  <c r="B19" i="1"/>
  <c r="B20" i="1"/>
  <c r="B21" i="1"/>
  <c r="B22" i="1"/>
  <c r="C7" i="1"/>
  <c r="C8" i="1"/>
  <c r="C10" i="1"/>
  <c r="C11" i="1"/>
  <c r="C12" i="1"/>
  <c r="C13" i="1"/>
  <c r="C14" i="1"/>
  <c r="C15" i="1"/>
  <c r="C16" i="1"/>
  <c r="C17" i="1"/>
  <c r="C18" i="1"/>
  <c r="C19" i="1"/>
  <c r="C20" i="1"/>
  <c r="C21" i="1"/>
  <c r="C22" i="1"/>
  <c r="D7" i="1"/>
  <c r="D8" i="1"/>
  <c r="D9" i="1"/>
  <c r="D10" i="1"/>
  <c r="D11" i="1"/>
  <c r="D12" i="1"/>
  <c r="D13" i="1"/>
  <c r="D14" i="1"/>
  <c r="D15" i="1"/>
  <c r="D16" i="1"/>
  <c r="D17" i="1"/>
  <c r="D18" i="1"/>
  <c r="D19" i="1"/>
  <c r="D20" i="1"/>
  <c r="D21" i="1"/>
  <c r="D22" i="1"/>
  <c r="D20" i="26" l="1"/>
  <c r="L19" i="13"/>
  <c r="L11" i="13"/>
  <c r="K15" i="26"/>
  <c r="N18" i="26"/>
  <c r="N10" i="26"/>
  <c r="C20" i="26"/>
  <c r="C12" i="26"/>
  <c r="B19" i="26"/>
  <c r="B8" i="26"/>
  <c r="K44" i="16"/>
  <c r="I21" i="26"/>
  <c r="K58" i="16"/>
  <c r="Z4" i="13"/>
  <c r="N10" i="16" s="1"/>
  <c r="I13" i="26"/>
  <c r="N19" i="13"/>
  <c r="N11" i="13"/>
  <c r="K29" i="16"/>
  <c r="AA29" i="16"/>
  <c r="Y29" i="16"/>
  <c r="D4" i="26"/>
  <c r="N19" i="26"/>
  <c r="N11" i="26"/>
  <c r="L18" i="26"/>
  <c r="D16" i="26"/>
  <c r="C21" i="26"/>
  <c r="C13" i="26"/>
  <c r="B20" i="26"/>
  <c r="B10" i="26"/>
  <c r="B4" i="26"/>
  <c r="K17" i="13"/>
  <c r="N18" i="13"/>
  <c r="N10" i="13"/>
  <c r="B15" i="13"/>
  <c r="L17" i="26"/>
  <c r="I20" i="26"/>
  <c r="N17" i="26"/>
  <c r="N9" i="26"/>
  <c r="L16" i="26"/>
  <c r="K21" i="26"/>
  <c r="K13" i="26"/>
  <c r="C19" i="26"/>
  <c r="C11" i="26"/>
  <c r="B18" i="26"/>
  <c r="B7" i="26"/>
  <c r="L8" i="26"/>
  <c r="D19" i="26"/>
  <c r="L7" i="26"/>
  <c r="K14" i="26"/>
  <c r="I12" i="26"/>
  <c r="N16" i="26"/>
  <c r="N8" i="26"/>
  <c r="C18" i="26"/>
  <c r="C10" i="26"/>
  <c r="B17" i="26"/>
  <c r="N22" i="26"/>
  <c r="K7" i="26"/>
  <c r="I15" i="26"/>
  <c r="D22" i="26"/>
  <c r="C15" i="26"/>
  <c r="B22" i="26"/>
  <c r="B21" i="13"/>
  <c r="C14" i="13"/>
  <c r="C8" i="13"/>
  <c r="N16" i="13"/>
  <c r="N8" i="13"/>
  <c r="I22" i="13"/>
  <c r="I14" i="13"/>
  <c r="C17" i="13"/>
  <c r="L18" i="13"/>
  <c r="L10" i="13"/>
  <c r="K16" i="13"/>
  <c r="C15" i="13"/>
  <c r="B22" i="13"/>
  <c r="L17" i="13"/>
  <c r="L7" i="13"/>
  <c r="K15" i="13"/>
  <c r="L16" i="13"/>
  <c r="K10" i="13"/>
  <c r="I16" i="13"/>
  <c r="I7" i="13"/>
  <c r="B14" i="13"/>
  <c r="C4" i="13"/>
  <c r="C16" i="13"/>
  <c r="B13" i="13"/>
  <c r="K11" i="16"/>
  <c r="D10" i="13"/>
  <c r="D18" i="13"/>
  <c r="C18" i="13"/>
  <c r="B4" i="13"/>
  <c r="N7" i="13"/>
  <c r="I13" i="13"/>
  <c r="D16" i="13"/>
  <c r="B12" i="13"/>
  <c r="N14" i="13"/>
  <c r="I12" i="13"/>
  <c r="I19" i="26"/>
  <c r="D13" i="26"/>
  <c r="D18" i="26"/>
  <c r="D20" i="13"/>
  <c r="D12" i="13"/>
  <c r="C20" i="13"/>
  <c r="C11" i="13"/>
  <c r="B18" i="13"/>
  <c r="L21" i="13"/>
  <c r="L13" i="13"/>
  <c r="K19" i="13"/>
  <c r="N21" i="26"/>
  <c r="N13" i="26"/>
  <c r="L20" i="26"/>
  <c r="L11" i="26"/>
  <c r="K17" i="26"/>
  <c r="D8" i="26"/>
  <c r="D19" i="13"/>
  <c r="D11" i="13"/>
  <c r="C19" i="13"/>
  <c r="C10" i="13"/>
  <c r="B16" i="13"/>
  <c r="D4" i="13"/>
  <c r="N17" i="13"/>
  <c r="N9" i="13"/>
  <c r="L20" i="13"/>
  <c r="L12" i="13"/>
  <c r="K18" i="13"/>
  <c r="K7" i="13"/>
  <c r="I15" i="13"/>
  <c r="N20" i="26"/>
  <c r="N12" i="26"/>
  <c r="L19" i="26"/>
  <c r="L10" i="26"/>
  <c r="K16" i="26"/>
  <c r="I22" i="26"/>
  <c r="I14" i="26"/>
  <c r="D17" i="26"/>
  <c r="D7" i="26"/>
  <c r="C14" i="26"/>
  <c r="B21" i="26"/>
  <c r="B11" i="26"/>
  <c r="D17" i="13"/>
  <c r="D9" i="13"/>
  <c r="N15" i="13"/>
  <c r="I21" i="13"/>
  <c r="D14" i="26"/>
  <c r="D8" i="13"/>
  <c r="N22" i="13"/>
  <c r="I20" i="13"/>
  <c r="I11" i="26"/>
  <c r="B11" i="13"/>
  <c r="N13" i="13"/>
  <c r="K13" i="13"/>
  <c r="I11" i="13"/>
  <c r="B17" i="13"/>
  <c r="L15" i="26"/>
  <c r="K11" i="26"/>
  <c r="I10" i="26"/>
  <c r="D12" i="26"/>
  <c r="D22" i="13"/>
  <c r="D14" i="13"/>
  <c r="C22" i="13"/>
  <c r="C13" i="13"/>
  <c r="B20" i="13"/>
  <c r="B10" i="13"/>
  <c r="N20" i="13"/>
  <c r="N12" i="13"/>
  <c r="S5" i="10"/>
  <c r="S9" i="13"/>
  <c r="K4" i="26"/>
  <c r="L15" i="13"/>
  <c r="K21" i="13"/>
  <c r="K12" i="13"/>
  <c r="I18" i="13"/>
  <c r="I10" i="13"/>
  <c r="N15" i="26"/>
  <c r="N7" i="26"/>
  <c r="L14" i="26"/>
  <c r="K19" i="26"/>
  <c r="K10" i="26"/>
  <c r="I17" i="26"/>
  <c r="I8" i="26"/>
  <c r="D11" i="26"/>
  <c r="C17" i="26"/>
  <c r="C8" i="26"/>
  <c r="B16" i="26"/>
  <c r="D21" i="26"/>
  <c r="W5" i="9"/>
  <c r="D15" i="13"/>
  <c r="N21" i="13"/>
  <c r="K22" i="13"/>
  <c r="I19" i="13"/>
  <c r="K20" i="26"/>
  <c r="I18" i="26"/>
  <c r="N4" i="26"/>
  <c r="D21" i="13"/>
  <c r="D13" i="13"/>
  <c r="C21" i="13"/>
  <c r="C12" i="13"/>
  <c r="B19" i="13"/>
  <c r="B8" i="13"/>
  <c r="C4" i="26"/>
  <c r="L22" i="13"/>
  <c r="L14" i="13"/>
  <c r="K20" i="13"/>
  <c r="K11" i="13"/>
  <c r="I17" i="13"/>
  <c r="I8" i="13"/>
  <c r="N14" i="26"/>
  <c r="L21" i="26"/>
  <c r="L13" i="26"/>
  <c r="K18" i="26"/>
  <c r="K8" i="26"/>
  <c r="I16" i="26"/>
  <c r="I7" i="26"/>
  <c r="D10" i="26"/>
  <c r="C16" i="26"/>
  <c r="C7" i="26"/>
  <c r="B14" i="26"/>
  <c r="W5" i="5"/>
  <c r="D5" i="25"/>
  <c r="L5" i="25"/>
  <c r="C5" i="25"/>
  <c r="N5" i="25"/>
  <c r="K5" i="25"/>
  <c r="I5" i="25"/>
  <c r="B5" i="25"/>
  <c r="L5" i="22"/>
  <c r="I5" i="22"/>
  <c r="D5" i="22"/>
  <c r="C5" i="22"/>
  <c r="C5" i="26" s="1"/>
  <c r="N5" i="22"/>
  <c r="N5" i="26" s="1"/>
  <c r="K5" i="22"/>
  <c r="K5" i="26" s="1"/>
  <c r="B5" i="22"/>
  <c r="I68" i="16"/>
  <c r="I64" i="16"/>
  <c r="I60" i="16"/>
  <c r="I67" i="16"/>
  <c r="I63" i="16"/>
  <c r="I56" i="16"/>
  <c r="I52" i="16"/>
  <c r="I48" i="16"/>
  <c r="I43" i="16"/>
  <c r="I39" i="16"/>
  <c r="I35" i="16"/>
  <c r="I31" i="16"/>
  <c r="I26" i="16"/>
  <c r="I22" i="16"/>
  <c r="I18" i="16"/>
  <c r="I14" i="16"/>
  <c r="I66" i="16"/>
  <c r="I62" i="16"/>
  <c r="I69" i="16"/>
  <c r="I65" i="16"/>
  <c r="I61" i="16"/>
  <c r="I54" i="16"/>
  <c r="I50" i="16"/>
  <c r="I46" i="16"/>
  <c r="I41" i="16"/>
  <c r="I37" i="16"/>
  <c r="I33" i="16"/>
  <c r="I28" i="16"/>
  <c r="I24" i="16"/>
  <c r="I20" i="16"/>
  <c r="I16" i="16"/>
  <c r="I19" i="16"/>
  <c r="AA4" i="1"/>
  <c r="AA23" i="13"/>
  <c r="N57" i="16"/>
  <c r="M57" i="16"/>
  <c r="L57" i="16"/>
  <c r="J57" i="16"/>
  <c r="N55" i="16"/>
  <c r="M55" i="16"/>
  <c r="L55" i="16"/>
  <c r="J55" i="16"/>
  <c r="N53" i="16"/>
  <c r="M53" i="16"/>
  <c r="L53" i="16"/>
  <c r="J53" i="16"/>
  <c r="N51" i="16"/>
  <c r="M51" i="16"/>
  <c r="L51" i="16"/>
  <c r="J51" i="16"/>
  <c r="N49" i="16"/>
  <c r="M49" i="16"/>
  <c r="L49" i="16"/>
  <c r="J49" i="16"/>
  <c r="N47" i="16"/>
  <c r="M47" i="16"/>
  <c r="L47" i="16"/>
  <c r="J47" i="16"/>
  <c r="N42" i="16"/>
  <c r="M42" i="16"/>
  <c r="L42" i="16"/>
  <c r="J42" i="16"/>
  <c r="N40" i="16"/>
  <c r="M40" i="16"/>
  <c r="L40" i="16"/>
  <c r="J40" i="16"/>
  <c r="N38" i="16"/>
  <c r="M38" i="16"/>
  <c r="L38" i="16"/>
  <c r="J38" i="16"/>
  <c r="N36" i="16"/>
  <c r="M36" i="16"/>
  <c r="L36" i="16"/>
  <c r="J36" i="16"/>
  <c r="N34" i="16"/>
  <c r="M34" i="16"/>
  <c r="L34" i="16"/>
  <c r="J34" i="16"/>
  <c r="N32" i="16"/>
  <c r="M32" i="16"/>
  <c r="L32" i="16"/>
  <c r="J32" i="16"/>
  <c r="N27" i="16"/>
  <c r="M27" i="16"/>
  <c r="L27" i="16"/>
  <c r="J27" i="16"/>
  <c r="N25" i="16"/>
  <c r="M25" i="16"/>
  <c r="L25" i="16"/>
  <c r="J25" i="16"/>
  <c r="N23" i="16"/>
  <c r="M23" i="16"/>
  <c r="L23" i="16"/>
  <c r="J23" i="16"/>
  <c r="N21" i="16"/>
  <c r="M21" i="16"/>
  <c r="L21" i="16"/>
  <c r="J21" i="16"/>
  <c r="N17" i="16"/>
  <c r="M17" i="16"/>
  <c r="L17" i="16"/>
  <c r="J17" i="16"/>
  <c r="N13" i="16"/>
  <c r="M13" i="16"/>
  <c r="L13" i="16"/>
  <c r="J13" i="16"/>
  <c r="AA5" i="13"/>
  <c r="AA38" i="13"/>
  <c r="N68" i="16"/>
  <c r="M68" i="16"/>
  <c r="L68" i="16"/>
  <c r="J68" i="16"/>
  <c r="N66" i="16"/>
  <c r="M66" i="16"/>
  <c r="L66" i="16"/>
  <c r="J66" i="16"/>
  <c r="N64" i="16"/>
  <c r="M64" i="16"/>
  <c r="L64" i="16"/>
  <c r="J64" i="16"/>
  <c r="N62" i="16"/>
  <c r="M62" i="16"/>
  <c r="L62" i="16"/>
  <c r="J62" i="16"/>
  <c r="N60" i="16"/>
  <c r="M60" i="16"/>
  <c r="L60" i="16"/>
  <c r="J60" i="16"/>
  <c r="AA52" i="13"/>
  <c r="X57" i="16"/>
  <c r="I57" i="16"/>
  <c r="X55" i="16"/>
  <c r="I55" i="16"/>
  <c r="X53" i="16"/>
  <c r="I53" i="16"/>
  <c r="X51" i="16"/>
  <c r="I51" i="16"/>
  <c r="X49" i="16"/>
  <c r="I49" i="16"/>
  <c r="X47" i="16"/>
  <c r="I47" i="16"/>
  <c r="X42" i="16"/>
  <c r="I42" i="16"/>
  <c r="X40" i="16"/>
  <c r="I40" i="16"/>
  <c r="X38" i="16"/>
  <c r="I38" i="16"/>
  <c r="X36" i="16"/>
  <c r="I36" i="16"/>
  <c r="X34" i="16"/>
  <c r="I34" i="16"/>
  <c r="X32" i="16"/>
  <c r="I32" i="16"/>
  <c r="X27" i="16"/>
  <c r="I27" i="16"/>
  <c r="X25" i="16"/>
  <c r="I25" i="16"/>
  <c r="X23" i="16"/>
  <c r="I23" i="16"/>
  <c r="X21" i="16"/>
  <c r="I21" i="16"/>
  <c r="X17" i="16"/>
  <c r="I17" i="16"/>
  <c r="X13" i="16"/>
  <c r="I13" i="16"/>
  <c r="N69" i="16"/>
  <c r="M69" i="16"/>
  <c r="L69" i="16"/>
  <c r="J69" i="16"/>
  <c r="N67" i="16"/>
  <c r="M67" i="16"/>
  <c r="L67" i="16"/>
  <c r="J67" i="16"/>
  <c r="N65" i="16"/>
  <c r="M65" i="16"/>
  <c r="L65" i="16"/>
  <c r="J65" i="16"/>
  <c r="N63" i="16"/>
  <c r="M63" i="16"/>
  <c r="L63" i="16"/>
  <c r="J63" i="16"/>
  <c r="N61" i="16"/>
  <c r="M61" i="16"/>
  <c r="L61" i="16"/>
  <c r="J61" i="16"/>
  <c r="N56" i="16"/>
  <c r="M56" i="16"/>
  <c r="L56" i="16"/>
  <c r="J56" i="16"/>
  <c r="N54" i="16"/>
  <c r="M54" i="16"/>
  <c r="L54" i="16"/>
  <c r="J54" i="16"/>
  <c r="N52" i="16"/>
  <c r="M52" i="16"/>
  <c r="L52" i="16"/>
  <c r="J52" i="16"/>
  <c r="N50" i="16"/>
  <c r="M50" i="16"/>
  <c r="L50" i="16"/>
  <c r="J50" i="16"/>
  <c r="N48" i="16"/>
  <c r="M48" i="16"/>
  <c r="L48" i="16"/>
  <c r="J48" i="16"/>
  <c r="N46" i="16"/>
  <c r="M46" i="16"/>
  <c r="L46" i="16"/>
  <c r="J46" i="16"/>
  <c r="N43" i="16"/>
  <c r="M43" i="16"/>
  <c r="L43" i="16"/>
  <c r="J43" i="16"/>
  <c r="N41" i="16"/>
  <c r="M41" i="16"/>
  <c r="L41" i="16"/>
  <c r="J41" i="16"/>
  <c r="N39" i="16"/>
  <c r="M39" i="16"/>
  <c r="L39" i="16"/>
  <c r="J39" i="16"/>
  <c r="N37" i="16"/>
  <c r="M37" i="16"/>
  <c r="L37" i="16"/>
  <c r="J37" i="16"/>
  <c r="N35" i="16"/>
  <c r="M35" i="16"/>
  <c r="L35" i="16"/>
  <c r="J35" i="16"/>
  <c r="N33" i="16"/>
  <c r="M33" i="16"/>
  <c r="L33" i="16"/>
  <c r="J33" i="16"/>
  <c r="N31" i="16"/>
  <c r="M31" i="16"/>
  <c r="L31" i="16"/>
  <c r="J31" i="16"/>
  <c r="N28" i="16"/>
  <c r="M28" i="16"/>
  <c r="L28" i="16"/>
  <c r="J28" i="16"/>
  <c r="N26" i="16"/>
  <c r="M26" i="16"/>
  <c r="L26" i="16"/>
  <c r="J26" i="16"/>
  <c r="N24" i="16"/>
  <c r="M24" i="16"/>
  <c r="L24" i="16"/>
  <c r="J24" i="16"/>
  <c r="N22" i="16"/>
  <c r="M22" i="16"/>
  <c r="L22" i="16"/>
  <c r="J22" i="16"/>
  <c r="N20" i="16"/>
  <c r="M20" i="16"/>
  <c r="L20" i="16"/>
  <c r="J20" i="16"/>
  <c r="N18" i="16"/>
  <c r="M18" i="16"/>
  <c r="L18" i="16"/>
  <c r="K18" i="16"/>
  <c r="J18" i="16"/>
  <c r="N16" i="16"/>
  <c r="M16" i="16"/>
  <c r="L16" i="16"/>
  <c r="J16" i="16"/>
  <c r="N14" i="16"/>
  <c r="M14" i="16"/>
  <c r="L14" i="16"/>
  <c r="J14" i="16"/>
  <c r="N19" i="16"/>
  <c r="M19" i="16"/>
  <c r="L19" i="16"/>
  <c r="J19" i="16"/>
  <c r="B5" i="4"/>
  <c r="B7" i="13"/>
  <c r="D7" i="13"/>
  <c r="D5" i="4"/>
  <c r="C7" i="13"/>
  <c r="C5" i="4"/>
  <c r="W9" i="13"/>
  <c r="W5" i="4"/>
  <c r="D5" i="3"/>
  <c r="L5" i="5"/>
  <c r="I5" i="5"/>
  <c r="D5" i="5"/>
  <c r="B5" i="5"/>
  <c r="N5" i="5"/>
  <c r="K5" i="5"/>
  <c r="C5" i="5"/>
  <c r="C5" i="9"/>
  <c r="D5" i="9"/>
  <c r="B5" i="9"/>
  <c r="L5" i="10"/>
  <c r="I5" i="10"/>
  <c r="D5" i="10"/>
  <c r="B5" i="10"/>
  <c r="K5" i="10"/>
  <c r="N5" i="10"/>
  <c r="C5" i="10"/>
  <c r="L4" i="18"/>
  <c r="L4" i="26" s="1"/>
  <c r="Y44" i="16" l="1"/>
  <c r="AA58" i="16"/>
  <c r="AA44" i="16"/>
  <c r="W29" i="16"/>
  <c r="Y58" i="16"/>
  <c r="Y10" i="16"/>
  <c r="M10" i="16"/>
  <c r="L10" i="16"/>
  <c r="K10" i="16"/>
  <c r="L5" i="26"/>
  <c r="N5" i="13"/>
  <c r="B5" i="26"/>
  <c r="D5" i="26"/>
  <c r="AC29" i="16"/>
  <c r="L5" i="13"/>
  <c r="K5" i="13"/>
  <c r="C5" i="13"/>
  <c r="AA11" i="16"/>
  <c r="Y11" i="16"/>
  <c r="J15" i="16"/>
  <c r="B5" i="13"/>
  <c r="W4" i="9"/>
  <c r="M15" i="16"/>
  <c r="D5" i="13"/>
  <c r="W58" i="16"/>
  <c r="W44" i="16"/>
  <c r="I5" i="13"/>
  <c r="L15" i="16"/>
  <c r="W4" i="5"/>
  <c r="S4" i="10"/>
  <c r="S4" i="13" s="1"/>
  <c r="S5" i="13"/>
  <c r="I5" i="26"/>
  <c r="N15" i="16"/>
  <c r="I58" i="16"/>
  <c r="N44" i="16"/>
  <c r="M44" i="16"/>
  <c r="L44" i="16"/>
  <c r="J44" i="16"/>
  <c r="N29" i="16"/>
  <c r="M29" i="16"/>
  <c r="L29" i="16"/>
  <c r="J29" i="16"/>
  <c r="AA4" i="13"/>
  <c r="X19" i="16"/>
  <c r="X16" i="16"/>
  <c r="X20" i="16"/>
  <c r="X24" i="16"/>
  <c r="X28" i="16"/>
  <c r="X33" i="16"/>
  <c r="X37" i="16"/>
  <c r="X41" i="16"/>
  <c r="X46" i="16"/>
  <c r="X50" i="16"/>
  <c r="X54" i="16"/>
  <c r="X61" i="16"/>
  <c r="X65" i="16"/>
  <c r="X69" i="16"/>
  <c r="X62" i="16"/>
  <c r="X66" i="16"/>
  <c r="X15" i="16"/>
  <c r="X14" i="16"/>
  <c r="X18" i="16"/>
  <c r="X22" i="16"/>
  <c r="X26" i="16"/>
  <c r="X31" i="16"/>
  <c r="X35" i="16"/>
  <c r="X39" i="16"/>
  <c r="X43" i="16"/>
  <c r="X48" i="16"/>
  <c r="X52" i="16"/>
  <c r="X56" i="16"/>
  <c r="X63" i="16"/>
  <c r="X67" i="16"/>
  <c r="X60" i="16"/>
  <c r="X64" i="16"/>
  <c r="X68" i="16"/>
  <c r="N58" i="16"/>
  <c r="M58" i="16"/>
  <c r="L58" i="16"/>
  <c r="J58" i="16"/>
  <c r="X44" i="16"/>
  <c r="I44" i="16"/>
  <c r="X11" i="16"/>
  <c r="X29" i="16"/>
  <c r="I29" i="16"/>
  <c r="W5" i="13"/>
  <c r="W4" i="4"/>
  <c r="AC44" i="16" l="1"/>
  <c r="J10" i="16"/>
  <c r="AC58" i="16"/>
  <c r="AA10" i="16"/>
  <c r="AC11" i="16"/>
  <c r="AC10" i="16"/>
  <c r="J11" i="16"/>
  <c r="M11" i="16"/>
  <c r="L11" i="16"/>
  <c r="N11" i="16"/>
  <c r="W4" i="13"/>
  <c r="W15" i="16"/>
  <c r="I15" i="16"/>
  <c r="X58" i="16"/>
  <c r="W11" i="16" l="1"/>
  <c r="I11" i="16"/>
  <c r="X10" i="16"/>
  <c r="W10" i="16" l="1"/>
  <c r="I10" i="16"/>
</calcChain>
</file>

<file path=xl/comments1.xml><?xml version="1.0" encoding="utf-8"?>
<comments xmlns="http://schemas.openxmlformats.org/spreadsheetml/2006/main">
  <authors>
    <author>jmarks</author>
  </authors>
  <commentList>
    <comment ref="C68" authorId="0" shapeId="0">
      <text>
        <r>
          <rPr>
            <b/>
            <sz val="10"/>
            <color indexed="81"/>
            <rFont val="Tahoma"/>
            <family val="2"/>
          </rPr>
          <t>jmarks:</t>
        </r>
        <r>
          <rPr>
            <sz val="10"/>
            <color indexed="81"/>
            <rFont val="Tahoma"/>
            <family val="2"/>
          </rPr>
          <t xml:space="preserve">
Note manual entry.</t>
        </r>
      </text>
    </comment>
    <comment ref="D68" authorId="0" shapeId="0">
      <text>
        <r>
          <rPr>
            <b/>
            <sz val="10"/>
            <color indexed="81"/>
            <rFont val="Tahoma"/>
            <family val="2"/>
          </rPr>
          <t>jmarks:</t>
        </r>
        <r>
          <rPr>
            <sz val="10"/>
            <color indexed="81"/>
            <rFont val="Tahoma"/>
            <family val="2"/>
          </rPr>
          <t xml:space="preserve">
Note manual entry.</t>
        </r>
      </text>
    </comment>
    <comment ref="E68" authorId="0" shapeId="0">
      <text>
        <r>
          <rPr>
            <b/>
            <sz val="10"/>
            <color indexed="81"/>
            <rFont val="Tahoma"/>
            <family val="2"/>
          </rPr>
          <t>jmarks:</t>
        </r>
        <r>
          <rPr>
            <sz val="10"/>
            <color indexed="81"/>
            <rFont val="Tahoma"/>
            <family val="2"/>
          </rPr>
          <t xml:space="preserve">
Note manual entry.</t>
        </r>
      </text>
    </comment>
    <comment ref="F68" authorId="0" shapeId="0">
      <text>
        <r>
          <rPr>
            <b/>
            <sz val="10"/>
            <color indexed="81"/>
            <rFont val="Tahoma"/>
            <family val="2"/>
          </rPr>
          <t>jmarks:</t>
        </r>
        <r>
          <rPr>
            <sz val="10"/>
            <color indexed="81"/>
            <rFont val="Tahoma"/>
            <family val="2"/>
          </rPr>
          <t xml:space="preserve">
Note manual entry.</t>
        </r>
      </text>
    </comment>
    <comment ref="G68" authorId="0" shapeId="0">
      <text>
        <r>
          <rPr>
            <b/>
            <sz val="10"/>
            <color indexed="81"/>
            <rFont val="Tahoma"/>
            <family val="2"/>
          </rPr>
          <t>jmarks:</t>
        </r>
        <r>
          <rPr>
            <sz val="10"/>
            <color indexed="81"/>
            <rFont val="Tahoma"/>
            <family val="2"/>
          </rPr>
          <t xml:space="preserve">
Note manual entry.</t>
        </r>
      </text>
    </comment>
    <comment ref="H68" authorId="0" shapeId="0">
      <text>
        <r>
          <rPr>
            <b/>
            <sz val="10"/>
            <color indexed="81"/>
            <rFont val="Tahoma"/>
            <family val="2"/>
          </rPr>
          <t>jmarks:</t>
        </r>
        <r>
          <rPr>
            <sz val="10"/>
            <color indexed="81"/>
            <rFont val="Tahoma"/>
            <family val="2"/>
          </rPr>
          <t xml:space="preserve">
Note manual entry.</t>
        </r>
      </text>
    </comment>
    <comment ref="I68" authorId="0" shapeId="0">
      <text>
        <r>
          <rPr>
            <b/>
            <sz val="10"/>
            <color indexed="81"/>
            <rFont val="Tahoma"/>
            <family val="2"/>
          </rPr>
          <t>jmarks:</t>
        </r>
        <r>
          <rPr>
            <sz val="10"/>
            <color indexed="81"/>
            <rFont val="Tahoma"/>
            <family val="2"/>
          </rPr>
          <t xml:space="preserve">
Note manual entry.</t>
        </r>
      </text>
    </comment>
    <comment ref="J68" authorId="0" shapeId="0">
      <text>
        <r>
          <rPr>
            <b/>
            <sz val="10"/>
            <color indexed="81"/>
            <rFont val="Tahoma"/>
            <family val="2"/>
          </rPr>
          <t>jmarks:</t>
        </r>
        <r>
          <rPr>
            <sz val="10"/>
            <color indexed="81"/>
            <rFont val="Tahoma"/>
            <family val="2"/>
          </rPr>
          <t xml:space="preserve">
Note manual entry.</t>
        </r>
      </text>
    </comment>
    <comment ref="K68" authorId="0" shapeId="0">
      <text>
        <r>
          <rPr>
            <b/>
            <sz val="10"/>
            <color indexed="81"/>
            <rFont val="Tahoma"/>
            <family val="2"/>
          </rPr>
          <t>jmarks:</t>
        </r>
        <r>
          <rPr>
            <sz val="10"/>
            <color indexed="81"/>
            <rFont val="Tahoma"/>
            <family val="2"/>
          </rPr>
          <t xml:space="preserve">
Note manual entry.</t>
        </r>
      </text>
    </comment>
    <comment ref="L68" authorId="0" shapeId="0">
      <text>
        <r>
          <rPr>
            <b/>
            <sz val="10"/>
            <color indexed="81"/>
            <rFont val="Tahoma"/>
            <family val="2"/>
          </rPr>
          <t>jmarks:</t>
        </r>
        <r>
          <rPr>
            <sz val="10"/>
            <color indexed="81"/>
            <rFont val="Tahoma"/>
            <family val="2"/>
          </rPr>
          <t xml:space="preserve">
Note manual entry.</t>
        </r>
      </text>
    </comment>
    <comment ref="M68" authorId="0" shapeId="0">
      <text>
        <r>
          <rPr>
            <b/>
            <sz val="10"/>
            <color indexed="81"/>
            <rFont val="Tahoma"/>
            <family val="2"/>
          </rPr>
          <t>jmarks:</t>
        </r>
        <r>
          <rPr>
            <sz val="10"/>
            <color indexed="81"/>
            <rFont val="Tahoma"/>
            <family val="2"/>
          </rPr>
          <t xml:space="preserve">
Note manual entry.</t>
        </r>
      </text>
    </comment>
    <comment ref="N68" authorId="0" shapeId="0">
      <text>
        <r>
          <rPr>
            <b/>
            <sz val="10"/>
            <color indexed="81"/>
            <rFont val="Tahoma"/>
            <family val="2"/>
          </rPr>
          <t>jmarks:</t>
        </r>
        <r>
          <rPr>
            <sz val="10"/>
            <color indexed="81"/>
            <rFont val="Tahoma"/>
            <family val="2"/>
          </rPr>
          <t xml:space="preserve">
Note manual entry.</t>
        </r>
      </text>
    </comment>
  </commentList>
</comments>
</file>

<file path=xl/comments10.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A2" authorId="1" shapeId="0">
      <text>
        <r>
          <rPr>
            <b/>
            <sz val="8"/>
            <color indexed="81"/>
            <rFont val="Tahoma"/>
            <family val="2"/>
          </rPr>
          <t>jmarks:</t>
        </r>
        <r>
          <rPr>
            <sz val="8"/>
            <color indexed="81"/>
            <rFont val="Tahoma"/>
            <family val="2"/>
          </rPr>
          <t xml:space="preserve">
The "all other" amounts are other CF not other E&amp;G and will have to be reassigned as time permits.</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S9" authorId="1" shapeId="0">
      <text>
        <r>
          <rPr>
            <b/>
            <sz val="8"/>
            <color indexed="81"/>
            <rFont val="Tahoma"/>
            <family val="2"/>
          </rPr>
          <t>jmarks:</t>
        </r>
        <r>
          <rPr>
            <sz val="8"/>
            <color indexed="81"/>
            <rFont val="Tahoma"/>
            <family val="2"/>
          </rPr>
          <t xml:space="preserve">
U Del from FASB file</t>
        </r>
      </text>
    </comment>
    <comment ref="W9" authorId="1" shapeId="0">
      <text>
        <r>
          <rPr>
            <b/>
            <sz val="8"/>
            <color indexed="81"/>
            <rFont val="Tahoma"/>
            <family val="2"/>
          </rPr>
          <t>jmarks:</t>
        </r>
        <r>
          <rPr>
            <sz val="8"/>
            <color indexed="81"/>
            <rFont val="Tahoma"/>
            <family val="2"/>
          </rPr>
          <t xml:space="preserve">
U Del from FASB file</t>
        </r>
      </text>
    </comment>
  </commentList>
</comments>
</file>

<file path=xl/comments11.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K4" authorId="0" shapeId="0">
      <text>
        <r>
          <rPr>
            <b/>
            <sz val="10"/>
            <color indexed="81"/>
            <rFont val="Tahoma"/>
            <family val="2"/>
          </rPr>
          <t>JLM:</t>
        </r>
        <r>
          <rPr>
            <sz val="10"/>
            <color indexed="81"/>
            <rFont val="Tahoma"/>
            <family val="2"/>
          </rPr>
          <t xml:space="preserve">
orginal number lost; extrapolated
</t>
        </r>
      </text>
    </comment>
    <comment ref="L4" authorId="0" shapeId="0">
      <text>
        <r>
          <rPr>
            <b/>
            <sz val="10"/>
            <color indexed="81"/>
            <rFont val="Tahoma"/>
            <family val="2"/>
          </rPr>
          <t>JLM:</t>
        </r>
        <r>
          <rPr>
            <sz val="10"/>
            <color indexed="81"/>
            <rFont val="Tahoma"/>
            <family val="2"/>
          </rPr>
          <t xml:space="preserve">
orginal number lost; extrapolated
</t>
        </r>
      </text>
    </comment>
    <comment ref="N4" authorId="0" shapeId="0">
      <text>
        <r>
          <rPr>
            <b/>
            <sz val="10"/>
            <color indexed="81"/>
            <rFont val="Tahoma"/>
            <family val="2"/>
          </rPr>
          <t>JLM:</t>
        </r>
        <r>
          <rPr>
            <sz val="10"/>
            <color indexed="81"/>
            <rFont val="Tahoma"/>
            <family val="2"/>
          </rPr>
          <t xml:space="preserve">
orginal number lost; extrapolated
</t>
        </r>
      </text>
    </comment>
  </commentList>
</comments>
</file>

<file path=xl/comments12.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13.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14.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15.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16.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17.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A2" authorId="1" shapeId="0">
      <text>
        <r>
          <rPr>
            <b/>
            <sz val="8"/>
            <color indexed="81"/>
            <rFont val="Tahoma"/>
            <family val="2"/>
          </rPr>
          <t>jmarks:</t>
        </r>
        <r>
          <rPr>
            <sz val="8"/>
            <color indexed="81"/>
            <rFont val="Tahoma"/>
            <family val="2"/>
          </rPr>
          <t xml:space="preserve">
The "all other" amounts are other CF not other E&amp;G and will have to be reassigned as time permits.</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2.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3.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4.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O3" authorId="1" shapeId="0">
      <text>
        <r>
          <rPr>
            <b/>
            <sz val="10"/>
            <color indexed="81"/>
            <rFont val="Tahoma"/>
            <family val="2"/>
          </rPr>
          <t>jmarks:</t>
        </r>
        <r>
          <rPr>
            <sz val="10"/>
            <color indexed="81"/>
            <rFont val="Tahoma"/>
            <family val="2"/>
          </rPr>
          <t xml:space="preserve">
No longer available.(Aug. 2010)
</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K4" authorId="0" shapeId="0">
      <text>
        <r>
          <rPr>
            <b/>
            <sz val="10"/>
            <color indexed="81"/>
            <rFont val="Tahoma"/>
            <family val="2"/>
          </rPr>
          <t>JLM:</t>
        </r>
        <r>
          <rPr>
            <sz val="10"/>
            <color indexed="81"/>
            <rFont val="Tahoma"/>
            <family val="2"/>
          </rPr>
          <t xml:space="preserve">
orginal number lost; extrapolated
</t>
        </r>
      </text>
    </comment>
    <comment ref="L4" authorId="0" shapeId="0">
      <text>
        <r>
          <rPr>
            <b/>
            <sz val="10"/>
            <color indexed="81"/>
            <rFont val="Tahoma"/>
            <family val="2"/>
          </rPr>
          <t>JLM:</t>
        </r>
        <r>
          <rPr>
            <sz val="10"/>
            <color indexed="81"/>
            <rFont val="Tahoma"/>
            <family val="2"/>
          </rPr>
          <t xml:space="preserve">
orginal number lost; extrapolated
</t>
        </r>
      </text>
    </comment>
    <comment ref="N4" authorId="0" shapeId="0">
      <text>
        <r>
          <rPr>
            <b/>
            <sz val="10"/>
            <color indexed="81"/>
            <rFont val="Tahoma"/>
            <family val="2"/>
          </rPr>
          <t>JLM:</t>
        </r>
        <r>
          <rPr>
            <sz val="10"/>
            <color indexed="81"/>
            <rFont val="Tahoma"/>
            <family val="2"/>
          </rPr>
          <t xml:space="preserve">
orginal number lost; extrapolated
</t>
        </r>
      </text>
    </comment>
    <comment ref="S9" authorId="1" shapeId="0">
      <text>
        <r>
          <rPr>
            <b/>
            <sz val="8"/>
            <color indexed="81"/>
            <rFont val="Tahoma"/>
            <family val="2"/>
          </rPr>
          <t>jmarks:</t>
        </r>
        <r>
          <rPr>
            <sz val="8"/>
            <color indexed="81"/>
            <rFont val="Tahoma"/>
            <family val="2"/>
          </rPr>
          <t xml:space="preserve">
U Del had to be taken from FASB file</t>
        </r>
      </text>
    </comment>
    <comment ref="W9" authorId="1" shapeId="0">
      <text>
        <r>
          <rPr>
            <b/>
            <sz val="8"/>
            <color indexed="81"/>
            <rFont val="Tahoma"/>
            <family val="2"/>
          </rPr>
          <t>jmarks:</t>
        </r>
        <r>
          <rPr>
            <sz val="8"/>
            <color indexed="81"/>
            <rFont val="Tahoma"/>
            <family val="2"/>
          </rPr>
          <t xml:space="preserve">
U Del had to be taken from FASB file</t>
        </r>
      </text>
    </comment>
  </commentList>
</comments>
</file>

<file path=xl/comments5.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List>
</comments>
</file>

<file path=xl/comments6.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S9" authorId="1" shapeId="0">
      <text>
        <r>
          <rPr>
            <b/>
            <sz val="8"/>
            <color indexed="81"/>
            <rFont val="Tahoma"/>
            <family val="2"/>
          </rPr>
          <t>jmarks:</t>
        </r>
        <r>
          <rPr>
            <sz val="8"/>
            <color indexed="81"/>
            <rFont val="Tahoma"/>
            <family val="2"/>
          </rPr>
          <t xml:space="preserve">
U Del taken from FASB file</t>
        </r>
      </text>
    </comment>
    <comment ref="W9" authorId="1" shapeId="0">
      <text>
        <r>
          <rPr>
            <b/>
            <sz val="8"/>
            <color indexed="81"/>
            <rFont val="Tahoma"/>
            <family val="2"/>
          </rPr>
          <t>jmarks:</t>
        </r>
        <r>
          <rPr>
            <sz val="8"/>
            <color indexed="81"/>
            <rFont val="Tahoma"/>
            <family val="2"/>
          </rPr>
          <t xml:space="preserve">
U Del taken from FASB file</t>
        </r>
      </text>
    </comment>
  </commentList>
</comments>
</file>

<file path=xl/comments7.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S9" authorId="1" shapeId="0">
      <text>
        <r>
          <rPr>
            <b/>
            <sz val="8"/>
            <color indexed="81"/>
            <rFont val="Tahoma"/>
            <family val="2"/>
          </rPr>
          <t>jmarks:</t>
        </r>
        <r>
          <rPr>
            <sz val="8"/>
            <color indexed="81"/>
            <rFont val="Tahoma"/>
            <family val="2"/>
          </rPr>
          <t xml:space="preserve">
U Del taken from FASB file</t>
        </r>
      </text>
    </comment>
    <comment ref="W9" authorId="1" shapeId="0">
      <text>
        <r>
          <rPr>
            <b/>
            <sz val="8"/>
            <color indexed="81"/>
            <rFont val="Tahoma"/>
            <family val="2"/>
          </rPr>
          <t>jmarks:</t>
        </r>
        <r>
          <rPr>
            <sz val="8"/>
            <color indexed="81"/>
            <rFont val="Tahoma"/>
            <family val="2"/>
          </rPr>
          <t xml:space="preserve">
U Del taken from FASB file</t>
        </r>
      </text>
    </comment>
  </commentList>
</comments>
</file>

<file path=xl/comments8.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S9" authorId="1" shapeId="0">
      <text>
        <r>
          <rPr>
            <b/>
            <sz val="8"/>
            <color indexed="81"/>
            <rFont val="Tahoma"/>
            <family val="2"/>
          </rPr>
          <t>jmarks:</t>
        </r>
        <r>
          <rPr>
            <sz val="8"/>
            <color indexed="81"/>
            <rFont val="Tahoma"/>
            <family val="2"/>
          </rPr>
          <t xml:space="preserve">
U Del from FASB file
</t>
        </r>
      </text>
    </comment>
    <comment ref="W9" authorId="1" shapeId="0">
      <text>
        <r>
          <rPr>
            <b/>
            <sz val="8"/>
            <color indexed="81"/>
            <rFont val="Tahoma"/>
            <family val="2"/>
          </rPr>
          <t>jmarks:</t>
        </r>
        <r>
          <rPr>
            <sz val="8"/>
            <color indexed="81"/>
            <rFont val="Tahoma"/>
            <family val="2"/>
          </rPr>
          <t xml:space="preserve">
U Del from FASB file
</t>
        </r>
      </text>
    </comment>
  </commentList>
</comments>
</file>

<file path=xl/comments9.xml><?xml version="1.0" encoding="utf-8"?>
<comments xmlns="http://schemas.openxmlformats.org/spreadsheetml/2006/main">
  <authors>
    <author>JLM</author>
    <author>jmarks</author>
  </authors>
  <commentList>
    <comment ref="A1" authorId="0" shapeId="0">
      <text>
        <r>
          <rPr>
            <b/>
            <sz val="10"/>
            <color indexed="81"/>
            <rFont val="Tahoma"/>
            <family val="2"/>
          </rPr>
          <t>JLM:</t>
        </r>
        <r>
          <rPr>
            <sz val="10"/>
            <color indexed="81"/>
            <rFont val="Tahoma"/>
            <family val="2"/>
          </rPr>
          <t xml:space="preserve">
E&amp;G through 1999-2000, CORE thereafter when the new GASB reporting standards went into effect.</t>
        </r>
      </text>
    </comment>
    <comment ref="P3" authorId="1" shapeId="0">
      <text>
        <r>
          <rPr>
            <b/>
            <sz val="10"/>
            <color indexed="81"/>
            <rFont val="Tahoma"/>
            <family val="2"/>
          </rPr>
          <t>jmarks:</t>
        </r>
        <r>
          <rPr>
            <sz val="10"/>
            <color indexed="81"/>
            <rFont val="Tahoma"/>
            <family val="2"/>
          </rPr>
          <t xml:space="preserve">
Not available (Aug. 2010)
</t>
        </r>
      </text>
    </comment>
    <comment ref="Q3" authorId="1" shapeId="0">
      <text>
        <r>
          <rPr>
            <b/>
            <sz val="10"/>
            <color indexed="81"/>
            <rFont val="Tahoma"/>
            <family val="2"/>
          </rPr>
          <t>jmarks:</t>
        </r>
        <r>
          <rPr>
            <sz val="10"/>
            <color indexed="81"/>
            <rFont val="Tahoma"/>
            <family val="2"/>
          </rPr>
          <t xml:space="preserve">
No surveys available for 1999 as of Aug. 2010.</t>
        </r>
      </text>
    </comment>
    <comment ref="S3" authorId="1" shapeId="0">
      <text>
        <r>
          <rPr>
            <b/>
            <sz val="8"/>
            <color indexed="81"/>
            <rFont val="Tahoma"/>
            <family val="2"/>
          </rPr>
          <t>jmarks:</t>
        </r>
        <r>
          <rPr>
            <sz val="8"/>
            <color indexed="81"/>
            <rFont val="Tahoma"/>
            <family val="2"/>
          </rPr>
          <t xml:space="preserve">
last year of old reporting standards
</t>
        </r>
      </text>
    </comment>
    <comment ref="S9" authorId="1" shapeId="0">
      <text>
        <r>
          <rPr>
            <b/>
            <sz val="8"/>
            <color indexed="81"/>
            <rFont val="Tahoma"/>
            <family val="2"/>
          </rPr>
          <t>jmarks:</t>
        </r>
        <r>
          <rPr>
            <sz val="8"/>
            <color indexed="81"/>
            <rFont val="Tahoma"/>
            <family val="2"/>
          </rPr>
          <t xml:space="preserve">
U Del from FASB file
</t>
        </r>
      </text>
    </comment>
    <comment ref="T9" authorId="1" shapeId="0">
      <text>
        <r>
          <rPr>
            <b/>
            <sz val="8"/>
            <color indexed="81"/>
            <rFont val="Tahoma"/>
            <family val="2"/>
          </rPr>
          <t>jmarks:</t>
        </r>
        <r>
          <rPr>
            <sz val="8"/>
            <color indexed="81"/>
            <rFont val="Tahoma"/>
            <family val="2"/>
          </rPr>
          <t xml:space="preserve">
U Del from FASB file
</t>
        </r>
      </text>
    </comment>
    <comment ref="W9" authorId="1" shapeId="0">
      <text>
        <r>
          <rPr>
            <b/>
            <sz val="8"/>
            <color indexed="81"/>
            <rFont val="Tahoma"/>
            <family val="2"/>
          </rPr>
          <t>jmarks:</t>
        </r>
        <r>
          <rPr>
            <sz val="8"/>
            <color indexed="81"/>
            <rFont val="Tahoma"/>
            <family val="2"/>
          </rPr>
          <t xml:space="preserve">
U Del from FASB file
</t>
        </r>
      </text>
    </comment>
    <comment ref="Y9" authorId="1" shapeId="0">
      <text>
        <r>
          <rPr>
            <b/>
            <sz val="8"/>
            <color indexed="81"/>
            <rFont val="Tahoma"/>
            <family val="2"/>
          </rPr>
          <t>jmarks:</t>
        </r>
        <r>
          <rPr>
            <sz val="8"/>
            <color indexed="81"/>
            <rFont val="Tahoma"/>
            <family val="2"/>
          </rPr>
          <t xml:space="preserve">
U Del from FASB file
</t>
        </r>
      </text>
    </comment>
  </commentList>
</comments>
</file>

<file path=xl/sharedStrings.xml><?xml version="1.0" encoding="utf-8"?>
<sst xmlns="http://schemas.openxmlformats.org/spreadsheetml/2006/main" count="1433" uniqueCount="167">
  <si>
    <t>1986</t>
  </si>
  <si>
    <t>Alabama</t>
  </si>
  <si>
    <t>Arkansas</t>
  </si>
  <si>
    <t>Florida</t>
  </si>
  <si>
    <t>Georgia</t>
  </si>
  <si>
    <t>Kentucky</t>
  </si>
  <si>
    <t>Louisiana</t>
  </si>
  <si>
    <t>Maryland</t>
  </si>
  <si>
    <t>Mississippi</t>
  </si>
  <si>
    <t>North Carolina</t>
  </si>
  <si>
    <t>Oklahoma</t>
  </si>
  <si>
    <t>South Carolina</t>
  </si>
  <si>
    <t>Tennessee</t>
  </si>
  <si>
    <t>Texas</t>
  </si>
  <si>
    <t>Virginia</t>
  </si>
  <si>
    <t>West Virginia</t>
  </si>
  <si>
    <t>Source:</t>
  </si>
  <si>
    <t xml:space="preserve"> * All</t>
  </si>
  <si>
    <t>National</t>
  </si>
  <si>
    <t>Other =</t>
  </si>
  <si>
    <t>Center for</t>
  </si>
  <si>
    <t>Federal</t>
  </si>
  <si>
    <t>Education</t>
  </si>
  <si>
    <t>Appropriations</t>
  </si>
  <si>
    <t>Statistics,</t>
  </si>
  <si>
    <t>+ Sales</t>
  </si>
  <si>
    <t>"Financial</t>
  </si>
  <si>
    <t>and</t>
  </si>
  <si>
    <t>Statistics of</t>
  </si>
  <si>
    <t>Services</t>
  </si>
  <si>
    <t>Institutions</t>
  </si>
  <si>
    <t>of</t>
  </si>
  <si>
    <t>of Higher</t>
  </si>
  <si>
    <t>Educational</t>
  </si>
  <si>
    <t>Education,</t>
  </si>
  <si>
    <t>Activities</t>
  </si>
  <si>
    <t>Fiscal Year</t>
  </si>
  <si>
    <t>+ Other</t>
  </si>
  <si>
    <t>1991,"</t>
  </si>
  <si>
    <t>Sources +</t>
  </si>
  <si>
    <t>unpublished</t>
  </si>
  <si>
    <t>Independent</t>
  </si>
  <si>
    <t>data (1985).</t>
  </si>
  <si>
    <t>data (1993).</t>
  </si>
  <si>
    <t>Operations</t>
  </si>
  <si>
    <t>(Federally</t>
  </si>
  <si>
    <t>Supported</t>
  </si>
  <si>
    <t>Research</t>
  </si>
  <si>
    <t>Development</t>
  </si>
  <si>
    <t>Centers).</t>
  </si>
  <si>
    <t xml:space="preserve"> * See Tuition tab for sources.</t>
  </si>
  <si>
    <t xml:space="preserve"> * All Other = Federal Appropriations + Sales and Services</t>
  </si>
  <si>
    <t>Tuition</t>
  </si>
  <si>
    <t>Government</t>
  </si>
  <si>
    <t>All</t>
  </si>
  <si>
    <t>Fees</t>
  </si>
  <si>
    <t>State</t>
  </si>
  <si>
    <t>Local</t>
  </si>
  <si>
    <t xml:space="preserve">Federal </t>
  </si>
  <si>
    <t xml:space="preserve">at Public Two-Year Colleges </t>
  </si>
  <si>
    <t>Delaware</t>
  </si>
  <si>
    <t>SREB states</t>
  </si>
  <si>
    <r>
      <t>Other</t>
    </r>
    <r>
      <rPr>
        <vertAlign val="superscript"/>
        <sz val="10"/>
        <rFont val="Arial"/>
        <family val="2"/>
      </rPr>
      <t>2</t>
    </r>
  </si>
  <si>
    <t xml:space="preserve"> </t>
  </si>
  <si>
    <t>at Public Four-Year Colleges and Universities</t>
  </si>
  <si>
    <t>Contracts and Grants</t>
  </si>
  <si>
    <t>Indiana</t>
  </si>
  <si>
    <t>Missouri</t>
  </si>
  <si>
    <t>(analyzed March 2001)</t>
  </si>
  <si>
    <t>NCES Finance data 91-92</t>
  </si>
  <si>
    <t>Source: SREB analysis of unpublished</t>
  </si>
  <si>
    <t>Source: unpublished NCES</t>
  </si>
  <si>
    <t>Finance data 96-97</t>
  </si>
  <si>
    <t>Database System.</t>
  </si>
  <si>
    <t xml:space="preserve">WebCASPAR </t>
  </si>
  <si>
    <t>DE Source: NSF</t>
  </si>
  <si>
    <r>
      <t xml:space="preserve">of Educational Activities + Other Sources + </t>
    </r>
    <r>
      <rPr>
        <sz val="10"/>
        <color indexed="10"/>
        <rFont val="Arial"/>
        <family val="2"/>
      </rPr>
      <t>Independent</t>
    </r>
  </si>
  <si>
    <r>
      <t>Operations</t>
    </r>
    <r>
      <rPr>
        <sz val="10"/>
        <rFont val="Arial"/>
        <family val="2"/>
      </rPr>
      <t xml:space="preserve"> (Federally Supported Research and Development</t>
    </r>
  </si>
  <si>
    <t>Some years seem to be "total CF" others "E&amp;G"</t>
  </si>
  <si>
    <t>Clarify treatment of indp. Ops.</t>
  </si>
  <si>
    <t>Finance data 1999-2000</t>
  </si>
  <si>
    <t>2001</t>
  </si>
  <si>
    <t xml:space="preserve">chk figures </t>
  </si>
  <si>
    <t>chk figures</t>
  </si>
  <si>
    <t>All Other E&amp;G Revenues (sales &amp; services of educational activities, federal appropriations, all other)</t>
  </si>
  <si>
    <t>2005</t>
  </si>
  <si>
    <t xml:space="preserve">SREB analysis of National Center for </t>
  </si>
  <si>
    <t xml:space="preserve">Education Statistics finance surveys — </t>
  </si>
  <si>
    <t>(www.nces.ed.gov/ipeds) and (http://caspar.nsf.gov).</t>
  </si>
  <si>
    <t>Educational &amp; General (E&amp;G) / CORE Revenues, Public Institutions (000s)</t>
  </si>
  <si>
    <t>Tuition and Fees</t>
  </si>
  <si>
    <t>1984,"</t>
  </si>
  <si>
    <t>State Appropriations</t>
  </si>
  <si>
    <t>Local Appropriations</t>
  </si>
  <si>
    <t>Federal Contracts and Grants</t>
  </si>
  <si>
    <t>Endownment Income (through 2001) / Investment Income (after 2001)</t>
  </si>
  <si>
    <t>Total E&amp;G / CORE</t>
  </si>
  <si>
    <t>Other (state gvmt, local gvmt, private gift/grants) Contracts and Grants</t>
  </si>
  <si>
    <t>Other (State gvmt, local gvmt, private gifts/grants) Contracts and Grants</t>
  </si>
  <si>
    <r>
      <t>Other</t>
    </r>
    <r>
      <rPr>
        <vertAlign val="superscript"/>
        <sz val="10"/>
        <rFont val="Arial"/>
        <family val="2"/>
      </rPr>
      <t>3</t>
    </r>
  </si>
  <si>
    <r>
      <t>2</t>
    </r>
    <r>
      <rPr>
        <sz val="10"/>
        <rFont val="SWISS-C"/>
      </rPr>
      <t xml:space="preserve"> Includes state and local government contracts, grants, and private gifts and grants.</t>
    </r>
  </si>
  <si>
    <t>2007</t>
  </si>
  <si>
    <t>Endowment Income (through 2001) / Investment Income (after 2001)</t>
  </si>
  <si>
    <t>2002</t>
  </si>
  <si>
    <t>*Less than one-tenth of 1 percent.</t>
  </si>
  <si>
    <t>State + Local</t>
  </si>
  <si>
    <t>2003</t>
  </si>
  <si>
    <t>2004</t>
  </si>
  <si>
    <t>2006</t>
  </si>
  <si>
    <t>Alaska</t>
  </si>
  <si>
    <t>Arizona</t>
  </si>
  <si>
    <t>California</t>
  </si>
  <si>
    <t>Colorado</t>
  </si>
  <si>
    <t>Connecticut</t>
  </si>
  <si>
    <t>District of Columbia</t>
  </si>
  <si>
    <t>Hawaii</t>
  </si>
  <si>
    <t>Idaho</t>
  </si>
  <si>
    <t>Illinois</t>
  </si>
  <si>
    <t>Iowa</t>
  </si>
  <si>
    <t>Kansas</t>
  </si>
  <si>
    <t>Maine</t>
  </si>
  <si>
    <t>Massachusetts</t>
  </si>
  <si>
    <t>Michigan</t>
  </si>
  <si>
    <t>Minnesota</t>
  </si>
  <si>
    <t>Montana</t>
  </si>
  <si>
    <t>Nebraska</t>
  </si>
  <si>
    <t>Nevada</t>
  </si>
  <si>
    <t>New Hampshire</t>
  </si>
  <si>
    <t>New Jersey</t>
  </si>
  <si>
    <t>New Mexico</t>
  </si>
  <si>
    <t>New York</t>
  </si>
  <si>
    <t>North Dakota</t>
  </si>
  <si>
    <t>Ohio</t>
  </si>
  <si>
    <t>Oregon</t>
  </si>
  <si>
    <t>Pennsylvania</t>
  </si>
  <si>
    <t>Rhode Island</t>
  </si>
  <si>
    <t>South Dakota</t>
  </si>
  <si>
    <t>Utah</t>
  </si>
  <si>
    <t>Vermont</t>
  </si>
  <si>
    <t>Washington</t>
  </si>
  <si>
    <t>Wisconsin</t>
  </si>
  <si>
    <t>Wyoming</t>
  </si>
  <si>
    <t>50 states and D.C.</t>
  </si>
  <si>
    <t xml:space="preserve">   as a percent of U.S.</t>
  </si>
  <si>
    <t>West</t>
  </si>
  <si>
    <t>Midwest</t>
  </si>
  <si>
    <t>Northeast</t>
  </si>
  <si>
    <t>2009</t>
  </si>
  <si>
    <t xml:space="preserve"> "NA" indicates not applicable. There was no institution of this type in the state.</t>
  </si>
  <si>
    <t>NA</t>
  </si>
  <si>
    <t>* Less than one-tenth of 1 percent.</t>
  </si>
  <si>
    <t>Tuition and</t>
  </si>
  <si>
    <r>
      <t>Percent Distribution of Revenues</t>
    </r>
    <r>
      <rPr>
        <vertAlign val="superscript"/>
        <sz val="10"/>
        <rFont val="Arial"/>
        <family val="2"/>
      </rPr>
      <t>1</t>
    </r>
  </si>
  <si>
    <t>2010</t>
  </si>
  <si>
    <r>
      <t xml:space="preserve">1 </t>
    </r>
    <r>
      <rPr>
        <sz val="10"/>
        <rFont val="Arial"/>
        <family val="2"/>
      </rPr>
      <t>Educational and general operating revenues consist of total revenues for current operations minus revenues from auxiliary enterprises, hospitals and independent operations. Auxiliary enterprises are essentially self-supporting operations that exist to furnish a service to students, faculty or staff and that charge a fee that is directly related to, although not necessarily equal to, the cost of the service. Examples are residence halls, food services, college stores and intercollegiate athletics. Independent operations are essentially independent institutes or centers affiliated with a college or university, such as a formally designated Federally Funded Research and Development Center.</t>
    </r>
  </si>
  <si>
    <t>2011</t>
  </si>
  <si>
    <r>
      <t xml:space="preserve">3 </t>
    </r>
    <r>
      <rPr>
        <sz val="10"/>
        <rFont val="Arial"/>
        <family val="2"/>
      </rPr>
      <t xml:space="preserve">Includes federal appropriations (other than contracts and grants), sales of educational activities and services, endowment and investment income, and other sources. </t>
    </r>
  </si>
  <si>
    <t>Source: SREB analysis of National Center for Education Statistics finance surveys - www.nces.ed.gov/ipeds.</t>
  </si>
  <si>
    <r>
      <t>2</t>
    </r>
    <r>
      <rPr>
        <sz val="10"/>
        <rFont val="SWISS-C"/>
      </rPr>
      <t xml:space="preserve"> Includes state and local government contracts and grants and private gifts and grants.</t>
    </r>
  </si>
  <si>
    <t>SREB analysis of National Center for Education Statistics finance surveys - www.nces.ed.gov/ipeds.</t>
  </si>
  <si>
    <t>February 2017</t>
  </si>
  <si>
    <t>Table 96</t>
  </si>
  <si>
    <t>Table 97</t>
  </si>
  <si>
    <t>2013-14</t>
  </si>
  <si>
    <t>Percentage-Point Change 2008-09 to 2013-14</t>
  </si>
  <si>
    <t>2008-09</t>
  </si>
  <si>
    <t>Percentage-Point Change, 2008-09 to 2013-14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</si>
</sst>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0.00_);_(* \(#,##0.00\);_(* &quot;-&quot;??_);_(@_)"/>
    <numFmt numFmtId="164" formatCode="0.0_)"/>
    <numFmt numFmtId="165" formatCode="#,##0.0_);\(#,##0.0\)"/>
    <numFmt numFmtId="166" formatCode="_(* #,##0_);_(* \(#,##0\);_(* &quot;-&quot;??_);_(@_)"/>
    <numFmt numFmtId="167" formatCode="#,##0.0"/>
  </numFmts>
  <fonts count="23">
    <font>
      <sz val="10"/>
      <name val="SWISS-C"/>
    </font>
    <font>
      <sz val="10"/>
      <color theme="1"/>
      <name val="Arial"/>
      <family val="2"/>
    </font>
    <font>
      <sz val="12"/>
      <name val="AGaramond"/>
      <family val="3"/>
    </font>
    <font>
      <sz val="10"/>
      <name val="SWISS-C"/>
    </font>
    <font>
      <sz val="10"/>
      <name val="Arial"/>
      <family val="2"/>
    </font>
    <font>
      <b/>
      <sz val="10"/>
      <name val="Arial"/>
      <family val="2"/>
    </font>
    <font>
      <vertAlign val="superscript"/>
      <sz val="10"/>
      <name val="Arial"/>
      <family val="2"/>
    </font>
    <font>
      <sz val="10"/>
      <color indexed="10"/>
      <name val="Arial"/>
      <family val="2"/>
    </font>
    <font>
      <sz val="10"/>
      <name val="Arial"/>
      <family val="2"/>
    </font>
    <font>
      <sz val="8"/>
      <name val="SWISS-C"/>
    </font>
    <font>
      <sz val="10"/>
      <color indexed="0"/>
      <name val="Times New Roman"/>
      <family val="1"/>
    </font>
    <font>
      <u/>
      <sz val="10"/>
      <name val="Arial"/>
      <family val="2"/>
    </font>
    <font>
      <sz val="10"/>
      <color indexed="12"/>
      <name val="Arial"/>
      <family val="2"/>
    </font>
    <font>
      <sz val="8"/>
      <color indexed="81"/>
      <name val="Tahoma"/>
      <family val="2"/>
    </font>
    <font>
      <b/>
      <sz val="8"/>
      <color indexed="81"/>
      <name val="Tahoma"/>
      <family val="2"/>
    </font>
    <font>
      <i/>
      <sz val="10"/>
      <name val="Arial"/>
      <family val="2"/>
    </font>
    <font>
      <sz val="10"/>
      <name val="SWISS-C"/>
    </font>
    <font>
      <b/>
      <sz val="10"/>
      <color indexed="81"/>
      <name val="Tahoma"/>
      <family val="2"/>
    </font>
    <font>
      <sz val="10"/>
      <color indexed="81"/>
      <name val="Tahoma"/>
      <family val="2"/>
    </font>
    <font>
      <sz val="10"/>
      <color rgb="FF0000FF"/>
      <name val="Arial"/>
      <family val="2"/>
    </font>
    <font>
      <sz val="10"/>
      <color rgb="FF33CCFF"/>
      <name val="Arial"/>
      <family val="2"/>
    </font>
    <font>
      <u/>
      <sz val="10"/>
      <color rgb="FF33CCFF"/>
      <name val="Arial"/>
      <family val="2"/>
    </font>
    <font>
      <sz val="10"/>
      <color rgb="FFFF0000"/>
      <name val="Arial"/>
      <family val="2"/>
    </font>
  </fonts>
  <fills count="7">
    <fill>
      <patternFill patternType="none"/>
    </fill>
    <fill>
      <patternFill patternType="gray125"/>
    </fill>
    <fill>
      <patternFill patternType="solid">
        <fgColor indexed="47"/>
        <bgColor indexed="64"/>
      </patternFill>
    </fill>
    <fill>
      <patternFill patternType="solid">
        <fgColor indexed="22"/>
        <bgColor indexed="64"/>
      </patternFill>
    </fill>
    <fill>
      <patternFill patternType="solid">
        <fgColor theme="0" tint="-0.249977111117893"/>
        <bgColor indexed="64"/>
      </patternFill>
    </fill>
    <fill>
      <patternFill patternType="solid">
        <fgColor rgb="FF92D050"/>
        <bgColor indexed="64"/>
      </patternFill>
    </fill>
    <fill>
      <patternFill patternType="solid">
        <fgColor rgb="FFFFC000"/>
        <bgColor indexed="64"/>
      </patternFill>
    </fill>
  </fills>
  <borders count="26">
    <border>
      <left/>
      <right/>
      <top/>
      <bottom/>
      <diagonal/>
    </border>
    <border>
      <left/>
      <right/>
      <top style="thin">
        <color indexed="8"/>
      </top>
      <bottom/>
      <diagonal/>
    </border>
    <border>
      <left/>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diagonal/>
    </border>
    <border>
      <left/>
      <right style="thin">
        <color indexed="64"/>
      </right>
      <top/>
      <bottom/>
      <diagonal/>
    </border>
    <border>
      <left style="thin">
        <color indexed="64"/>
      </left>
      <right/>
      <top/>
      <bottom style="thin">
        <color indexed="8"/>
      </bottom>
      <diagonal/>
    </border>
    <border>
      <left/>
      <right style="thin">
        <color indexed="64"/>
      </right>
      <top/>
      <bottom style="thin">
        <color indexed="8"/>
      </bottom>
      <diagonal/>
    </border>
    <border>
      <left/>
      <right/>
      <top/>
      <bottom style="thin">
        <color indexed="64"/>
      </bottom>
      <diagonal/>
    </border>
    <border>
      <left style="thin">
        <color indexed="64"/>
      </left>
      <right/>
      <top style="thin">
        <color indexed="8"/>
      </top>
      <bottom style="thin">
        <color indexed="8"/>
      </bottom>
      <diagonal/>
    </border>
    <border>
      <left/>
      <right style="thin">
        <color indexed="64"/>
      </right>
      <top style="thin">
        <color indexed="8"/>
      </top>
      <bottom style="thin">
        <color indexed="8"/>
      </bottom>
      <diagonal/>
    </border>
    <border>
      <left/>
      <right/>
      <top style="thin">
        <color indexed="8"/>
      </top>
      <bottom style="thin">
        <color indexed="8"/>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8"/>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style="thin">
        <color indexed="64"/>
      </left>
      <right/>
      <top style="thin">
        <color indexed="8"/>
      </top>
      <bottom style="thin">
        <color indexed="64"/>
      </bottom>
      <diagonal/>
    </border>
  </borders>
  <cellStyleXfs count="2">
    <xf numFmtId="0" fontId="0" fillId="0" borderId="0">
      <alignment horizontal="left" wrapText="1"/>
    </xf>
    <xf numFmtId="43" fontId="2" fillId="0" borderId="0" applyFont="0" applyFill="0" applyBorder="0" applyAlignment="0" applyProtection="0"/>
  </cellStyleXfs>
  <cellXfs count="234">
    <xf numFmtId="37" fontId="0" fillId="0" borderId="0" xfId="0" applyNumberFormat="1" applyAlignment="1"/>
    <xf numFmtId="37" fontId="4" fillId="0" borderId="0" xfId="0" applyNumberFormat="1" applyFont="1" applyAlignment="1"/>
    <xf numFmtId="37" fontId="4" fillId="0" borderId="1" xfId="0" applyNumberFormat="1" applyFont="1" applyBorder="1" applyAlignment="1" applyProtection="1">
      <alignment horizontal="centerContinuous"/>
    </xf>
    <xf numFmtId="37" fontId="4" fillId="0" borderId="0" xfId="0" applyNumberFormat="1" applyFont="1" applyAlignment="1" applyProtection="1"/>
    <xf numFmtId="37" fontId="4" fillId="0" borderId="1" xfId="0" applyNumberFormat="1" applyFont="1" applyBorder="1" applyAlignment="1" applyProtection="1"/>
    <xf numFmtId="37" fontId="4" fillId="0" borderId="0" xfId="0" applyNumberFormat="1" applyFont="1" applyAlignment="1" applyProtection="1">
      <alignment horizontal="centerContinuous"/>
    </xf>
    <xf numFmtId="37" fontId="4" fillId="0" borderId="0" xfId="0" applyNumberFormat="1" applyFont="1" applyAlignment="1" applyProtection="1">
      <alignment horizontal="center"/>
    </xf>
    <xf numFmtId="37" fontId="4" fillId="0" borderId="0" xfId="0" applyNumberFormat="1" applyFont="1" applyAlignment="1" applyProtection="1">
      <alignment horizontal="left"/>
    </xf>
    <xf numFmtId="37" fontId="5" fillId="0" borderId="1" xfId="0" applyNumberFormat="1" applyFont="1" applyBorder="1" applyAlignment="1" applyProtection="1"/>
    <xf numFmtId="37" fontId="5" fillId="0" borderId="0" xfId="0" applyNumberFormat="1" applyFont="1" applyAlignment="1" applyProtection="1"/>
    <xf numFmtId="37" fontId="5" fillId="0" borderId="2" xfId="0" applyNumberFormat="1" applyFont="1" applyBorder="1" applyAlignment="1" applyProtection="1"/>
    <xf numFmtId="37" fontId="0" fillId="0" borderId="0" xfId="0" applyNumberFormat="1" applyFill="1" applyAlignment="1"/>
    <xf numFmtId="37" fontId="4" fillId="0" borderId="0" xfId="0" applyNumberFormat="1" applyFont="1" applyFill="1" applyAlignment="1" applyProtection="1"/>
    <xf numFmtId="37" fontId="4" fillId="0" borderId="0" xfId="0" applyNumberFormat="1" applyFont="1" applyFill="1" applyAlignment="1"/>
    <xf numFmtId="37" fontId="4" fillId="0" borderId="0" xfId="0" applyNumberFormat="1" applyFont="1" applyBorder="1" applyAlignment="1" applyProtection="1"/>
    <xf numFmtId="37" fontId="4" fillId="0" borderId="0" xfId="0" applyNumberFormat="1" applyFont="1" applyFill="1" applyAlignment="1" applyProtection="1">
      <alignment horizontal="right"/>
    </xf>
    <xf numFmtId="37" fontId="4" fillId="0" borderId="0" xfId="0" applyNumberFormat="1" applyFont="1" applyFill="1" applyAlignment="1" applyProtection="1">
      <alignment horizontal="fill"/>
    </xf>
    <xf numFmtId="37" fontId="4" fillId="0" borderId="0" xfId="0" applyNumberFormat="1" applyFont="1" applyAlignment="1" applyProtection="1">
      <alignment horizontal="right"/>
    </xf>
    <xf numFmtId="37" fontId="4" fillId="0" borderId="2" xfId="0" applyNumberFormat="1" applyFont="1" applyFill="1" applyBorder="1" applyAlignment="1" applyProtection="1"/>
    <xf numFmtId="37" fontId="4" fillId="0" borderId="0" xfId="0" applyNumberFormat="1" applyFont="1" applyFill="1" applyAlignment="1" applyProtection="1">
      <alignment horizontal="centerContinuous"/>
    </xf>
    <xf numFmtId="37" fontId="4" fillId="0" borderId="0" xfId="0" applyNumberFormat="1" applyFont="1" applyFill="1" applyBorder="1" applyAlignment="1" applyProtection="1"/>
    <xf numFmtId="165" fontId="4" fillId="0" borderId="0" xfId="0" applyNumberFormat="1" applyFont="1" applyFill="1" applyAlignment="1" applyProtection="1"/>
    <xf numFmtId="165" fontId="0" fillId="0" borderId="0" xfId="0" applyNumberFormat="1" applyFill="1" applyAlignment="1"/>
    <xf numFmtId="37" fontId="4" fillId="0" borderId="0" xfId="0" applyNumberFormat="1" applyFont="1" applyBorder="1" applyAlignment="1"/>
    <xf numFmtId="37" fontId="0" fillId="0" borderId="0" xfId="0" applyNumberFormat="1" applyBorder="1" applyAlignment="1"/>
    <xf numFmtId="37" fontId="4" fillId="2" borderId="0" xfId="0" applyNumberFormat="1" applyFont="1" applyFill="1" applyAlignment="1" applyProtection="1"/>
    <xf numFmtId="37" fontId="4" fillId="2" borderId="0" xfId="0" applyNumberFormat="1" applyFont="1" applyFill="1" applyBorder="1" applyAlignment="1" applyProtection="1"/>
    <xf numFmtId="164" fontId="4" fillId="2" borderId="0" xfId="0" applyNumberFormat="1" applyFont="1" applyFill="1" applyBorder="1" applyAlignment="1" applyProtection="1"/>
    <xf numFmtId="37" fontId="4" fillId="0" borderId="3" xfId="0" applyNumberFormat="1" applyFont="1" applyBorder="1" applyAlignment="1" applyProtection="1"/>
    <xf numFmtId="37" fontId="4" fillId="0" borderId="4" xfId="0" applyNumberFormat="1" applyFont="1" applyBorder="1" applyAlignment="1" applyProtection="1">
      <alignment horizontal="centerContinuous"/>
    </xf>
    <xf numFmtId="37" fontId="4" fillId="0" borderId="5" xfId="0" applyNumberFormat="1" applyFont="1" applyBorder="1" applyAlignment="1" applyProtection="1">
      <alignment horizontal="center"/>
    </xf>
    <xf numFmtId="37" fontId="4" fillId="0" borderId="0" xfId="0" applyNumberFormat="1" applyFont="1" applyBorder="1" applyAlignment="1" applyProtection="1">
      <alignment horizontal="centerContinuous"/>
    </xf>
    <xf numFmtId="3" fontId="8" fillId="0" borderId="0" xfId="0" applyNumberFormat="1" applyFont="1" applyFill="1" applyAlignment="1">
      <alignment horizontal="right" wrapText="1"/>
    </xf>
    <xf numFmtId="3" fontId="8" fillId="0" borderId="0" xfId="0" applyNumberFormat="1" applyFont="1" applyFill="1" applyBorder="1" applyAlignment="1">
      <alignment horizontal="right" wrapText="1"/>
    </xf>
    <xf numFmtId="166" fontId="0" fillId="0" borderId="0" xfId="1" applyNumberFormat="1" applyFont="1" applyFill="1"/>
    <xf numFmtId="0" fontId="10" fillId="0" borderId="0" xfId="0" applyNumberFormat="1" applyFont="1" applyFill="1" applyBorder="1" applyAlignment="1" applyProtection="1">
      <alignment horizontal="left"/>
    </xf>
    <xf numFmtId="165" fontId="11" fillId="2" borderId="0" xfId="0" applyNumberFormat="1" applyFont="1" applyFill="1" applyBorder="1" applyAlignment="1" applyProtection="1">
      <alignment horizontal="right"/>
    </xf>
    <xf numFmtId="37" fontId="15" fillId="0" borderId="0" xfId="0" applyNumberFormat="1" applyFont="1" applyFill="1" applyAlignment="1" applyProtection="1">
      <alignment horizontal="right"/>
    </xf>
    <xf numFmtId="37" fontId="4" fillId="0" borderId="0" xfId="0" applyNumberFormat="1" applyFont="1" applyBorder="1" applyAlignment="1" applyProtection="1">
      <alignment horizontal="right"/>
    </xf>
    <xf numFmtId="164" fontId="4" fillId="0" borderId="0" xfId="0" applyNumberFormat="1" applyFont="1" applyFill="1" applyBorder="1" applyAlignment="1" applyProtection="1">
      <alignment horizontal="right"/>
    </xf>
    <xf numFmtId="164" fontId="4" fillId="0" borderId="5" xfId="0" applyNumberFormat="1" applyFont="1" applyFill="1" applyBorder="1" applyAlignment="1" applyProtection="1">
      <alignment horizontal="right"/>
    </xf>
    <xf numFmtId="164" fontId="4" fillId="0" borderId="6" xfId="0" applyNumberFormat="1" applyFont="1" applyFill="1" applyBorder="1" applyAlignment="1" applyProtection="1">
      <alignment horizontal="right"/>
    </xf>
    <xf numFmtId="164" fontId="4" fillId="0" borderId="0" xfId="0" applyNumberFormat="1" applyFont="1" applyFill="1" applyAlignment="1" applyProtection="1">
      <alignment horizontal="right"/>
    </xf>
    <xf numFmtId="165" fontId="4" fillId="0" borderId="0" xfId="0" applyNumberFormat="1" applyFont="1" applyAlignment="1" applyProtection="1"/>
    <xf numFmtId="166" fontId="3" fillId="0" borderId="0" xfId="1" applyNumberFormat="1" applyFont="1" applyFill="1"/>
    <xf numFmtId="37" fontId="0" fillId="0" borderId="0" xfId="0" applyNumberFormat="1" applyFill="1" applyBorder="1" applyAlignment="1"/>
    <xf numFmtId="37" fontId="4" fillId="0" borderId="0" xfId="0" applyNumberFormat="1" applyFont="1" applyFill="1" applyBorder="1" applyAlignment="1" applyProtection="1">
      <alignment horizontal="centerContinuous"/>
    </xf>
    <xf numFmtId="37" fontId="4" fillId="0" borderId="0" xfId="0" applyNumberFormat="1" applyFont="1" applyFill="1" applyBorder="1" applyAlignment="1" applyProtection="1">
      <alignment horizontal="center"/>
    </xf>
    <xf numFmtId="37" fontId="4" fillId="0" borderId="7" xfId="0" applyNumberFormat="1" applyFont="1" applyBorder="1" applyAlignment="1" applyProtection="1">
      <alignment horizontal="centerContinuous"/>
    </xf>
    <xf numFmtId="37" fontId="4" fillId="0" borderId="8" xfId="0" applyNumberFormat="1" applyFont="1" applyBorder="1" applyAlignment="1" applyProtection="1">
      <alignment horizontal="centerContinuous"/>
    </xf>
    <xf numFmtId="3" fontId="8" fillId="0" borderId="9" xfId="0" applyNumberFormat="1" applyFont="1" applyFill="1" applyBorder="1" applyAlignment="1">
      <alignment horizontal="right" wrapText="1"/>
    </xf>
    <xf numFmtId="37" fontId="4" fillId="0" borderId="9" xfId="0" applyNumberFormat="1" applyFont="1" applyFill="1" applyBorder="1" applyAlignment="1" applyProtection="1"/>
    <xf numFmtId="0" fontId="4" fillId="0" borderId="0" xfId="0" quotePrefix="1" applyNumberFormat="1" applyFont="1" applyFill="1" applyAlignment="1" applyProtection="1">
      <alignment horizontal="right"/>
    </xf>
    <xf numFmtId="37" fontId="4" fillId="0" borderId="0" xfId="0" applyNumberFormat="1" applyFont="1" applyFill="1" applyAlignment="1">
      <alignment horizontal="right"/>
    </xf>
    <xf numFmtId="0" fontId="4" fillId="0" borderId="0" xfId="0" applyFont="1" applyAlignment="1"/>
    <xf numFmtId="17" fontId="4" fillId="0" borderId="0" xfId="0" quotePrefix="1" applyNumberFormat="1" applyFont="1" applyAlignment="1">
      <alignment horizontal="right"/>
    </xf>
    <xf numFmtId="165" fontId="4" fillId="0" borderId="0" xfId="0" applyNumberFormat="1" applyFont="1" applyFill="1" applyBorder="1" applyAlignment="1" applyProtection="1">
      <alignment horizontal="left" vertical="top"/>
    </xf>
    <xf numFmtId="37" fontId="0" fillId="0" borderId="0" xfId="0" applyNumberFormat="1" applyAlignment="1">
      <alignment vertical="top"/>
    </xf>
    <xf numFmtId="0" fontId="8" fillId="0" borderId="0" xfId="0" applyFont="1" applyAlignment="1">
      <alignment vertical="top"/>
    </xf>
    <xf numFmtId="37" fontId="16" fillId="0" borderId="0" xfId="0" applyNumberFormat="1" applyFont="1" applyAlignment="1"/>
    <xf numFmtId="164" fontId="4" fillId="0" borderId="0" xfId="0" applyNumberFormat="1" applyFont="1" applyBorder="1" applyAlignment="1" applyProtection="1">
      <alignment horizontal="center"/>
    </xf>
    <xf numFmtId="166" fontId="4" fillId="0" borderId="0" xfId="0" applyNumberFormat="1" applyFont="1" applyFill="1" applyBorder="1">
      <alignment horizontal="left" wrapText="1"/>
    </xf>
    <xf numFmtId="0" fontId="4" fillId="0" borderId="0" xfId="0" applyFont="1" applyFill="1" applyAlignment="1" applyProtection="1">
      <alignment horizontal="left"/>
    </xf>
    <xf numFmtId="166" fontId="16" fillId="0" borderId="0" xfId="1" applyNumberFormat="1" applyFont="1" applyFill="1"/>
    <xf numFmtId="37" fontId="4" fillId="0" borderId="9" xfId="0" applyNumberFormat="1" applyFont="1" applyFill="1" applyBorder="1" applyAlignment="1"/>
    <xf numFmtId="37" fontId="4" fillId="0" borderId="0" xfId="0" applyNumberFormat="1" applyFont="1" applyFill="1" applyBorder="1" applyAlignment="1"/>
    <xf numFmtId="166" fontId="0" fillId="0" borderId="0" xfId="1" applyNumberFormat="1" applyFont="1" applyFill="1" applyBorder="1"/>
    <xf numFmtId="166" fontId="0" fillId="0" borderId="9" xfId="1" applyNumberFormat="1" applyFont="1" applyFill="1" applyBorder="1"/>
    <xf numFmtId="37" fontId="0" fillId="0" borderId="0" xfId="0" applyNumberFormat="1" applyFill="1" applyAlignment="1">
      <alignment wrapText="1"/>
    </xf>
    <xf numFmtId="37" fontId="12" fillId="0" borderId="0" xfId="0" applyNumberFormat="1" applyFont="1" applyFill="1" applyAlignment="1" applyProtection="1"/>
    <xf numFmtId="0" fontId="4" fillId="0" borderId="0" xfId="0" applyNumberFormat="1" applyFont="1" applyFill="1" applyAlignment="1" applyProtection="1">
      <alignment horizontal="right"/>
    </xf>
    <xf numFmtId="37" fontId="4" fillId="0" borderId="13" xfId="0" applyNumberFormat="1" applyFont="1" applyBorder="1" applyAlignment="1" applyProtection="1">
      <alignment horizontal="centerContinuous"/>
    </xf>
    <xf numFmtId="164" fontId="4" fillId="3" borderId="0" xfId="0" applyNumberFormat="1" applyFont="1" applyFill="1" applyBorder="1" applyAlignment="1" applyProtection="1">
      <alignment horizontal="right"/>
    </xf>
    <xf numFmtId="164" fontId="4" fillId="3" borderId="5" xfId="0" applyNumberFormat="1" applyFont="1" applyFill="1" applyBorder="1" applyAlignment="1" applyProtection="1">
      <alignment horizontal="right"/>
    </xf>
    <xf numFmtId="164" fontId="4" fillId="3" borderId="6" xfId="0" applyNumberFormat="1" applyFont="1" applyFill="1" applyBorder="1" applyAlignment="1" applyProtection="1">
      <alignment horizontal="right"/>
    </xf>
    <xf numFmtId="164" fontId="4" fillId="3"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0" xfId="0" applyNumberFormat="1" applyFont="1" applyFill="1" applyAlignment="1" applyProtection="1">
      <alignment horizontal="right"/>
    </xf>
    <xf numFmtId="37" fontId="4" fillId="0" borderId="0" xfId="0" applyNumberFormat="1" applyFont="1" applyFill="1" applyBorder="1" applyAlignment="1" applyProtection="1">
      <alignment horizontal="right"/>
    </xf>
    <xf numFmtId="17" fontId="4" fillId="0" borderId="0" xfId="0" quotePrefix="1" applyNumberFormat="1" applyFont="1" applyFill="1" applyAlignment="1">
      <alignment horizontal="right"/>
    </xf>
    <xf numFmtId="165" fontId="4" fillId="2" borderId="0" xfId="0" applyNumberFormat="1" applyFont="1" applyFill="1" applyBorder="1" applyAlignment="1" applyProtection="1">
      <alignment horizontal="left"/>
    </xf>
    <xf numFmtId="0" fontId="4" fillId="0" borderId="5" xfId="0" quotePrefix="1" applyNumberFormat="1" applyFont="1" applyFill="1" applyBorder="1" applyAlignment="1" applyProtection="1">
      <alignment horizontal="right"/>
    </xf>
    <xf numFmtId="37" fontId="4" fillId="0" borderId="5" xfId="0" applyNumberFormat="1" applyFont="1" applyFill="1" applyBorder="1" applyAlignment="1" applyProtection="1"/>
    <xf numFmtId="166" fontId="4" fillId="0" borderId="5" xfId="0" applyNumberFormat="1" applyFont="1" applyFill="1" applyBorder="1">
      <alignment horizontal="left" wrapText="1"/>
    </xf>
    <xf numFmtId="37" fontId="4" fillId="0" borderId="0" xfId="0" applyNumberFormat="1" applyFont="1" applyFill="1" applyBorder="1" applyAlignment="1" applyProtection="1">
      <alignment horizontal="left"/>
    </xf>
    <xf numFmtId="37" fontId="4" fillId="0" borderId="14" xfId="0" applyNumberFormat="1" applyFont="1" applyFill="1" applyBorder="1" applyAlignment="1"/>
    <xf numFmtId="37" fontId="4" fillId="0" borderId="14" xfId="0" applyNumberFormat="1" applyFont="1" applyFill="1" applyBorder="1" applyAlignment="1" applyProtection="1"/>
    <xf numFmtId="3" fontId="8" fillId="0" borderId="14" xfId="0" applyNumberFormat="1" applyFont="1" applyFill="1" applyBorder="1" applyAlignment="1">
      <alignment horizontal="right" wrapText="1"/>
    </xf>
    <xf numFmtId="166" fontId="0" fillId="0" borderId="14" xfId="1" applyNumberFormat="1" applyFont="1" applyFill="1" applyBorder="1"/>
    <xf numFmtId="37" fontId="4" fillId="0" borderId="15" xfId="0" applyNumberFormat="1" applyFont="1" applyFill="1" applyBorder="1" applyAlignment="1" applyProtection="1"/>
    <xf numFmtId="166" fontId="3" fillId="0" borderId="0" xfId="1" applyNumberFormat="1" applyFont="1" applyFill="1" applyBorder="1"/>
    <xf numFmtId="37" fontId="4" fillId="0" borderId="0" xfId="0" applyNumberFormat="1" applyFont="1" applyFill="1" applyBorder="1" applyAlignment="1">
      <alignment horizontal="right"/>
    </xf>
    <xf numFmtId="166" fontId="16" fillId="0" borderId="0" xfId="1" applyNumberFormat="1" applyFont="1" applyFill="1" applyBorder="1"/>
    <xf numFmtId="37" fontId="4" fillId="0" borderId="9" xfId="0" applyNumberFormat="1" applyFont="1" applyBorder="1" applyAlignment="1" applyProtection="1"/>
    <xf numFmtId="37" fontId="4" fillId="0" borderId="9" xfId="0" applyNumberFormat="1" applyFont="1" applyBorder="1" applyAlignment="1"/>
    <xf numFmtId="0" fontId="4" fillId="0" borderId="14" xfId="0" applyNumberFormat="1" applyFont="1" applyFill="1" applyBorder="1" applyAlignment="1"/>
    <xf numFmtId="37" fontId="4" fillId="0" borderId="0" xfId="0" quotePrefix="1" applyNumberFormat="1" applyFont="1" applyFill="1" applyAlignment="1" applyProtection="1">
      <alignment horizontal="fill"/>
    </xf>
    <xf numFmtId="37" fontId="19" fillId="0" borderId="0" xfId="0" applyNumberFormat="1" applyFont="1" applyFill="1" applyAlignment="1" applyProtection="1"/>
    <xf numFmtId="3" fontId="19" fillId="0" borderId="0" xfId="0" applyNumberFormat="1" applyFont="1" applyFill="1" applyAlignment="1">
      <alignment horizontal="right" wrapText="1"/>
    </xf>
    <xf numFmtId="37" fontId="19" fillId="0" borderId="14" xfId="0" applyNumberFormat="1" applyFont="1" applyFill="1" applyBorder="1" applyAlignment="1" applyProtection="1"/>
    <xf numFmtId="3" fontId="19" fillId="0" borderId="14" xfId="0" applyNumberFormat="1" applyFont="1" applyFill="1" applyBorder="1" applyAlignment="1">
      <alignment horizontal="right" wrapText="1"/>
    </xf>
    <xf numFmtId="37" fontId="19" fillId="0" borderId="0" xfId="0" applyNumberFormat="1" applyFont="1" applyFill="1" applyAlignment="1"/>
    <xf numFmtId="37" fontId="19" fillId="0" borderId="0" xfId="0" applyNumberFormat="1" applyFont="1" applyFill="1" applyBorder="1" applyAlignment="1" applyProtection="1"/>
    <xf numFmtId="37" fontId="19" fillId="0" borderId="9" xfId="0" applyNumberFormat="1" applyFont="1" applyFill="1" applyBorder="1" applyAlignment="1" applyProtection="1"/>
    <xf numFmtId="37" fontId="19" fillId="0" borderId="0" xfId="0" applyNumberFormat="1" applyFont="1" applyFill="1" applyBorder="1" applyAlignment="1"/>
    <xf numFmtId="37" fontId="19" fillId="0" borderId="9" xfId="0" applyNumberFormat="1" applyFont="1" applyFill="1" applyBorder="1" applyAlignment="1"/>
    <xf numFmtId="37" fontId="19" fillId="0" borderId="14" xfId="0" applyNumberFormat="1" applyFont="1" applyFill="1" applyBorder="1" applyAlignment="1"/>
    <xf numFmtId="37" fontId="1" fillId="0" borderId="14" xfId="0" applyNumberFormat="1" applyFont="1" applyFill="1" applyBorder="1" applyAlignment="1" applyProtection="1"/>
    <xf numFmtId="166" fontId="4" fillId="0" borderId="0" xfId="1" applyNumberFormat="1" applyFont="1" applyFill="1" applyAlignment="1" applyProtection="1">
      <alignment horizontal="right"/>
    </xf>
    <xf numFmtId="37" fontId="19" fillId="0" borderId="0" xfId="0" applyNumberFormat="1" applyFont="1" applyBorder="1" applyAlignment="1" applyProtection="1"/>
    <xf numFmtId="37" fontId="12" fillId="0" borderId="14" xfId="0" applyNumberFormat="1" applyFont="1" applyFill="1" applyBorder="1" applyAlignment="1" applyProtection="1"/>
    <xf numFmtId="3" fontId="19" fillId="0" borderId="15" xfId="0" applyNumberFormat="1" applyFont="1" applyFill="1" applyBorder="1" applyAlignment="1">
      <alignment horizontal="right" wrapText="1"/>
    </xf>
    <xf numFmtId="37" fontId="19" fillId="0" borderId="5" xfId="0" applyNumberFormat="1" applyFont="1" applyBorder="1" applyAlignment="1" applyProtection="1"/>
    <xf numFmtId="37" fontId="4" fillId="0" borderId="16" xfId="0" applyNumberFormat="1" applyFont="1" applyFill="1" applyBorder="1" applyAlignment="1" applyProtection="1"/>
    <xf numFmtId="37" fontId="19" fillId="0" borderId="5" xfId="0" applyNumberFormat="1" applyFont="1" applyFill="1" applyBorder="1" applyAlignment="1"/>
    <xf numFmtId="37" fontId="4" fillId="0" borderId="5" xfId="0" applyNumberFormat="1" applyFont="1" applyFill="1" applyBorder="1" applyAlignment="1"/>
    <xf numFmtId="3" fontId="4" fillId="0" borderId="9" xfId="0" applyNumberFormat="1" applyFont="1" applyFill="1" applyBorder="1" applyAlignment="1"/>
    <xf numFmtId="3" fontId="4" fillId="0" borderId="0" xfId="0" applyNumberFormat="1" applyFont="1" applyFill="1" applyAlignment="1"/>
    <xf numFmtId="3" fontId="4" fillId="4" borderId="0" xfId="0" applyNumberFormat="1" applyFont="1" applyFill="1" applyAlignment="1"/>
    <xf numFmtId="3" fontId="4" fillId="0" borderId="0" xfId="0" applyNumberFormat="1" applyFont="1" applyAlignment="1"/>
    <xf numFmtId="3" fontId="4" fillId="0" borderId="0" xfId="0" applyNumberFormat="1" applyFont="1" applyBorder="1" applyAlignment="1"/>
    <xf numFmtId="3" fontId="4" fillId="0" borderId="9" xfId="0" applyNumberFormat="1" applyFont="1" applyBorder="1" applyAlignment="1"/>
    <xf numFmtId="3" fontId="4" fillId="4" borderId="9" xfId="0" applyNumberFormat="1" applyFont="1" applyFill="1" applyBorder="1" applyAlignment="1"/>
    <xf numFmtId="3" fontId="4" fillId="0" borderId="17" xfId="0" applyNumberFormat="1" applyFont="1" applyFill="1" applyBorder="1" applyAlignment="1"/>
    <xf numFmtId="37" fontId="4" fillId="0" borderId="14" xfId="0" applyNumberFormat="1" applyFont="1" applyBorder="1" applyAlignment="1" applyProtection="1"/>
    <xf numFmtId="37" fontId="4" fillId="0" borderId="3" xfId="0" applyNumberFormat="1" applyFont="1" applyBorder="1" applyAlignment="1" applyProtection="1">
      <alignment horizontal="centerContinuous"/>
    </xf>
    <xf numFmtId="37" fontId="4" fillId="0" borderId="5" xfId="0" applyNumberFormat="1" applyFont="1" applyBorder="1" applyAlignment="1" applyProtection="1">
      <alignment horizontal="centerContinuous"/>
    </xf>
    <xf numFmtId="37" fontId="4" fillId="0" borderId="7" xfId="0" applyNumberFormat="1" applyFont="1" applyFill="1" applyBorder="1" applyAlignment="1" applyProtection="1">
      <alignment horizontal="centerContinuous"/>
    </xf>
    <xf numFmtId="167" fontId="4" fillId="0" borderId="0" xfId="0" applyNumberFormat="1" applyFont="1" applyFill="1" applyAlignment="1">
      <alignment horizontal="right"/>
    </xf>
    <xf numFmtId="167" fontId="4" fillId="4" borderId="0" xfId="0" applyNumberFormat="1" applyFont="1" applyFill="1" applyAlignment="1">
      <alignment horizontal="right"/>
    </xf>
    <xf numFmtId="167" fontId="4" fillId="0" borderId="0" xfId="0" applyNumberFormat="1" applyFont="1" applyAlignment="1">
      <alignment horizontal="right"/>
    </xf>
    <xf numFmtId="167" fontId="4" fillId="0" borderId="0" xfId="0" applyNumberFormat="1" applyFont="1" applyBorder="1" applyAlignment="1">
      <alignment horizontal="right"/>
    </xf>
    <xf numFmtId="167" fontId="4" fillId="0" borderId="9" xfId="0" applyNumberFormat="1" applyFont="1" applyBorder="1" applyAlignment="1">
      <alignment horizontal="right"/>
    </xf>
    <xf numFmtId="167" fontId="4" fillId="4" borderId="9" xfId="0" applyNumberFormat="1" applyFont="1" applyFill="1" applyBorder="1" applyAlignment="1">
      <alignment horizontal="right"/>
    </xf>
    <xf numFmtId="167" fontId="4" fillId="0" borderId="17" xfId="0" applyNumberFormat="1" applyFont="1" applyFill="1" applyBorder="1" applyAlignment="1">
      <alignment horizontal="right"/>
    </xf>
    <xf numFmtId="167" fontId="4" fillId="0" borderId="9" xfId="0" applyNumberFormat="1" applyFont="1" applyFill="1" applyBorder="1" applyAlignment="1">
      <alignment horizontal="right"/>
    </xf>
    <xf numFmtId="37" fontId="4" fillId="0" borderId="1" xfId="0" applyNumberFormat="1" applyFont="1" applyFill="1" applyBorder="1" applyAlignment="1" applyProtection="1">
      <alignment horizontal="centerContinuous"/>
    </xf>
    <xf numFmtId="37" fontId="4" fillId="0" borderId="1" xfId="0" applyNumberFormat="1" applyFont="1" applyFill="1" applyBorder="1" applyAlignment="1" applyProtection="1">
      <alignment horizontal="center"/>
    </xf>
    <xf numFmtId="37" fontId="4" fillId="0" borderId="3" xfId="0" applyNumberFormat="1" applyFont="1" applyFill="1" applyBorder="1" applyAlignment="1" applyProtection="1"/>
    <xf numFmtId="37" fontId="4" fillId="0" borderId="4" xfId="0" applyNumberFormat="1" applyFont="1" applyFill="1" applyBorder="1" applyAlignment="1" applyProtection="1">
      <alignment horizontal="centerContinuous"/>
    </xf>
    <xf numFmtId="37" fontId="4" fillId="0" borderId="1" xfId="0" applyNumberFormat="1" applyFont="1" applyFill="1" applyBorder="1" applyAlignment="1" applyProtection="1"/>
    <xf numFmtId="37" fontId="4" fillId="0" borderId="8" xfId="0" applyNumberFormat="1" applyFont="1" applyFill="1" applyBorder="1" applyAlignment="1" applyProtection="1">
      <alignment horizontal="centerContinuous"/>
    </xf>
    <xf numFmtId="37" fontId="4" fillId="0" borderId="13" xfId="0" applyNumberFormat="1" applyFont="1" applyFill="1" applyBorder="1" applyAlignment="1" applyProtection="1">
      <alignment horizontal="centerContinuous"/>
    </xf>
    <xf numFmtId="37" fontId="4" fillId="0" borderId="0" xfId="0" applyNumberFormat="1" applyFont="1" applyFill="1" applyAlignment="1" applyProtection="1">
      <alignment horizontal="center"/>
    </xf>
    <xf numFmtId="167" fontId="4" fillId="0" borderId="16" xfId="0" applyNumberFormat="1" applyFont="1" applyFill="1" applyBorder="1" applyAlignment="1">
      <alignment horizontal="right"/>
    </xf>
    <xf numFmtId="167" fontId="4" fillId="0" borderId="5" xfId="0" applyNumberFormat="1" applyFont="1" applyFill="1" applyBorder="1" applyAlignment="1">
      <alignment horizontal="right"/>
    </xf>
    <xf numFmtId="167" fontId="4" fillId="4" borderId="5" xfId="0" applyNumberFormat="1" applyFont="1" applyFill="1" applyBorder="1" applyAlignment="1">
      <alignment horizontal="right"/>
    </xf>
    <xf numFmtId="167" fontId="4" fillId="0" borderId="5" xfId="0" applyNumberFormat="1" applyFont="1" applyBorder="1" applyAlignment="1">
      <alignment horizontal="right"/>
    </xf>
    <xf numFmtId="167" fontId="4" fillId="0" borderId="16" xfId="0" applyNumberFormat="1" applyFont="1" applyBorder="1" applyAlignment="1">
      <alignment horizontal="right"/>
    </xf>
    <xf numFmtId="167" fontId="4" fillId="4" borderId="16" xfId="0" applyNumberFormat="1" applyFont="1" applyFill="1" applyBorder="1" applyAlignment="1">
      <alignment horizontal="right"/>
    </xf>
    <xf numFmtId="167" fontId="4" fillId="0" borderId="18" xfId="0" applyNumberFormat="1" applyFont="1" applyFill="1" applyBorder="1" applyAlignment="1">
      <alignment horizontal="right"/>
    </xf>
    <xf numFmtId="37" fontId="4" fillId="0" borderId="0" xfId="0" applyNumberFormat="1" applyFont="1" applyAlignment="1" applyProtection="1">
      <alignment vertical="top"/>
    </xf>
    <xf numFmtId="165" fontId="4" fillId="0" borderId="0" xfId="0" applyNumberFormat="1" applyFont="1" applyFill="1" applyAlignment="1" applyProtection="1">
      <alignment vertical="top"/>
    </xf>
    <xf numFmtId="37" fontId="4" fillId="0" borderId="0" xfId="0" applyNumberFormat="1" applyFont="1" applyFill="1" applyAlignment="1" applyProtection="1">
      <alignment vertical="top"/>
    </xf>
    <xf numFmtId="37" fontId="0" fillId="0" borderId="0" xfId="0" applyNumberFormat="1" applyFill="1" applyAlignment="1">
      <alignment vertical="top"/>
    </xf>
    <xf numFmtId="0" fontId="4" fillId="0" borderId="0" xfId="0" applyNumberFormat="1" applyFont="1" applyFill="1" applyAlignment="1"/>
    <xf numFmtId="0" fontId="4" fillId="0" borderId="0" xfId="0" applyNumberFormat="1" applyFont="1" applyFill="1" applyAlignment="1" applyProtection="1"/>
    <xf numFmtId="0" fontId="4" fillId="0" borderId="0" xfId="0" applyFont="1" applyFill="1" applyAlignment="1" applyProtection="1">
      <alignment horizontal="right"/>
    </xf>
    <xf numFmtId="0" fontId="4" fillId="0" borderId="0" xfId="0" applyNumberFormat="1" applyFont="1" applyFill="1" applyAlignment="1">
      <alignment horizontal="right"/>
    </xf>
    <xf numFmtId="37" fontId="19" fillId="0" borderId="14" xfId="0" applyNumberFormat="1" applyFont="1" applyFill="1" applyBorder="1" applyAlignment="1">
      <alignment horizontal="right"/>
    </xf>
    <xf numFmtId="37" fontId="19" fillId="0" borderId="0" xfId="0" applyNumberFormat="1" applyFont="1" applyBorder="1" applyAlignment="1" applyProtection="1">
      <alignment horizontal="right"/>
    </xf>
    <xf numFmtId="37" fontId="19" fillId="0" borderId="0" xfId="0" applyNumberFormat="1" applyFont="1" applyFill="1" applyBorder="1" applyAlignment="1" applyProtection="1">
      <alignment horizontal="right"/>
    </xf>
    <xf numFmtId="37" fontId="19" fillId="0" borderId="9" xfId="0" applyNumberFormat="1" applyFont="1" applyBorder="1" applyAlignment="1" applyProtection="1">
      <alignment horizontal="right"/>
    </xf>
    <xf numFmtId="37" fontId="19" fillId="0" borderId="0" xfId="0" applyNumberFormat="1" applyFont="1" applyBorder="1" applyAlignment="1">
      <alignment horizontal="right"/>
    </xf>
    <xf numFmtId="37" fontId="19" fillId="0" borderId="9" xfId="0" applyNumberFormat="1" applyFont="1" applyBorder="1" applyAlignment="1">
      <alignment horizontal="right"/>
    </xf>
    <xf numFmtId="0" fontId="19" fillId="0" borderId="14" xfId="0" applyNumberFormat="1" applyFont="1" applyFill="1" applyBorder="1" applyAlignment="1">
      <alignment horizontal="right"/>
    </xf>
    <xf numFmtId="37" fontId="0" fillId="0" borderId="0" xfId="0" applyNumberFormat="1" applyFill="1" applyAlignment="1">
      <alignment horizontal="right"/>
    </xf>
    <xf numFmtId="165" fontId="0" fillId="0" borderId="19" xfId="0" applyNumberFormat="1" applyFill="1" applyBorder="1" applyAlignment="1">
      <alignment horizontal="centerContinuous" wrapText="1"/>
    </xf>
    <xf numFmtId="37" fontId="4" fillId="0" borderId="6" xfId="0" applyNumberFormat="1" applyFont="1" applyBorder="1" applyAlignment="1" applyProtection="1">
      <alignment horizontal="centerContinuous" wrapText="1"/>
    </xf>
    <xf numFmtId="165" fontId="0" fillId="0" borderId="20" xfId="0" applyNumberFormat="1" applyFill="1" applyBorder="1" applyAlignment="1">
      <alignment horizontal="centerContinuous" wrapText="1"/>
    </xf>
    <xf numFmtId="37" fontId="4" fillId="0" borderId="21" xfId="0" applyNumberFormat="1" applyFont="1" applyBorder="1" applyAlignment="1" applyProtection="1">
      <alignment horizontal="centerContinuous" wrapText="1"/>
    </xf>
    <xf numFmtId="37" fontId="4" fillId="0" borderId="1" xfId="0" applyNumberFormat="1" applyFont="1" applyBorder="1" applyAlignment="1" applyProtection="1">
      <alignment horizontal="centerContinuous" wrapText="1"/>
    </xf>
    <xf numFmtId="37" fontId="4" fillId="0" borderId="0" xfId="0" applyNumberFormat="1" applyFont="1" applyAlignment="1" applyProtection="1">
      <alignment horizontal="centerContinuous" wrapText="1"/>
    </xf>
    <xf numFmtId="37" fontId="0" fillId="0" borderId="0" xfId="0" applyNumberFormat="1" applyAlignment="1">
      <alignment wrapText="1"/>
    </xf>
    <xf numFmtId="37" fontId="4" fillId="0" borderId="0" xfId="0" applyNumberFormat="1" applyFont="1" applyFill="1" applyBorder="1" applyAlignment="1" applyProtection="1">
      <alignment horizontal="left" vertical="top" wrapText="1"/>
    </xf>
    <xf numFmtId="37" fontId="4" fillId="0" borderId="0" xfId="0" applyNumberFormat="1" applyFont="1" applyFill="1" applyAlignment="1" applyProtection="1">
      <alignment wrapText="1"/>
    </xf>
    <xf numFmtId="165" fontId="0" fillId="0" borderId="0" xfId="0" applyNumberFormat="1" applyFill="1" applyAlignment="1">
      <alignment wrapText="1"/>
    </xf>
    <xf numFmtId="37" fontId="4" fillId="0" borderId="0" xfId="0" applyNumberFormat="1" applyFont="1" applyAlignment="1" applyProtection="1">
      <alignment vertical="center"/>
    </xf>
    <xf numFmtId="167" fontId="4" fillId="0" borderId="9" xfId="0" quotePrefix="1" applyNumberFormat="1" applyFont="1" applyFill="1" applyBorder="1" applyAlignment="1">
      <alignment horizontal="right"/>
    </xf>
    <xf numFmtId="37" fontId="0" fillId="0" borderId="0" xfId="0" applyNumberFormat="1" applyAlignment="1"/>
    <xf numFmtId="165" fontId="4" fillId="2" borderId="18" xfId="0" applyNumberFormat="1" applyFont="1" applyFill="1" applyBorder="1" applyAlignment="1" applyProtection="1">
      <alignment horizontal="centerContinuous"/>
    </xf>
    <xf numFmtId="165" fontId="4" fillId="2" borderId="19" xfId="0" applyNumberFormat="1" applyFont="1" applyFill="1" applyBorder="1" applyAlignment="1" applyProtection="1">
      <alignment horizontal="centerContinuous"/>
    </xf>
    <xf numFmtId="164" fontId="4" fillId="2" borderId="5" xfId="0" applyNumberFormat="1" applyFont="1" applyFill="1" applyBorder="1" applyAlignment="1" applyProtection="1"/>
    <xf numFmtId="165" fontId="4" fillId="2" borderId="6" xfId="0" applyNumberFormat="1" applyFont="1" applyFill="1" applyBorder="1" applyAlignment="1" applyProtection="1"/>
    <xf numFmtId="164" fontId="4" fillId="2" borderId="16" xfId="0" applyNumberFormat="1" applyFont="1" applyFill="1" applyBorder="1" applyAlignment="1" applyProtection="1"/>
    <xf numFmtId="165" fontId="4" fillId="2" borderId="13" xfId="0" applyNumberFormat="1" applyFont="1" applyFill="1" applyBorder="1" applyAlignment="1" applyProtection="1"/>
    <xf numFmtId="37" fontId="4" fillId="0" borderId="18" xfId="0" applyNumberFormat="1" applyFont="1" applyBorder="1" applyAlignment="1" applyProtection="1"/>
    <xf numFmtId="37" fontId="4" fillId="0" borderId="19" xfId="0" applyNumberFormat="1" applyFont="1" applyBorder="1" applyAlignment="1" applyProtection="1"/>
    <xf numFmtId="165" fontId="4" fillId="0" borderId="5" xfId="0" applyNumberFormat="1" applyFont="1" applyBorder="1" applyAlignment="1" applyProtection="1"/>
    <xf numFmtId="165" fontId="4" fillId="0" borderId="6" xfId="0" applyNumberFormat="1" applyFont="1" applyBorder="1" applyAlignment="1" applyProtection="1"/>
    <xf numFmtId="165" fontId="4" fillId="0" borderId="16" xfId="0" applyNumberFormat="1" applyFont="1" applyBorder="1" applyAlignment="1" applyProtection="1"/>
    <xf numFmtId="165" fontId="4" fillId="0" borderId="13" xfId="0" applyNumberFormat="1" applyFont="1" applyBorder="1" applyAlignment="1" applyProtection="1"/>
    <xf numFmtId="165" fontId="4" fillId="0" borderId="18" xfId="0" applyNumberFormat="1" applyFont="1" applyBorder="1" applyAlignment="1" applyProtection="1"/>
    <xf numFmtId="165" fontId="4" fillId="0" borderId="19" xfId="0" applyNumberFormat="1" applyFont="1" applyBorder="1" applyAlignment="1" applyProtection="1"/>
    <xf numFmtId="165" fontId="4" fillId="0" borderId="19" xfId="0" applyNumberFormat="1" applyFont="1" applyBorder="1" applyAlignment="1"/>
    <xf numFmtId="165" fontId="4" fillId="0" borderId="6" xfId="0" applyNumberFormat="1" applyFont="1" applyBorder="1" applyAlignment="1"/>
    <xf numFmtId="165" fontId="4" fillId="0" borderId="13" xfId="0" applyNumberFormat="1" applyFont="1" applyBorder="1" applyAlignment="1"/>
    <xf numFmtId="167" fontId="4" fillId="0" borderId="13" xfId="0" applyNumberFormat="1" applyFont="1" applyFill="1" applyBorder="1" applyAlignment="1">
      <alignment horizontal="right"/>
    </xf>
    <xf numFmtId="167" fontId="4" fillId="4" borderId="13" xfId="0" applyNumberFormat="1" applyFont="1" applyFill="1" applyBorder="1" applyAlignment="1">
      <alignment horizontal="right"/>
    </xf>
    <xf numFmtId="167" fontId="4" fillId="0" borderId="23" xfId="0" applyNumberFormat="1" applyFont="1" applyFill="1" applyBorder="1" applyAlignment="1">
      <alignment horizontal="right"/>
    </xf>
    <xf numFmtId="167" fontId="4" fillId="4" borderId="23" xfId="0" applyNumberFormat="1" applyFont="1" applyFill="1" applyBorder="1" applyAlignment="1">
      <alignment horizontal="right"/>
    </xf>
    <xf numFmtId="167" fontId="4" fillId="0" borderId="6" xfId="0" applyNumberFormat="1" applyFont="1" applyFill="1" applyBorder="1" applyAlignment="1">
      <alignment horizontal="right"/>
    </xf>
    <xf numFmtId="165" fontId="21" fillId="2" borderId="6" xfId="0" applyNumberFormat="1" applyFont="1" applyFill="1" applyBorder="1" applyAlignment="1" applyProtection="1">
      <alignment horizontal="right"/>
    </xf>
    <xf numFmtId="37" fontId="20" fillId="0" borderId="1" xfId="0" applyNumberFormat="1" applyFont="1" applyFill="1" applyBorder="1" applyAlignment="1" applyProtection="1">
      <alignment horizontal="centerContinuous"/>
    </xf>
    <xf numFmtId="49" fontId="0" fillId="0" borderId="0" xfId="0" applyNumberFormat="1" applyFill="1" applyAlignment="1">
      <alignment horizontal="right"/>
    </xf>
    <xf numFmtId="37" fontId="4" fillId="0" borderId="10" xfId="0" applyNumberFormat="1" applyFont="1" applyFill="1" applyBorder="1" applyAlignment="1" applyProtection="1">
      <alignment horizontal="center"/>
    </xf>
    <xf numFmtId="37" fontId="4" fillId="0" borderId="11" xfId="0" applyNumberFormat="1" applyFont="1" applyFill="1" applyBorder="1" applyAlignment="1" applyProtection="1">
      <alignment horizontal="center"/>
    </xf>
    <xf numFmtId="37" fontId="4" fillId="0" borderId="2" xfId="0" applyNumberFormat="1" applyFont="1" applyFill="1" applyBorder="1" applyAlignment="1" applyProtection="1">
      <alignment horizontal="center"/>
    </xf>
    <xf numFmtId="37" fontId="4" fillId="0" borderId="7" xfId="0" applyNumberFormat="1" applyFont="1" applyFill="1" applyBorder="1" applyAlignment="1" applyProtection="1">
      <alignment horizontal="center"/>
    </xf>
    <xf numFmtId="37" fontId="4" fillId="0" borderId="22" xfId="0" applyNumberFormat="1" applyFont="1" applyFill="1" applyBorder="1" applyAlignment="1" applyProtection="1">
      <alignment horizontal="centerContinuous"/>
    </xf>
    <xf numFmtId="37" fontId="4" fillId="0" borderId="12" xfId="0" applyNumberFormat="1" applyFont="1" applyFill="1" applyBorder="1" applyAlignment="1" applyProtection="1">
      <alignment horizontal="center"/>
    </xf>
    <xf numFmtId="37" fontId="11" fillId="2" borderId="5" xfId="0" applyNumberFormat="1" applyFont="1" applyFill="1" applyBorder="1" applyAlignment="1" applyProtection="1">
      <alignment horizontal="right"/>
    </xf>
    <xf numFmtId="165" fontId="11" fillId="2" borderId="6" xfId="0" applyNumberFormat="1" applyFont="1" applyFill="1" applyBorder="1" applyAlignment="1" applyProtection="1">
      <alignment horizontal="right"/>
    </xf>
    <xf numFmtId="165" fontId="11" fillId="2" borderId="5" xfId="0" applyNumberFormat="1" applyFont="1" applyFill="1" applyBorder="1" applyAlignment="1" applyProtection="1">
      <alignment horizontal="right"/>
    </xf>
    <xf numFmtId="167" fontId="4" fillId="0" borderId="24" xfId="0" applyNumberFormat="1" applyFont="1" applyFill="1" applyBorder="1" applyAlignment="1">
      <alignment horizontal="right"/>
    </xf>
    <xf numFmtId="0" fontId="4" fillId="5" borderId="0" xfId="0" applyNumberFormat="1" applyFont="1" applyFill="1" applyAlignment="1" applyProtection="1"/>
    <xf numFmtId="37" fontId="22" fillId="0" borderId="0" xfId="0" applyNumberFormat="1" applyFont="1" applyFill="1" applyAlignment="1" applyProtection="1"/>
    <xf numFmtId="0" fontId="4" fillId="6" borderId="0" xfId="0" applyNumberFormat="1" applyFont="1" applyFill="1" applyAlignment="1" applyProtection="1"/>
    <xf numFmtId="0" fontId="4" fillId="0" borderId="9" xfId="0" applyNumberFormat="1" applyFont="1" applyFill="1" applyBorder="1" applyAlignment="1" applyProtection="1"/>
    <xf numFmtId="37" fontId="4" fillId="5" borderId="10" xfId="0" applyNumberFormat="1" applyFont="1" applyFill="1" applyBorder="1" applyAlignment="1" applyProtection="1">
      <alignment horizontal="center"/>
    </xf>
    <xf numFmtId="37" fontId="4" fillId="5" borderId="11" xfId="0" applyNumberFormat="1" applyFont="1" applyFill="1" applyBorder="1" applyAlignment="1" applyProtection="1">
      <alignment horizontal="center"/>
    </xf>
    <xf numFmtId="37" fontId="4" fillId="5" borderId="2" xfId="0" applyNumberFormat="1" applyFont="1" applyFill="1" applyBorder="1" applyAlignment="1" applyProtection="1">
      <alignment horizontal="center"/>
    </xf>
    <xf numFmtId="37" fontId="4" fillId="5" borderId="7" xfId="0" applyNumberFormat="1" applyFont="1" applyFill="1" applyBorder="1" applyAlignment="1" applyProtection="1">
      <alignment horizontal="center"/>
    </xf>
    <xf numFmtId="37" fontId="4" fillId="5" borderId="12" xfId="0" applyNumberFormat="1" applyFont="1" applyFill="1" applyBorder="1" applyAlignment="1" applyProtection="1">
      <alignment horizontal="center"/>
    </xf>
    <xf numFmtId="4" fontId="4" fillId="0" borderId="25" xfId="0" applyNumberFormat="1" applyFont="1" applyFill="1" applyBorder="1" applyAlignment="1">
      <alignment horizontal="right"/>
    </xf>
    <xf numFmtId="4" fontId="4" fillId="0" borderId="24" xfId="0" applyNumberFormat="1" applyFont="1" applyFill="1" applyBorder="1" applyAlignment="1">
      <alignment horizontal="right"/>
    </xf>
    <xf numFmtId="165" fontId="6" fillId="0" borderId="0" xfId="0" applyNumberFormat="1" applyFont="1" applyFill="1" applyAlignment="1" applyProtection="1">
      <alignment horizontal="left" vertical="top" wrapText="1"/>
    </xf>
    <xf numFmtId="37" fontId="16" fillId="0" borderId="0" xfId="0" applyNumberFormat="1" applyFont="1" applyAlignment="1">
      <alignment vertical="top" wrapText="1"/>
    </xf>
    <xf numFmtId="165" fontId="4" fillId="0" borderId="0" xfId="0" applyNumberFormat="1" applyFont="1" applyFill="1" applyBorder="1" applyAlignment="1" applyProtection="1">
      <alignment horizontal="left" vertical="top" wrapText="1"/>
    </xf>
    <xf numFmtId="37" fontId="0" fillId="0" borderId="0" xfId="0" applyNumberFormat="1" applyAlignment="1">
      <alignment wrapText="1"/>
    </xf>
    <xf numFmtId="37" fontId="4" fillId="0" borderId="7" xfId="0" applyNumberFormat="1" applyFont="1" applyBorder="1" applyAlignment="1" applyProtection="1">
      <alignment horizontal="center"/>
    </xf>
    <xf numFmtId="37" fontId="4" fillId="0" borderId="8" xfId="0" applyNumberFormat="1" applyFont="1" applyBorder="1" applyAlignment="1" applyProtection="1">
      <alignment horizontal="center"/>
    </xf>
    <xf numFmtId="37" fontId="0" fillId="0" borderId="0" xfId="0" applyNumberFormat="1" applyAlignment="1"/>
    <xf numFmtId="37" fontId="4" fillId="0" borderId="2" xfId="0" applyNumberFormat="1" applyFont="1" applyFill="1" applyBorder="1" applyAlignment="1" applyProtection="1">
      <alignment horizontal="centerContinuous"/>
    </xf>
  </cellXfs>
  <cellStyles count="2">
    <cellStyle name="Comma" xfId="1" builtinId="3"/>
    <cellStyle name="Normal"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DDDDDD"/>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33CCFF"/>
      <color rgb="FF006600"/>
      <color rgb="FF990033"/>
      <color rgb="FF003399"/>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Percent Distribution of Revenues at Public Four-Year Colleges and Universities, 2010-11</a:t>
            </a:r>
          </a:p>
        </c:rich>
      </c:tx>
      <c:overlay val="0"/>
    </c:title>
    <c:autoTitleDeleted val="0"/>
    <c:plotArea>
      <c:layout/>
      <c:barChart>
        <c:barDir val="col"/>
        <c:grouping val="clustered"/>
        <c:varyColors val="0"/>
        <c:ser>
          <c:idx val="0"/>
          <c:order val="0"/>
          <c:tx>
            <c:strRef>
              <c:f>'TABLE 96 (95)'!$A$10</c:f>
              <c:strCache>
                <c:ptCount val="1"/>
                <c:pt idx="0">
                  <c:v>50 states and D.C.</c:v>
                </c:pt>
              </c:strCache>
            </c:strRef>
          </c:tx>
          <c:spPr>
            <a:solidFill>
              <a:srgbClr val="0033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(95)'!$C$10:$H$10</c:f>
              <c:numCache>
                <c:formatCode>#,##0.0</c:formatCode>
                <c:ptCount val="6"/>
                <c:pt idx="0">
                  <c:v>37.596668221600915</c:v>
                </c:pt>
                <c:pt idx="1">
                  <c:v>22.175564541831996</c:v>
                </c:pt>
                <c:pt idx="2">
                  <c:v>9.5204825454859462E-2</c:v>
                </c:pt>
                <c:pt idx="3">
                  <c:v>16.77394834437149</c:v>
                </c:pt>
                <c:pt idx="4">
                  <c:v>12.017688925647667</c:v>
                </c:pt>
                <c:pt idx="5">
                  <c:v>11.340925141093065</c:v>
                </c:pt>
              </c:numCache>
            </c:numRef>
          </c:val>
          <c:extLst>
            <c:ext xmlns:c16="http://schemas.microsoft.com/office/drawing/2014/chart" uri="{C3380CC4-5D6E-409C-BE32-E72D297353CC}">
              <c16:uniqueId val="{00000000-F1D9-4CD8-859C-AE744044CC8B}"/>
            </c:ext>
          </c:extLst>
        </c:ser>
        <c:ser>
          <c:idx val="1"/>
          <c:order val="1"/>
          <c:tx>
            <c:strRef>
              <c:f>'TABLE 96 (95)'!$A$11</c:f>
              <c:strCache>
                <c:ptCount val="1"/>
                <c:pt idx="0">
                  <c:v>SREB states</c:v>
                </c:pt>
              </c:strCache>
            </c:strRef>
          </c:tx>
          <c:spPr>
            <a:solidFill>
              <a:srgbClr val="990033"/>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(95)'!$C$11:$H$11</c:f>
              <c:numCache>
                <c:formatCode>#,##0.0</c:formatCode>
                <c:ptCount val="6"/>
                <c:pt idx="0">
                  <c:v>36.497482186315658</c:v>
                </c:pt>
                <c:pt idx="1">
                  <c:v>24.237764704404622</c:v>
                </c:pt>
                <c:pt idx="2">
                  <c:v>0</c:v>
                </c:pt>
                <c:pt idx="3">
                  <c:v>16.321701678946148</c:v>
                </c:pt>
                <c:pt idx="4">
                  <c:v>12.874929172456206</c:v>
                </c:pt>
                <c:pt idx="5">
                  <c:v>10.020952539946878</c:v>
                </c:pt>
              </c:numCache>
            </c:numRef>
          </c:val>
          <c:extLst>
            <c:ext xmlns:c16="http://schemas.microsoft.com/office/drawing/2014/chart" uri="{C3380CC4-5D6E-409C-BE32-E72D297353CC}">
              <c16:uniqueId val="{00000001-F1D9-4CD8-859C-AE744044CC8B}"/>
            </c:ext>
          </c:extLst>
        </c:ser>
        <c:ser>
          <c:idx val="2"/>
          <c:order val="2"/>
          <c:tx>
            <c:v>State</c:v>
          </c:tx>
          <c:spPr>
            <a:solidFill>
              <a:srgbClr val="006600"/>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(95)'!$C$8:$H$9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(95)'!$C$13:$H$13</c:f>
              <c:numCache>
                <c:formatCode>#,##0.0</c:formatCode>
                <c:ptCount val="6"/>
                <c:pt idx="0">
                  <c:v>42.279529844608248</c:v>
                </c:pt>
                <c:pt idx="1">
                  <c:v>22.799253859919787</c:v>
                </c:pt>
                <c:pt idx="2">
                  <c:v>0</c:v>
                </c:pt>
                <c:pt idx="3">
                  <c:v>17.421917331619031</c:v>
                </c:pt>
                <c:pt idx="4">
                  <c:v>8.4655614088234756</c:v>
                </c:pt>
                <c:pt idx="5">
                  <c:v>9.0337375550294539</c:v>
                </c:pt>
              </c:numCache>
            </c:numRef>
          </c:val>
          <c:extLst>
            <c:ext xmlns:c16="http://schemas.microsoft.com/office/drawing/2014/chart" uri="{C3380CC4-5D6E-409C-BE32-E72D297353CC}">
              <c16:uniqueId val="{00000002-F1D9-4CD8-859C-AE744044CC8B}"/>
            </c:ext>
          </c:extLst>
        </c:ser>
        <c:dLbls>
          <c:showLegendKey val="0"/>
          <c:showVal val="1"/>
          <c:showCatName val="0"/>
          <c:showSerName val="0"/>
          <c:showPercent val="0"/>
          <c:showBubbleSize val="0"/>
        </c:dLbls>
        <c:gapWidth val="150"/>
        <c:axId val="239198336"/>
        <c:axId val="239198720"/>
      </c:barChart>
      <c:catAx>
        <c:axId val="239198336"/>
        <c:scaling>
          <c:orientation val="minMax"/>
        </c:scaling>
        <c:delete val="0"/>
        <c:axPos val="b"/>
        <c:numFmt formatCode="General" sourceLinked="0"/>
        <c:majorTickMark val="out"/>
        <c:minorTickMark val="none"/>
        <c:tickLblPos val="nextTo"/>
        <c:txPr>
          <a:bodyPr/>
          <a:lstStyle/>
          <a:p>
            <a:pPr>
              <a:defRPr b="1"/>
            </a:pPr>
            <a:endParaRPr lang="en-US"/>
          </a:p>
        </c:txPr>
        <c:crossAx val="239198720"/>
        <c:crosses val="autoZero"/>
        <c:auto val="1"/>
        <c:lblAlgn val="ctr"/>
        <c:lblOffset val="100"/>
        <c:noMultiLvlLbl val="0"/>
      </c:catAx>
      <c:valAx>
        <c:axId val="239198720"/>
        <c:scaling>
          <c:orientation val="minMax"/>
        </c:scaling>
        <c:delete val="1"/>
        <c:axPos val="l"/>
        <c:numFmt formatCode="#,##0.0" sourceLinked="1"/>
        <c:majorTickMark val="out"/>
        <c:minorTickMark val="none"/>
        <c:tickLblPos val="none"/>
        <c:crossAx val="239198336"/>
        <c:crosses val="autoZero"/>
        <c:crossBetween val="between"/>
      </c:valAx>
    </c:plotArea>
    <c:legend>
      <c:legendPos val="r"/>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Percentage-Point Change 2005-06 to 2010-11</a:t>
            </a:r>
          </a:p>
        </c:rich>
      </c:tx>
      <c:overlay val="0"/>
    </c:title>
    <c:autoTitleDeleted val="0"/>
    <c:plotArea>
      <c:layout>
        <c:manualLayout>
          <c:layoutTarget val="inner"/>
          <c:xMode val="edge"/>
          <c:yMode val="edge"/>
          <c:x val="0.15116033158668776"/>
          <c:y val="0.18369214113888641"/>
          <c:w val="0.83261547773854139"/>
          <c:h val="0.79201636604793013"/>
        </c:manualLayout>
      </c:layout>
      <c:barChart>
        <c:barDir val="bar"/>
        <c:grouping val="clustered"/>
        <c:varyColors val="0"/>
        <c:ser>
          <c:idx val="0"/>
          <c:order val="0"/>
          <c:tx>
            <c:strRef>
              <c:f>'TABLE 96 (95)'!$A$10</c:f>
              <c:strCache>
                <c:ptCount val="1"/>
                <c:pt idx="0">
                  <c:v>50 states and D.C.</c:v>
                </c:pt>
              </c:strCache>
            </c:strRef>
          </c:tx>
          <c:spPr>
            <a:solidFill>
              <a:srgbClr val="003399"/>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(95)'!$I$10:$N$10</c:f>
              <c:numCache>
                <c:formatCode>#,##0.0</c:formatCode>
                <c:ptCount val="6"/>
                <c:pt idx="0">
                  <c:v>2.8096633815667431</c:v>
                </c:pt>
                <c:pt idx="1">
                  <c:v>8.2149631148777686</c:v>
                </c:pt>
                <c:pt idx="2">
                  <c:v>-0.13509164723774614</c:v>
                </c:pt>
                <c:pt idx="3" formatCode="#,##0.00">
                  <c:v>-1.332330882602303</c:v>
                </c:pt>
                <c:pt idx="4" formatCode="#,##0.00">
                  <c:v>-0.16968738683429763</c:v>
                </c:pt>
                <c:pt idx="5">
                  <c:v>-7.0424096499853617</c:v>
                </c:pt>
              </c:numCache>
            </c:numRef>
          </c:val>
          <c:extLst>
            <c:ext xmlns:c16="http://schemas.microsoft.com/office/drawing/2014/chart" uri="{C3380CC4-5D6E-409C-BE32-E72D297353CC}">
              <c16:uniqueId val="{00000000-9720-45BA-9D1F-10C982F1F92B}"/>
            </c:ext>
          </c:extLst>
        </c:ser>
        <c:ser>
          <c:idx val="1"/>
          <c:order val="1"/>
          <c:tx>
            <c:strRef>
              <c:f>'TABLE 96 (95)'!$A$11</c:f>
              <c:strCache>
                <c:ptCount val="1"/>
                <c:pt idx="0">
                  <c:v>SREB states</c:v>
                </c:pt>
              </c:strCache>
            </c:strRef>
          </c:tx>
          <c:spPr>
            <a:solidFill>
              <a:srgbClr val="990033"/>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(95)'!$I$11:$N$11</c:f>
              <c:numCache>
                <c:formatCode>#,##0.0</c:formatCode>
                <c:ptCount val="6"/>
                <c:pt idx="0">
                  <c:v>3.1260385762304352</c:v>
                </c:pt>
                <c:pt idx="1">
                  <c:v>-8.8457834048267365</c:v>
                </c:pt>
                <c:pt idx="2">
                  <c:v>-0.10177092694417886</c:v>
                </c:pt>
                <c:pt idx="3">
                  <c:v>-1.3171781754722396</c:v>
                </c:pt>
                <c:pt idx="4">
                  <c:v>0.26652206015500113</c:v>
                </c:pt>
                <c:pt idx="5">
                  <c:v>6.825002152927242</c:v>
                </c:pt>
              </c:numCache>
            </c:numRef>
          </c:val>
          <c:extLst>
            <c:ext xmlns:c16="http://schemas.microsoft.com/office/drawing/2014/chart" uri="{C3380CC4-5D6E-409C-BE32-E72D297353CC}">
              <c16:uniqueId val="{00000001-9720-45BA-9D1F-10C982F1F92B}"/>
            </c:ext>
          </c:extLst>
        </c:ser>
        <c:ser>
          <c:idx val="2"/>
          <c:order val="2"/>
          <c:tx>
            <c:v>State</c:v>
          </c:tx>
          <c:spPr>
            <a:solidFill>
              <a:srgbClr val="006600"/>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96 (95)'!$I$8:$N$9</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96 (95)'!$I$13:$N$13</c:f>
              <c:numCache>
                <c:formatCode>#,##0.0</c:formatCode>
                <c:ptCount val="6"/>
                <c:pt idx="0">
                  <c:v>12.132784487754822</c:v>
                </c:pt>
                <c:pt idx="1">
                  <c:v>-4.7013658975258217</c:v>
                </c:pt>
                <c:pt idx="2">
                  <c:v>-0.29304830376560637</c:v>
                </c:pt>
                <c:pt idx="3">
                  <c:v>-1.9719338091625076</c:v>
                </c:pt>
                <c:pt idx="4">
                  <c:v>-0.76224753677851886</c:v>
                </c:pt>
                <c:pt idx="5">
                  <c:v>-4.4041889405223742</c:v>
                </c:pt>
              </c:numCache>
            </c:numRef>
          </c:val>
          <c:extLst>
            <c:ext xmlns:c16="http://schemas.microsoft.com/office/drawing/2014/chart" uri="{C3380CC4-5D6E-409C-BE32-E72D297353CC}">
              <c16:uniqueId val="{00000002-9720-45BA-9D1F-10C982F1F92B}"/>
            </c:ext>
          </c:extLst>
        </c:ser>
        <c:dLbls>
          <c:showLegendKey val="0"/>
          <c:showVal val="1"/>
          <c:showCatName val="0"/>
          <c:showSerName val="0"/>
          <c:showPercent val="0"/>
          <c:showBubbleSize val="0"/>
        </c:dLbls>
        <c:gapWidth val="150"/>
        <c:overlap val="-25"/>
        <c:axId val="239171312"/>
        <c:axId val="240091856"/>
      </c:barChart>
      <c:catAx>
        <c:axId val="239171312"/>
        <c:scaling>
          <c:orientation val="maxMin"/>
        </c:scaling>
        <c:delete val="0"/>
        <c:axPos val="l"/>
        <c:numFmt formatCode="General" sourceLinked="0"/>
        <c:majorTickMark val="none"/>
        <c:minorTickMark val="none"/>
        <c:tickLblPos val="low"/>
        <c:txPr>
          <a:bodyPr/>
          <a:lstStyle/>
          <a:p>
            <a:pPr>
              <a:defRPr b="1"/>
            </a:pPr>
            <a:endParaRPr lang="en-US"/>
          </a:p>
        </c:txPr>
        <c:crossAx val="240091856"/>
        <c:crosses val="autoZero"/>
        <c:auto val="1"/>
        <c:lblAlgn val="ctr"/>
        <c:lblOffset val="100"/>
        <c:noMultiLvlLbl val="0"/>
      </c:catAx>
      <c:valAx>
        <c:axId val="240091856"/>
        <c:scaling>
          <c:orientation val="minMax"/>
        </c:scaling>
        <c:delete val="1"/>
        <c:axPos val="t"/>
        <c:numFmt formatCode="#,##0.0" sourceLinked="1"/>
        <c:majorTickMark val="out"/>
        <c:minorTickMark val="none"/>
        <c:tickLblPos val="none"/>
        <c:crossAx val="239171312"/>
        <c:crosses val="autoZero"/>
        <c:crossBetween val="between"/>
      </c:valAx>
    </c:plotArea>
    <c:legend>
      <c:legendPos val="t"/>
      <c:overlay val="0"/>
    </c:legend>
    <c:plotVisOnly val="1"/>
    <c:dispBlanksAs val="gap"/>
    <c:showDLblsOverMax val="0"/>
  </c:chart>
  <c:printSettings>
    <c:headerFooter/>
    <c:pageMargins b="0.75000000000000078" l="0.70000000000000062" r="0.70000000000000062" t="0.75000000000000078"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Percent Distribution of Revenues at Public Two-Year Colleges, 2010-11</a:t>
            </a:r>
          </a:p>
        </c:rich>
      </c:tx>
      <c:overlay val="0"/>
    </c:title>
    <c:autoTitleDeleted val="0"/>
    <c:plotArea>
      <c:layout/>
      <c:barChart>
        <c:barDir val="col"/>
        <c:grouping val="clustered"/>
        <c:varyColors val="0"/>
        <c:ser>
          <c:idx val="0"/>
          <c:order val="0"/>
          <c:tx>
            <c:strRef>
              <c:f>'TABLE 97 (96)'!$A$9</c:f>
              <c:strCache>
                <c:ptCount val="1"/>
                <c:pt idx="0">
                  <c:v>50 states and D.C.</c:v>
                </c:pt>
              </c:strCache>
            </c:strRef>
          </c:tx>
          <c:spPr>
            <a:solidFill>
              <a:srgbClr val="003399"/>
            </a:solidFill>
            <a:ln>
              <a:solidFill>
                <a:schemeClr val="tx1"/>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(96)'!$C$9:$H$9</c:f>
              <c:numCache>
                <c:formatCode>#,##0.0</c:formatCode>
                <c:ptCount val="6"/>
                <c:pt idx="0">
                  <c:v>28.921403855406712</c:v>
                </c:pt>
                <c:pt idx="1">
                  <c:v>24.795323418319345</c:v>
                </c:pt>
                <c:pt idx="2">
                  <c:v>14.093044062811295</c:v>
                </c:pt>
                <c:pt idx="3">
                  <c:v>22.602111777866373</c:v>
                </c:pt>
                <c:pt idx="4">
                  <c:v>6.3200073648242556</c:v>
                </c:pt>
                <c:pt idx="5">
                  <c:v>3.2681095207720099</c:v>
                </c:pt>
              </c:numCache>
            </c:numRef>
          </c:val>
          <c:extLst>
            <c:ext xmlns:c16="http://schemas.microsoft.com/office/drawing/2014/chart" uri="{C3380CC4-5D6E-409C-BE32-E72D297353CC}">
              <c16:uniqueId val="{00000000-CD99-4535-89E8-A38D6C9EDA79}"/>
            </c:ext>
          </c:extLst>
        </c:ser>
        <c:ser>
          <c:idx val="1"/>
          <c:order val="1"/>
          <c:tx>
            <c:strRef>
              <c:f>'TABLE 97 (96)'!$A$10</c:f>
              <c:strCache>
                <c:ptCount val="1"/>
                <c:pt idx="0">
                  <c:v>SREB states</c:v>
                </c:pt>
              </c:strCache>
            </c:strRef>
          </c:tx>
          <c:spPr>
            <a:solidFill>
              <a:srgbClr val="990033"/>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(96)'!$C$10:$H$10</c:f>
              <c:numCache>
                <c:formatCode>#,##0.0</c:formatCode>
                <c:ptCount val="6"/>
                <c:pt idx="0">
                  <c:v>29.723033118325464</c:v>
                </c:pt>
                <c:pt idx="1">
                  <c:v>27.051671783389363</c:v>
                </c:pt>
                <c:pt idx="2">
                  <c:v>11.15075009069696</c:v>
                </c:pt>
                <c:pt idx="3">
                  <c:v>25.404800704404014</c:v>
                </c:pt>
                <c:pt idx="4">
                  <c:v>4.7243385701954903</c:v>
                </c:pt>
                <c:pt idx="5">
                  <c:v>1.9454057329886956</c:v>
                </c:pt>
              </c:numCache>
            </c:numRef>
          </c:val>
          <c:extLst>
            <c:ext xmlns:c16="http://schemas.microsoft.com/office/drawing/2014/chart" uri="{C3380CC4-5D6E-409C-BE32-E72D297353CC}">
              <c16:uniqueId val="{00000001-CD99-4535-89E8-A38D6C9EDA79}"/>
            </c:ext>
          </c:extLst>
        </c:ser>
        <c:ser>
          <c:idx val="2"/>
          <c:order val="2"/>
          <c:tx>
            <c:v>State</c:v>
          </c:tx>
          <c:spPr>
            <a:solidFill>
              <a:srgbClr val="006600"/>
            </a:solidFill>
            <a:ln>
              <a:solidFill>
                <a:prstClr val="black"/>
              </a:solidFill>
            </a:ln>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(96)'!$C$7:$H$8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(96)'!$C$12:$H$12</c:f>
              <c:numCache>
                <c:formatCode>#,##0.0</c:formatCode>
                <c:ptCount val="6"/>
                <c:pt idx="0">
                  <c:v>32.80800389505692</c:v>
                </c:pt>
                <c:pt idx="1">
                  <c:v>32.027245901352373</c:v>
                </c:pt>
                <c:pt idx="2">
                  <c:v>0.22796668074822513</c:v>
                </c:pt>
                <c:pt idx="3">
                  <c:v>30.317474919704079</c:v>
                </c:pt>
                <c:pt idx="4">
                  <c:v>3.1644466624086922</c:v>
                </c:pt>
                <c:pt idx="5">
                  <c:v>1.4548619407296857</c:v>
                </c:pt>
              </c:numCache>
            </c:numRef>
          </c:val>
          <c:extLst>
            <c:ext xmlns:c16="http://schemas.microsoft.com/office/drawing/2014/chart" uri="{C3380CC4-5D6E-409C-BE32-E72D297353CC}">
              <c16:uniqueId val="{00000002-CD99-4535-89E8-A38D6C9EDA79}"/>
            </c:ext>
          </c:extLst>
        </c:ser>
        <c:dLbls>
          <c:showLegendKey val="0"/>
          <c:showVal val="1"/>
          <c:showCatName val="0"/>
          <c:showSerName val="0"/>
          <c:showPercent val="0"/>
          <c:showBubbleSize val="0"/>
        </c:dLbls>
        <c:gapWidth val="150"/>
        <c:overlap val="-25"/>
        <c:axId val="239545720"/>
        <c:axId val="240107464"/>
      </c:barChart>
      <c:catAx>
        <c:axId val="239545720"/>
        <c:scaling>
          <c:orientation val="minMax"/>
        </c:scaling>
        <c:delete val="0"/>
        <c:axPos val="b"/>
        <c:numFmt formatCode="General" sourceLinked="0"/>
        <c:majorTickMark val="none"/>
        <c:minorTickMark val="none"/>
        <c:tickLblPos val="nextTo"/>
        <c:txPr>
          <a:bodyPr/>
          <a:lstStyle/>
          <a:p>
            <a:pPr>
              <a:defRPr b="1"/>
            </a:pPr>
            <a:endParaRPr lang="en-US"/>
          </a:p>
        </c:txPr>
        <c:crossAx val="240107464"/>
        <c:crosses val="autoZero"/>
        <c:auto val="1"/>
        <c:lblAlgn val="ctr"/>
        <c:lblOffset val="100"/>
        <c:noMultiLvlLbl val="0"/>
      </c:catAx>
      <c:valAx>
        <c:axId val="240107464"/>
        <c:scaling>
          <c:orientation val="minMax"/>
        </c:scaling>
        <c:delete val="1"/>
        <c:axPos val="l"/>
        <c:numFmt formatCode="#,##0.0" sourceLinked="1"/>
        <c:majorTickMark val="out"/>
        <c:minorTickMark val="none"/>
        <c:tickLblPos val="none"/>
        <c:crossAx val="239545720"/>
        <c:crosses val="autoZero"/>
        <c:crossBetween val="between"/>
      </c:valAx>
    </c:plotArea>
    <c:legend>
      <c:legendPos val="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Percentage-Point Change 2005-06 to 2010-11</a:t>
            </a:r>
          </a:p>
        </c:rich>
      </c:tx>
      <c:layout>
        <c:manualLayout>
          <c:xMode val="edge"/>
          <c:yMode val="edge"/>
          <c:x val="0.25130528085212189"/>
          <c:y val="1.6194328542121512E-2"/>
        </c:manualLayout>
      </c:layout>
      <c:overlay val="0"/>
    </c:title>
    <c:autoTitleDeleted val="0"/>
    <c:plotArea>
      <c:layout>
        <c:manualLayout>
          <c:layoutTarget val="inner"/>
          <c:xMode val="edge"/>
          <c:yMode val="edge"/>
          <c:x val="0.15116033158668782"/>
          <c:y val="0.18369214113888641"/>
          <c:w val="0.83261547773854172"/>
          <c:h val="0.79201636604792969"/>
        </c:manualLayout>
      </c:layout>
      <c:barChart>
        <c:barDir val="bar"/>
        <c:grouping val="clustered"/>
        <c:varyColors val="0"/>
        <c:ser>
          <c:idx val="0"/>
          <c:order val="0"/>
          <c:tx>
            <c:strRef>
              <c:f>'TABLE 97 (96)'!$A$9</c:f>
              <c:strCache>
                <c:ptCount val="1"/>
                <c:pt idx="0">
                  <c:v>50 states and D.C.</c:v>
                </c:pt>
              </c:strCache>
            </c:strRef>
          </c:tx>
          <c:spPr>
            <a:solidFill>
              <a:srgbClr val="003399"/>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(96)'!$I$9:$N$9</c:f>
              <c:numCache>
                <c:formatCode>#,##0.0</c:formatCode>
                <c:ptCount val="6"/>
                <c:pt idx="0">
                  <c:v>4.067643093834409</c:v>
                </c:pt>
                <c:pt idx="1">
                  <c:v>-4.7133687642118822</c:v>
                </c:pt>
                <c:pt idx="2">
                  <c:v>-3.2597285912775007</c:v>
                </c:pt>
                <c:pt idx="3">
                  <c:v>5.8226817538782818</c:v>
                </c:pt>
                <c:pt idx="4">
                  <c:v>-1.3401911132963349</c:v>
                </c:pt>
                <c:pt idx="5">
                  <c:v>-0.57703637892699966</c:v>
                </c:pt>
              </c:numCache>
            </c:numRef>
          </c:val>
          <c:extLst>
            <c:ext xmlns:c16="http://schemas.microsoft.com/office/drawing/2014/chart" uri="{C3380CC4-5D6E-409C-BE32-E72D297353CC}">
              <c16:uniqueId val="{00000000-9E9B-44AE-875B-BC25571A20CD}"/>
            </c:ext>
          </c:extLst>
        </c:ser>
        <c:ser>
          <c:idx val="1"/>
          <c:order val="1"/>
          <c:tx>
            <c:strRef>
              <c:f>'TABLE 97 (96)'!$A$10</c:f>
              <c:strCache>
                <c:ptCount val="1"/>
                <c:pt idx="0">
                  <c:v>SREB states</c:v>
                </c:pt>
              </c:strCache>
            </c:strRef>
          </c:tx>
          <c:spPr>
            <a:solidFill>
              <a:srgbClr val="990033"/>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(96)'!$I$10:$N$10</c:f>
              <c:numCache>
                <c:formatCode>#,##0.0</c:formatCode>
                <c:ptCount val="6"/>
                <c:pt idx="0">
                  <c:v>3.4287439139645812</c:v>
                </c:pt>
                <c:pt idx="1">
                  <c:v>-6.7276784662994693</c:v>
                </c:pt>
                <c:pt idx="2">
                  <c:v>-0.44937694664715799</c:v>
                </c:pt>
                <c:pt idx="3">
                  <c:v>5.4693953942287976</c:v>
                </c:pt>
                <c:pt idx="4">
                  <c:v>-0.85858026753037375</c:v>
                </c:pt>
                <c:pt idx="5">
                  <c:v>-0.86250362771638223</c:v>
                </c:pt>
              </c:numCache>
            </c:numRef>
          </c:val>
          <c:extLst>
            <c:ext xmlns:c16="http://schemas.microsoft.com/office/drawing/2014/chart" uri="{C3380CC4-5D6E-409C-BE32-E72D297353CC}">
              <c16:uniqueId val="{00000001-9E9B-44AE-875B-BC25571A20CD}"/>
            </c:ext>
          </c:extLst>
        </c:ser>
        <c:ser>
          <c:idx val="2"/>
          <c:order val="2"/>
          <c:tx>
            <c:v>State</c:v>
          </c:tx>
          <c:spPr>
            <a:solidFill>
              <a:srgbClr val="006600"/>
            </a:solidFill>
            <a:ln>
              <a:solidFill>
                <a:prstClr val="black"/>
              </a:solidFill>
            </a:ln>
          </c:spPr>
          <c:invertIfNegative val="0"/>
          <c:dLbls>
            <c:spPr>
              <a:noFill/>
              <a:ln>
                <a:noFill/>
              </a:ln>
              <a:effectLst/>
            </c:spPr>
            <c:txPr>
              <a:bodyPr/>
              <a:lstStyle/>
              <a:p>
                <a:pPr>
                  <a:defRPr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multiLvlStrRef>
              <c:f>'TABLE 97 (96)'!$I$7:$N$8</c:f>
              <c:multiLvlStrCache>
                <c:ptCount val="6"/>
                <c:lvl>
                  <c:pt idx="0">
                    <c:v>Fees</c:v>
                  </c:pt>
                  <c:pt idx="1">
                    <c:v>State</c:v>
                  </c:pt>
                  <c:pt idx="2">
                    <c:v>Local</c:v>
                  </c:pt>
                  <c:pt idx="3">
                    <c:v>Federal </c:v>
                  </c:pt>
                  <c:pt idx="4">
                    <c:v>Other2</c:v>
                  </c:pt>
                  <c:pt idx="5">
                    <c:v>Other3</c:v>
                  </c:pt>
                </c:lvl>
                <c:lvl>
                  <c:pt idx="0">
                    <c:v>Tuition and</c:v>
                  </c:pt>
                  <c:pt idx="1">
                    <c:v>Appropriations</c:v>
                  </c:pt>
                  <c:pt idx="3">
                    <c:v>Contracts and Grants</c:v>
                  </c:pt>
                  <c:pt idx="5">
                    <c:v>All</c:v>
                  </c:pt>
                </c:lvl>
              </c:multiLvlStrCache>
            </c:multiLvlStrRef>
          </c:cat>
          <c:val>
            <c:numRef>
              <c:f>'TABLE 97 (96)'!$I$12:$N$12</c:f>
              <c:numCache>
                <c:formatCode>#,##0.0</c:formatCode>
                <c:ptCount val="6"/>
                <c:pt idx="0">
                  <c:v>6.57539917088409</c:v>
                </c:pt>
                <c:pt idx="1">
                  <c:v>-6.5029592112746784</c:v>
                </c:pt>
                <c:pt idx="2">
                  <c:v>6.6806856828882849E-2</c:v>
                </c:pt>
                <c:pt idx="3">
                  <c:v>1.0554222722065809</c:v>
                </c:pt>
                <c:pt idx="4">
                  <c:v>-0.34442248862068015</c:v>
                </c:pt>
                <c:pt idx="5">
                  <c:v>-0.85024660002421615</c:v>
                </c:pt>
              </c:numCache>
            </c:numRef>
          </c:val>
          <c:extLst>
            <c:ext xmlns:c16="http://schemas.microsoft.com/office/drawing/2014/chart" uri="{C3380CC4-5D6E-409C-BE32-E72D297353CC}">
              <c16:uniqueId val="{00000002-9E9B-44AE-875B-BC25571A20CD}"/>
            </c:ext>
          </c:extLst>
        </c:ser>
        <c:dLbls>
          <c:showLegendKey val="0"/>
          <c:showVal val="1"/>
          <c:showCatName val="0"/>
          <c:showSerName val="0"/>
          <c:showPercent val="0"/>
          <c:showBubbleSize val="0"/>
        </c:dLbls>
        <c:gapWidth val="150"/>
        <c:overlap val="-25"/>
        <c:axId val="239357328"/>
        <c:axId val="239526000"/>
      </c:barChart>
      <c:catAx>
        <c:axId val="239357328"/>
        <c:scaling>
          <c:orientation val="maxMin"/>
        </c:scaling>
        <c:delete val="0"/>
        <c:axPos val="l"/>
        <c:numFmt formatCode="General" sourceLinked="0"/>
        <c:majorTickMark val="none"/>
        <c:minorTickMark val="none"/>
        <c:tickLblPos val="low"/>
        <c:txPr>
          <a:bodyPr/>
          <a:lstStyle/>
          <a:p>
            <a:pPr>
              <a:defRPr b="1"/>
            </a:pPr>
            <a:endParaRPr lang="en-US"/>
          </a:p>
        </c:txPr>
        <c:crossAx val="239526000"/>
        <c:crosses val="autoZero"/>
        <c:auto val="1"/>
        <c:lblAlgn val="ctr"/>
        <c:lblOffset val="100"/>
        <c:noMultiLvlLbl val="0"/>
      </c:catAx>
      <c:valAx>
        <c:axId val="239526000"/>
        <c:scaling>
          <c:orientation val="minMax"/>
        </c:scaling>
        <c:delete val="1"/>
        <c:axPos val="t"/>
        <c:numFmt formatCode="#,##0.0" sourceLinked="1"/>
        <c:majorTickMark val="out"/>
        <c:minorTickMark val="none"/>
        <c:tickLblPos val="none"/>
        <c:crossAx val="239357328"/>
        <c:crosses val="autoZero"/>
        <c:crossBetween val="between"/>
      </c:valAx>
    </c:plotArea>
    <c:legend>
      <c:legendPos val="t"/>
      <c:overlay val="0"/>
    </c:legend>
    <c:plotVisOnly val="1"/>
    <c:dispBlanksAs val="gap"/>
    <c:showDLblsOverMax val="0"/>
  </c:chart>
  <c:printSettings>
    <c:headerFooter/>
    <c:pageMargins b="0.750000000000001" l="0.70000000000000062" r="0.70000000000000062" t="0.750000000000001" header="0.30000000000000032" footer="0.30000000000000032"/>
    <c:pageSetup/>
  </c:printSettings>
</c:chartSpac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xdr:from>
      <xdr:col>31</xdr:col>
      <xdr:colOff>38099</xdr:colOff>
      <xdr:row>0</xdr:row>
      <xdr:rowOff>142875</xdr:rowOff>
    </xdr:from>
    <xdr:to>
      <xdr:col>44</xdr:col>
      <xdr:colOff>219075</xdr:colOff>
      <xdr:row>27</xdr:row>
      <xdr:rowOff>123825</xdr:rowOff>
    </xdr:to>
    <xdr:graphicFrame macro="">
      <xdr:nvGraphicFramePr>
        <xdr:cNvPr id="2" name="Chart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38100</xdr:colOff>
      <xdr:row>29</xdr:row>
      <xdr:rowOff>95249</xdr:rowOff>
    </xdr:from>
    <xdr:to>
      <xdr:col>44</xdr:col>
      <xdr:colOff>228599</xdr:colOff>
      <xdr:row>58</xdr:row>
      <xdr:rowOff>104775</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276225</xdr:colOff>
      <xdr:row>1</xdr:row>
      <xdr:rowOff>19050</xdr:rowOff>
    </xdr:from>
    <xdr:to>
      <xdr:col>47</xdr:col>
      <xdr:colOff>590550</xdr:colOff>
      <xdr:row>11</xdr:row>
      <xdr:rowOff>52915</xdr:rowOff>
    </xdr:to>
    <xdr:sp macro="" textlink="">
      <xdr:nvSpPr>
        <xdr:cNvPr id="4" name="Oval Callout 3">
          <a:extLst>
            <a:ext uri="{FF2B5EF4-FFF2-40B4-BE49-F238E27FC236}">
              <a16:creationId xmlns:a16="http://schemas.microsoft.com/office/drawing/2014/main" id="{00000000-0008-0000-0000-000004000000}"/>
            </a:ext>
          </a:extLst>
        </xdr:cNvPr>
        <xdr:cNvSpPr/>
      </xdr:nvSpPr>
      <xdr:spPr>
        <a:xfrm>
          <a:off x="24574500" y="180975"/>
          <a:ext cx="1609725" cy="1853140"/>
        </a:xfrm>
        <a:prstGeom prst="wedgeEllipseCallout">
          <a:avLst>
            <a:gd name="adj1" fmla="val -333881"/>
            <a:gd name="adj2" fmla="val 72688"/>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state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31</xdr:col>
      <xdr:colOff>352425</xdr:colOff>
      <xdr:row>2</xdr:row>
      <xdr:rowOff>38100</xdr:rowOff>
    </xdr:from>
    <xdr:to>
      <xdr:col>44</xdr:col>
      <xdr:colOff>533401</xdr:colOff>
      <xdr:row>30</xdr:row>
      <xdr:rowOff>38100</xdr:rowOff>
    </xdr:to>
    <xdr:graphicFrame macro="">
      <xdr:nvGraphicFramePr>
        <xdr:cNvPr id="2" name="Chart 1">
          <a:extLst>
            <a:ext uri="{FF2B5EF4-FFF2-40B4-BE49-F238E27FC236}">
              <a16:creationId xmlns:a16="http://schemas.microsoft.com/office/drawing/2014/main" id="{00000000-0008-0000-0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31</xdr:col>
      <xdr:colOff>361950</xdr:colOff>
      <xdr:row>32</xdr:row>
      <xdr:rowOff>142875</xdr:rowOff>
    </xdr:from>
    <xdr:to>
      <xdr:col>44</xdr:col>
      <xdr:colOff>552449</xdr:colOff>
      <xdr:row>61</xdr:row>
      <xdr:rowOff>152401</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45</xdr:col>
      <xdr:colOff>228600</xdr:colOff>
      <xdr:row>1</xdr:row>
      <xdr:rowOff>76200</xdr:rowOff>
    </xdr:from>
    <xdr:to>
      <xdr:col>47</xdr:col>
      <xdr:colOff>542925</xdr:colOff>
      <xdr:row>11</xdr:row>
      <xdr:rowOff>110065</xdr:rowOff>
    </xdr:to>
    <xdr:sp macro="" textlink="">
      <xdr:nvSpPr>
        <xdr:cNvPr id="4" name="Oval Callout 3">
          <a:extLst>
            <a:ext uri="{FF2B5EF4-FFF2-40B4-BE49-F238E27FC236}">
              <a16:creationId xmlns:a16="http://schemas.microsoft.com/office/drawing/2014/main" id="{00000000-0008-0000-0100-000004000000}"/>
            </a:ext>
          </a:extLst>
        </xdr:cNvPr>
        <xdr:cNvSpPr/>
      </xdr:nvSpPr>
      <xdr:spPr>
        <a:xfrm>
          <a:off x="24669750" y="238125"/>
          <a:ext cx="1609725" cy="1853140"/>
        </a:xfrm>
        <a:prstGeom prst="wedgeEllipseCallout">
          <a:avLst>
            <a:gd name="adj1" fmla="val -261692"/>
            <a:gd name="adj2" fmla="val 70632"/>
          </a:avLst>
        </a:prstGeom>
        <a:solidFill>
          <a:schemeClr val="accent1">
            <a:alpha val="43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en-US" sz="1000" b="1">
              <a:solidFill>
                <a:srgbClr val="C00000"/>
              </a:solidFill>
              <a:latin typeface="Arial" pitchFamily="34" charset="0"/>
              <a:cs typeface="Arial" pitchFamily="34" charset="0"/>
            </a:rPr>
            <a:t>Click</a:t>
          </a:r>
          <a:r>
            <a:rPr lang="en-US" sz="1000" b="1" baseline="0">
              <a:solidFill>
                <a:srgbClr val="C00000"/>
              </a:solidFill>
              <a:latin typeface="Arial" pitchFamily="34" charset="0"/>
              <a:cs typeface="Arial" pitchFamily="34" charset="0"/>
            </a:rPr>
            <a:t> on a state bar to see state highlighted to left.  Move highlight box from state to state to change view.</a:t>
          </a:r>
          <a:endParaRPr lang="en-US" sz="1000" b="1">
            <a:solidFill>
              <a:srgbClr val="C00000"/>
            </a:solidFill>
            <a:latin typeface="Arial" pitchFamily="34" charset="0"/>
            <a:cs typeface="Arial" pitchFamily="34" charset="0"/>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2.vml"/></Relationships>
</file>

<file path=xl/worksheets/_rels/sheet14.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3.vml"/></Relationships>
</file>

<file path=xl/worksheets/_rels/sheet15.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4.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15.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16.vml"/></Relationships>
</file>

<file path=xl/worksheets/_rels/sheet18.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17.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
    <tabColor rgb="FFFF0000"/>
  </sheetPr>
  <dimension ref="A1:AF77"/>
  <sheetViews>
    <sheetView showGridLines="0" tabSelected="1" view="pageBreakPreview" zoomScale="90" zoomScaleNormal="100" zoomScaleSheetLayoutView="90" workbookViewId="0">
      <selection activeCell="T18" sqref="T18"/>
    </sheetView>
  </sheetViews>
  <sheetFormatPr defaultColWidth="9.7109375" defaultRowHeight="12.75"/>
  <cols>
    <col min="1" max="1" width="10" style="11" customWidth="1"/>
    <col min="2" max="2" width="6.42578125" style="11" customWidth="1"/>
    <col min="3" max="3" width="8.85546875" style="22" customWidth="1"/>
    <col min="4" max="5" width="8.7109375" style="11" customWidth="1"/>
    <col min="6" max="7" width="9.7109375" style="11" customWidth="1"/>
    <col min="8" max="10" width="8.7109375" style="11" customWidth="1"/>
    <col min="11" max="11" width="10" style="11" customWidth="1"/>
    <col min="12" max="12" width="10.7109375" style="11" customWidth="1"/>
    <col min="13" max="13" width="8.7109375" style="11" customWidth="1"/>
    <col min="14" max="14" width="8.5703125" style="11" customWidth="1"/>
    <col min="15" max="15" width="6.140625" style="11" customWidth="1"/>
    <col min="16" max="16" width="8.7109375" style="45" customWidth="1"/>
    <col min="17" max="17" width="7.7109375" style="11" customWidth="1"/>
    <col min="18" max="18" width="10.140625" style="11" bestFit="1" customWidth="1"/>
    <col min="19" max="21" width="9.7109375" style="11"/>
    <col min="22" max="22" width="4" style="11" customWidth="1"/>
    <col min="27" max="31" width="9.7109375" style="179"/>
  </cols>
  <sheetData>
    <row r="1" spans="1:32">
      <c r="A1" s="7" t="s">
        <v>161</v>
      </c>
      <c r="B1" s="7"/>
      <c r="C1" s="5"/>
      <c r="D1" s="5"/>
      <c r="E1" s="5"/>
      <c r="F1" s="5"/>
      <c r="G1" s="5"/>
      <c r="I1" s="5"/>
      <c r="J1" s="5"/>
      <c r="K1" s="5"/>
      <c r="L1" s="5"/>
      <c r="M1" s="5"/>
      <c r="N1" s="5"/>
      <c r="O1" s="15"/>
      <c r="Q1" s="12"/>
      <c r="R1" s="13"/>
      <c r="S1" s="13"/>
      <c r="T1" s="13"/>
    </row>
    <row r="2" spans="1:32">
      <c r="A2" s="7"/>
      <c r="B2" s="7"/>
      <c r="C2" s="3"/>
      <c r="D2" s="3"/>
      <c r="E2" s="3"/>
      <c r="F2" s="3"/>
      <c r="G2" s="3"/>
      <c r="I2" s="5"/>
      <c r="J2" s="5"/>
      <c r="K2" s="5"/>
      <c r="L2" s="5"/>
      <c r="M2" s="5"/>
      <c r="N2" s="5"/>
      <c r="O2" s="37"/>
      <c r="Q2" s="12"/>
      <c r="R2" s="13"/>
      <c r="S2" s="13"/>
      <c r="T2" s="13"/>
    </row>
    <row r="3" spans="1:32" ht="14.25">
      <c r="A3" s="7" t="s">
        <v>152</v>
      </c>
      <c r="B3" s="7"/>
      <c r="C3" s="3"/>
      <c r="D3" s="3"/>
      <c r="E3" s="3"/>
      <c r="F3" s="3"/>
      <c r="G3" s="3"/>
      <c r="H3" s="3"/>
      <c r="I3" s="5"/>
      <c r="J3" s="5"/>
      <c r="K3" s="5"/>
      <c r="L3" s="5"/>
      <c r="M3" s="5"/>
      <c r="N3" s="5"/>
      <c r="O3" s="12"/>
      <c r="P3" s="20"/>
      <c r="Q3" s="12"/>
      <c r="R3" s="13"/>
      <c r="S3" s="13"/>
      <c r="T3" s="13"/>
    </row>
    <row r="4" spans="1:32">
      <c r="A4" s="7" t="s">
        <v>64</v>
      </c>
      <c r="B4" s="7"/>
      <c r="C4" s="3"/>
      <c r="D4" s="3"/>
      <c r="E4" s="3"/>
      <c r="F4" s="3"/>
      <c r="G4" s="3"/>
      <c r="H4" s="3"/>
      <c r="I4" s="5"/>
      <c r="J4" s="5"/>
      <c r="K4" s="5"/>
      <c r="L4" s="5"/>
      <c r="M4" s="5"/>
      <c r="N4" s="5"/>
      <c r="O4" s="12"/>
      <c r="P4" s="20"/>
      <c r="Q4" s="12"/>
      <c r="R4" s="13"/>
      <c r="S4" s="13"/>
      <c r="T4" s="13"/>
    </row>
    <row r="5" spans="1:32">
      <c r="A5" s="3"/>
      <c r="B5" s="3"/>
      <c r="C5" s="3"/>
      <c r="D5" s="3"/>
      <c r="E5" s="3"/>
      <c r="F5" s="3"/>
      <c r="G5" s="43"/>
      <c r="H5" s="3"/>
      <c r="I5" s="3"/>
      <c r="J5" s="3"/>
      <c r="K5" s="3"/>
      <c r="L5" s="3"/>
      <c r="M5" s="3"/>
      <c r="N5" s="3"/>
      <c r="O5" s="12"/>
      <c r="W5" s="20"/>
      <c r="X5" s="12"/>
      <c r="Y5" s="1"/>
      <c r="Z5" s="1"/>
      <c r="AA5" s="1"/>
      <c r="AB5" s="1"/>
      <c r="AC5" s="1"/>
      <c r="AD5" s="1"/>
      <c r="AE5" s="1"/>
      <c r="AF5" s="1"/>
    </row>
    <row r="6" spans="1:32">
      <c r="A6" s="8"/>
      <c r="B6" s="8"/>
      <c r="C6" s="2" t="s">
        <v>163</v>
      </c>
      <c r="D6" s="2"/>
      <c r="E6" s="2"/>
      <c r="F6" s="136"/>
      <c r="G6" s="2"/>
      <c r="H6" s="2"/>
      <c r="I6" s="125" t="s">
        <v>166</v>
      </c>
      <c r="J6" s="2"/>
      <c r="K6" s="2"/>
      <c r="L6" s="2"/>
      <c r="M6" s="2"/>
      <c r="N6" s="2"/>
      <c r="O6" s="76"/>
      <c r="P6" s="136" t="s">
        <v>165</v>
      </c>
      <c r="Q6" s="136"/>
      <c r="R6" s="136"/>
      <c r="S6" s="203"/>
      <c r="T6" s="136"/>
      <c r="U6" s="136"/>
      <c r="V6" s="46"/>
      <c r="W6" s="46"/>
      <c r="X6" s="12"/>
      <c r="Y6" s="3"/>
      <c r="Z6" s="3"/>
      <c r="AA6" s="3"/>
      <c r="AB6" s="3"/>
      <c r="AC6" s="3"/>
      <c r="AD6" s="3"/>
      <c r="AE6" s="3"/>
      <c r="AF6" s="3"/>
    </row>
    <row r="7" spans="1:32">
      <c r="A7" s="9"/>
      <c r="B7" s="9"/>
      <c r="C7" s="167"/>
      <c r="D7" s="28"/>
      <c r="E7" s="29"/>
      <c r="F7" s="125"/>
      <c r="G7" s="29"/>
      <c r="H7" s="28"/>
      <c r="I7" s="169"/>
      <c r="J7" s="28"/>
      <c r="K7" s="29"/>
      <c r="L7" s="125"/>
      <c r="M7" s="29"/>
      <c r="N7" s="28"/>
      <c r="O7" s="77"/>
      <c r="P7" s="137" t="s">
        <v>52</v>
      </c>
      <c r="Q7" s="138"/>
      <c r="R7" s="139"/>
      <c r="S7" s="136"/>
      <c r="T7" s="139"/>
      <c r="U7" s="140"/>
      <c r="V7" s="20"/>
      <c r="W7" s="20"/>
      <c r="X7" s="12"/>
      <c r="Y7" s="3"/>
      <c r="Z7" s="3"/>
      <c r="AA7" s="3"/>
      <c r="AB7" s="3"/>
      <c r="AC7" s="3"/>
      <c r="AD7" s="3"/>
      <c r="AE7" s="3"/>
      <c r="AF7" s="3"/>
    </row>
    <row r="8" spans="1:32" ht="25.5">
      <c r="A8" s="9"/>
      <c r="B8" s="9"/>
      <c r="C8" s="168" t="s">
        <v>151</v>
      </c>
      <c r="D8" s="48" t="s">
        <v>23</v>
      </c>
      <c r="E8" s="49"/>
      <c r="F8" s="126" t="s">
        <v>65</v>
      </c>
      <c r="G8" s="71"/>
      <c r="H8" s="30" t="s">
        <v>54</v>
      </c>
      <c r="I8" s="170" t="s">
        <v>151</v>
      </c>
      <c r="J8" s="48" t="s">
        <v>23</v>
      </c>
      <c r="K8" s="49"/>
      <c r="L8" s="126" t="s">
        <v>65</v>
      </c>
      <c r="M8" s="71"/>
      <c r="N8" s="30" t="s">
        <v>54</v>
      </c>
      <c r="O8" s="77"/>
      <c r="P8" s="47" t="s">
        <v>27</v>
      </c>
      <c r="Q8" s="127" t="s">
        <v>23</v>
      </c>
      <c r="R8" s="141"/>
      <c r="S8" s="19" t="s">
        <v>65</v>
      </c>
      <c r="T8" s="142"/>
      <c r="U8" s="143" t="s">
        <v>54</v>
      </c>
      <c r="V8" s="143"/>
      <c r="W8" s="180" t="s">
        <v>82</v>
      </c>
      <c r="X8" s="181"/>
      <c r="Y8" s="186" t="s">
        <v>105</v>
      </c>
      <c r="Z8" s="187"/>
      <c r="AA8" s="186" t="s">
        <v>65</v>
      </c>
      <c r="AB8" s="187"/>
      <c r="AC8" s="180" t="s">
        <v>82</v>
      </c>
      <c r="AD8" s="181"/>
      <c r="AE8" s="3"/>
      <c r="AF8" s="3"/>
    </row>
    <row r="9" spans="1:32" ht="14.25">
      <c r="A9" s="10"/>
      <c r="B9" s="10"/>
      <c r="C9" s="233" t="s">
        <v>55</v>
      </c>
      <c r="D9" s="205" t="s">
        <v>56</v>
      </c>
      <c r="E9" s="206" t="s">
        <v>57</v>
      </c>
      <c r="F9" s="205" t="s">
        <v>58</v>
      </c>
      <c r="G9" s="207" t="s">
        <v>62</v>
      </c>
      <c r="H9" s="208" t="s">
        <v>99</v>
      </c>
      <c r="I9" s="209" t="s">
        <v>55</v>
      </c>
      <c r="J9" s="205" t="s">
        <v>56</v>
      </c>
      <c r="K9" s="206" t="s">
        <v>57</v>
      </c>
      <c r="L9" s="205" t="s">
        <v>58</v>
      </c>
      <c r="M9" s="207" t="s">
        <v>62</v>
      </c>
      <c r="N9" s="208" t="s">
        <v>99</v>
      </c>
      <c r="O9" s="76"/>
      <c r="P9" s="221" t="s">
        <v>55</v>
      </c>
      <c r="Q9" s="219" t="s">
        <v>56</v>
      </c>
      <c r="R9" s="220" t="s">
        <v>57</v>
      </c>
      <c r="S9" s="223" t="s">
        <v>58</v>
      </c>
      <c r="T9" s="221" t="s">
        <v>62</v>
      </c>
      <c r="U9" s="222" t="s">
        <v>99</v>
      </c>
      <c r="V9" s="47"/>
      <c r="W9" s="211" t="s">
        <v>165</v>
      </c>
      <c r="X9" s="212" t="s">
        <v>163</v>
      </c>
      <c r="Y9" s="211" t="s">
        <v>165</v>
      </c>
      <c r="Z9" s="212" t="s">
        <v>163</v>
      </c>
      <c r="AA9" s="211" t="s">
        <v>165</v>
      </c>
      <c r="AB9" s="212" t="s">
        <v>163</v>
      </c>
      <c r="AC9" s="211" t="s">
        <v>165</v>
      </c>
      <c r="AD9" s="212" t="s">
        <v>163</v>
      </c>
      <c r="AE9" s="36"/>
      <c r="AF9" s="3"/>
    </row>
    <row r="10" spans="1:32">
      <c r="A10" s="116" t="s">
        <v>142</v>
      </c>
      <c r="B10" s="116"/>
      <c r="C10" s="135">
        <f>('Tuition-4Yr'!AF4/'Total E&amp;G-4yr'!AF4)*100</f>
        <v>37.596668221600915</v>
      </c>
      <c r="D10" s="144">
        <f>('State Appropriations-4Yr'!AF4)/('Total E&amp;G-4yr'!AF4)*100</f>
        <v>22.175564541831996</v>
      </c>
      <c r="E10" s="178">
        <f>IF((('Local Appropriations-4Yr'!AF4/'Total E&amp;G-4yr'!AF4)*100)=0,(('Local Appropriations-4Yr'!AF4/'Total E&amp;G-4yr'!AF4)*100),IF((('Local Appropriations-4Yr'!AF4/'Total E&amp;G-4yr'!AF4)*100)&gt;=0.05,('Local Appropriations-4Yr'!AF4/'Total E&amp;G-4yr'!AF4)*100,"*"))</f>
        <v>9.5204825454859462E-2</v>
      </c>
      <c r="F10" s="144">
        <f>('Fed Contracts Grnts-4Yr'!AF4)/('Total E&amp;G-4yr'!AF4)*100</f>
        <v>16.77394834437149</v>
      </c>
      <c r="G10" s="135">
        <f>('Other Contract Grnts-4Yr'!AF4)/('Total E&amp;G-4yr'!AF4)*100</f>
        <v>12.017688925647667</v>
      </c>
      <c r="H10" s="144">
        <f>('All Other E&amp;G-4Yr'!AF4+'Investment Income-4Yr'!AF4)/('Total E&amp;G-4yr'!AF4)*100</f>
        <v>11.340925141093065</v>
      </c>
      <c r="I10" s="144">
        <f t="shared" ref="I10:N11" si="0">IF((C10-P10)=0,(C10-P10),IF((C10-P10)&gt;=0.05,(C10-P10),IF((C10-P10&lt;=-0.05),(C10-P10),"*")))</f>
        <v>2.8096633815667431</v>
      </c>
      <c r="J10" s="144">
        <f>+Q10-D10</f>
        <v>8.2149631148777686</v>
      </c>
      <c r="K10" s="178">
        <f t="shared" ref="K10:K69" si="1">IF((E10-R10)=0,(E10-R10),IF((E10-R10)&gt;=0.05,(E10-R10),IF((E10-R10&lt;=-0.05),(E10-R10),"*")))</f>
        <v>-0.13509164723774614</v>
      </c>
      <c r="L10" s="224">
        <f t="shared" si="0"/>
        <v>-1.332330882602303</v>
      </c>
      <c r="M10" s="225">
        <f t="shared" si="0"/>
        <v>-0.16968738683429763</v>
      </c>
      <c r="N10" s="144">
        <f>+U10-H10</f>
        <v>-7.0424096499853617</v>
      </c>
      <c r="O10" s="15"/>
      <c r="P10" s="39">
        <f>('Tuition-4Yr'!AA4/'Total E&amp;G-4yr'!AA4)*100</f>
        <v>34.787004840034172</v>
      </c>
      <c r="Q10" s="40">
        <f>('State Appropriations-4Yr'!AA4/'Total E&amp;G-4yr'!AA4)*100</f>
        <v>30.390527656709764</v>
      </c>
      <c r="R10" s="41">
        <f>IF((('Local Appropriations-4Yr'!AA4/'Total E&amp;G-4yr'!AA4)*100)=0,(('Local Appropriations-4Yr'!AA4/'Total E&amp;G-4yr'!AA4)*100),IF((('Local Appropriations-4Yr'!AA4/'Total E&amp;G-4yr'!AA4)*100)&gt;=0.05,(('Local Appropriations-4Yr'!AA4/'Total E&amp;G-4yr'!AA4)*100),"*"))</f>
        <v>0.23029647269260561</v>
      </c>
      <c r="S10" s="42">
        <f>('Fed Contracts Grnts-4Yr'!AA4/'Total E&amp;G-4yr'!AA4)*100</f>
        <v>18.106279226973793</v>
      </c>
      <c r="T10" s="41">
        <f>('Other Contract Grnts-4Yr'!AA4/'Total E&amp;G-4yr'!AA4)*100</f>
        <v>12.187376312481964</v>
      </c>
      <c r="U10" s="42">
        <f>(('All Other E&amp;G-4Yr'!AA4+'Investment Income-4Yr'!AA4)/('Total E&amp;G-4yr'!AA4))*100</f>
        <v>4.298515491107703</v>
      </c>
      <c r="V10" s="42"/>
      <c r="W10" s="182">
        <f>SUM(P10:U10)</f>
        <v>100</v>
      </c>
      <c r="X10" s="183">
        <f>SUM(C10:H10)</f>
        <v>99.999999999999986</v>
      </c>
      <c r="Y10" s="188">
        <f>+Q10+R10</f>
        <v>30.620824129402369</v>
      </c>
      <c r="Z10" s="189">
        <f>+D10+E10</f>
        <v>22.270769367286857</v>
      </c>
      <c r="AA10" s="192">
        <f>+S10+T10</f>
        <v>30.293655539455756</v>
      </c>
      <c r="AB10" s="193">
        <f>+F10+G10</f>
        <v>28.791637270019159</v>
      </c>
      <c r="AC10" s="43">
        <f>+AA10+Y10++U10+P10</f>
        <v>100</v>
      </c>
      <c r="AD10" s="43">
        <f>+AB10+Z10+H10+C10</f>
        <v>100</v>
      </c>
      <c r="AE10" s="43"/>
      <c r="AF10" s="1"/>
    </row>
    <row r="11" spans="1:32">
      <c r="A11" s="117" t="s">
        <v>61</v>
      </c>
      <c r="B11" s="117"/>
      <c r="C11" s="128">
        <f>('Tuition-4Yr'!AF5/'Total E&amp;G-4yr'!AF5)*100</f>
        <v>36.497482186315658</v>
      </c>
      <c r="D11" s="145">
        <f>('State Appropriations-4Yr'!AF5)/('Total E&amp;G-4yr'!AF5)*100</f>
        <v>24.237764704404622</v>
      </c>
      <c r="E11" s="128" t="str">
        <f>IF((('Local Appropriations-4Yr'!AF5/'Total E&amp;G-4yr'!AF5)*100)=0,(('Local Appropriations-4Yr'!AF5/'Total E&amp;G-4yr'!AF5)*100),IF((('Local Appropriations-4Yr'!AF5/'Total E&amp;G-4yr'!AF5)*100)&gt;=0.05,('Local Appropriations-4Yr'!AF5/'Total E&amp;G-4yr'!AF5)*100,"*"))</f>
        <v>*</v>
      </c>
      <c r="F11" s="145">
        <f>('Fed Contracts Grnts-4Yr'!AF5)/('Total E&amp;G-4yr'!AF5)*100</f>
        <v>16.321701678946148</v>
      </c>
      <c r="G11" s="128">
        <f>('Other Contract Grnts-4Yr'!AF5)/('Total E&amp;G-4yr'!AF5)*100</f>
        <v>12.874929172456206</v>
      </c>
      <c r="H11" s="145">
        <f>('All Other E&amp;G-4Yr'!AF5+'Investment Income-4Yr'!AF5)/('Total E&amp;G-4yr'!AF5)*100</f>
        <v>10.020952539946878</v>
      </c>
      <c r="I11" s="145">
        <f t="shared" si="0"/>
        <v>3.1260385762304352</v>
      </c>
      <c r="J11" s="145">
        <f t="shared" si="0"/>
        <v>-8.8457834048267365</v>
      </c>
      <c r="K11" s="128">
        <f t="shared" si="1"/>
        <v>-0.10177092694417886</v>
      </c>
      <c r="L11" s="145">
        <f t="shared" si="0"/>
        <v>-1.3171781754722396</v>
      </c>
      <c r="M11" s="128">
        <f t="shared" si="0"/>
        <v>0.26652206015500113</v>
      </c>
      <c r="N11" s="145">
        <f t="shared" si="0"/>
        <v>6.825002152927242</v>
      </c>
      <c r="O11" s="15"/>
      <c r="P11" s="39">
        <f>('Tuition-4Yr'!AA5/'Total E&amp;G-4yr'!AA5)*100</f>
        <v>33.371443610085223</v>
      </c>
      <c r="Q11" s="40">
        <f>('State Appropriations-4Yr'!AA5/'Total E&amp;G-4yr'!AA5)*100</f>
        <v>33.083548109231359</v>
      </c>
      <c r="R11" s="41">
        <f>IF((('Local Appropriations-4Yr'!AA5/'Total E&amp;G-4yr'!AA5)*100)=0,(('Local Appropriations-4Yr'!AA5/'Total E&amp;G-4yr'!AA5)*100),IF((('Local Appropriations-4Yr'!AA5/'Total E&amp;G-4yr'!AA5)*100)&gt;=0.05,(('Local Appropriations-4Yr'!AA5/'Total E&amp;G-4yr'!AA5)*100),"*"))</f>
        <v>0.10177092694417886</v>
      </c>
      <c r="S11" s="42">
        <f>('Fed Contracts Grnts-4Yr'!AA5/'Total E&amp;G-4yr'!AA5)*100</f>
        <v>17.638879854418388</v>
      </c>
      <c r="T11" s="41">
        <f>('Other Contract Grnts-4Yr'!AA5/'Total E&amp;G-4yr'!AA5)*100</f>
        <v>12.608407112301204</v>
      </c>
      <c r="U11" s="42">
        <f>(('All Other E&amp;G-4Yr'!AA5+'Investment Income-4Yr'!AA5)/('Total E&amp;G-4yr'!AA5))*100</f>
        <v>3.1959503870196353</v>
      </c>
      <c r="V11" s="42"/>
      <c r="W11" s="182">
        <f>SUM(P11:U11)</f>
        <v>100</v>
      </c>
      <c r="X11" s="183">
        <f>SUM(C11:H11)</f>
        <v>99.952830282069499</v>
      </c>
      <c r="Y11" s="188">
        <f t="shared" ref="Y11:Y69" si="2">+Q11+R11</f>
        <v>33.185319036175535</v>
      </c>
      <c r="Z11" s="189">
        <f t="shared" ref="Z11:Z69" si="3">+D11+E11</f>
        <v>24.237764704404622</v>
      </c>
      <c r="AA11" s="188">
        <f t="shared" ref="AA11:AA69" si="4">+S11+T11</f>
        <v>30.247286966719592</v>
      </c>
      <c r="AB11" s="189">
        <f t="shared" ref="AB11:AB69" si="5">+F11+G11</f>
        <v>29.196630851402354</v>
      </c>
      <c r="AC11" s="43">
        <f t="shared" ref="AC11:AC69" si="6">+AA11+Y11++U11+P11</f>
        <v>99.999999999999986</v>
      </c>
      <c r="AD11" s="43">
        <f t="shared" ref="AD11:AD69" si="7">+AB11+Z11+H11+C11</f>
        <v>99.952830282069499</v>
      </c>
      <c r="AE11" s="43"/>
      <c r="AF11" s="1"/>
    </row>
    <row r="12" spans="1:32" s="11" customFormat="1">
      <c r="A12" s="117"/>
      <c r="B12" s="117"/>
      <c r="C12" s="128"/>
      <c r="D12" s="145"/>
      <c r="E12" s="128"/>
      <c r="F12" s="145"/>
      <c r="G12" s="128"/>
      <c r="H12" s="145"/>
      <c r="I12" s="145"/>
      <c r="J12" s="145"/>
      <c r="K12" s="128">
        <f t="shared" si="1"/>
        <v>0</v>
      </c>
      <c r="L12" s="145"/>
      <c r="M12" s="128"/>
      <c r="N12" s="145"/>
      <c r="O12" s="15"/>
      <c r="P12" s="39"/>
      <c r="Q12" s="40"/>
      <c r="R12" s="41"/>
      <c r="S12" s="42"/>
      <c r="T12" s="41"/>
      <c r="U12" s="42"/>
      <c r="V12" s="42"/>
      <c r="W12" s="182"/>
      <c r="X12" s="183"/>
      <c r="Y12" s="188"/>
      <c r="Z12" s="189"/>
      <c r="AA12" s="188"/>
      <c r="AB12" s="189"/>
      <c r="AC12" s="43"/>
      <c r="AD12" s="43"/>
      <c r="AE12" s="43"/>
      <c r="AF12" s="13"/>
    </row>
    <row r="13" spans="1:32">
      <c r="A13" s="118" t="s">
        <v>1</v>
      </c>
      <c r="B13" s="118"/>
      <c r="C13" s="129">
        <f>('Tuition-4Yr'!AF7/'Total E&amp;G-4yr'!AF7)*100</f>
        <v>42.279529844608248</v>
      </c>
      <c r="D13" s="146">
        <f>('State Appropriations-4Yr'!AF7)/('Total E&amp;G-4yr'!AF7)*100</f>
        <v>22.799253859919787</v>
      </c>
      <c r="E13" s="129">
        <f>IF((('Local Appropriations-4Yr'!AF7/'Total E&amp;G-4yr'!AF7)*100)=0,(('Local Appropriations-4Yr'!AF7/'Total E&amp;G-4yr'!AF7)*100),IF((('Local Appropriations-4Yr'!AF7/'Total E&amp;G-4yr'!AF7)*100)&gt;=0.05,('Local Appropriations-4Yr'!AF7/'Total E&amp;G-4yr'!AF7)*100,"*"))</f>
        <v>0</v>
      </c>
      <c r="F13" s="146">
        <f>('Fed Contracts Grnts-4Yr'!AF7)/('Total E&amp;G-4yr'!AF7)*100</f>
        <v>17.421917331619031</v>
      </c>
      <c r="G13" s="129">
        <f>('Other Contract Grnts-4Yr'!AF7)/('Total E&amp;G-4yr'!AF7)*100</f>
        <v>8.4655614088234756</v>
      </c>
      <c r="H13" s="146">
        <f>('All Other E&amp;G-4Yr'!AF7+'Investment Income-4Yr'!AF7)/('Total E&amp;G-4yr'!AF7)*100</f>
        <v>9.0337375550294539</v>
      </c>
      <c r="I13" s="146">
        <f t="shared" ref="I13:I29" si="8">IF((C13-P13)=0,(C13-P13),IF((C13-P13)&gt;=0.05,(C13-P13),IF((C13-P13&lt;=-0.05),(C13-P13),"*")))</f>
        <v>12.132784487754822</v>
      </c>
      <c r="J13" s="146">
        <f t="shared" ref="J13:J29" si="9">IF((D13-Q13)=0,(D13-Q13),IF((D13-Q13)&gt;=0.05,(D13-Q13),IF((D13-Q13&lt;=-0.05),(D13-Q13),"*")))</f>
        <v>-4.7013658975258217</v>
      </c>
      <c r="K13" s="129">
        <f t="shared" si="1"/>
        <v>-0.29304830376560637</v>
      </c>
      <c r="L13" s="146">
        <f t="shared" ref="L13:L29" si="10">IF((F13-S13)=0,(F13-S13),IF((F13-S13)&gt;=0.05,(F13-S13),IF((F13-S13&lt;=-0.05),(F13-S13),"*")))</f>
        <v>-1.9719338091625076</v>
      </c>
      <c r="M13" s="129">
        <f t="shared" ref="M13:M29" si="11">IF((G13-T13)=0,(G13-T13),IF((G13-T13)&gt;=0.05,(G13-T13),IF((G13-T13&lt;=-0.05),(G13-T13),"*")))</f>
        <v>-0.76224753677851886</v>
      </c>
      <c r="N13" s="146">
        <f t="shared" ref="N13:N29" si="12">IF((H13-U13)=0,(H13-U13),IF((H13-U13)&gt;=0.05,(H13-U13),IF((H13-U13&lt;=-0.05),(H13-U13),"*")))</f>
        <v>-4.4041889405223742</v>
      </c>
      <c r="O13" s="15"/>
      <c r="P13" s="39">
        <f>('Tuition-4Yr'!AA7/'Total E&amp;G-4yr'!AA7)*100</f>
        <v>30.146745356853426</v>
      </c>
      <c r="Q13" s="40">
        <f>('State Appropriations-4Yr'!AA7/'Total E&amp;G-4yr'!AA7)*100</f>
        <v>27.500619757445609</v>
      </c>
      <c r="R13" s="41">
        <f>IF((('Local Appropriations-4Yr'!AA7/'Total E&amp;G-4yr'!AA7)*100)=0,(('Local Appropriations-4Yr'!AA7/'Total E&amp;G-4yr'!AA7)*100),IF((('Local Appropriations-4Yr'!AA7/'Total E&amp;G-4yr'!AA7)*100)&gt;=0.05,(('Local Appropriations-4Yr'!AA7/'Total E&amp;G-4yr'!AA7)*100),"*"))</f>
        <v>0.29304830376560637</v>
      </c>
      <c r="S13" s="42">
        <f>('Fed Contracts Grnts-4Yr'!AA7/'Total E&amp;G-4yr'!AA7)*100</f>
        <v>19.393851140781539</v>
      </c>
      <c r="T13" s="41">
        <f>('Other Contract Grnts-4Yr'!AA7/'Total E&amp;G-4yr'!AA7)*100</f>
        <v>9.2278089456019945</v>
      </c>
      <c r="U13" s="42">
        <f>(('All Other E&amp;G-4Yr'!AA7+'Investment Income-4Yr'!AA7)/('Total E&amp;G-4yr'!AA7))*100</f>
        <v>13.437926495551828</v>
      </c>
      <c r="W13" s="182">
        <f t="shared" ref="W13:W29" si="13">SUM(P13:U13)</f>
        <v>100</v>
      </c>
      <c r="X13" s="183">
        <f t="shared" ref="X13:X29" si="14">SUM(C13:H13)</f>
        <v>100</v>
      </c>
      <c r="Y13" s="188">
        <f t="shared" si="2"/>
        <v>27.793668061211214</v>
      </c>
      <c r="Z13" s="189">
        <f t="shared" si="3"/>
        <v>22.799253859919787</v>
      </c>
      <c r="AA13" s="188">
        <f t="shared" si="4"/>
        <v>28.621660086383535</v>
      </c>
      <c r="AB13" s="189">
        <f t="shared" si="5"/>
        <v>25.887478740442507</v>
      </c>
      <c r="AC13" s="43">
        <f t="shared" si="6"/>
        <v>100.00000000000001</v>
      </c>
      <c r="AD13" s="43">
        <f t="shared" si="7"/>
        <v>100</v>
      </c>
      <c r="AE13" s="43"/>
      <c r="AF13" s="1"/>
    </row>
    <row r="14" spans="1:32">
      <c r="A14" s="118" t="s">
        <v>2</v>
      </c>
      <c r="B14" s="118"/>
      <c r="C14" s="129">
        <f>('Tuition-4Yr'!AF8/'Total E&amp;G-4yr'!AF8)*100</f>
        <v>32.711573858428018</v>
      </c>
      <c r="D14" s="146">
        <f>('State Appropriations-4Yr'!AF8)/('Total E&amp;G-4yr'!AF8)*100</f>
        <v>28.637963764790118</v>
      </c>
      <c r="E14" s="129">
        <f>IF((('Local Appropriations-4Yr'!AF8/'Total E&amp;G-4yr'!AF8)*100)=0,(('Local Appropriations-4Yr'!AF8/'Total E&amp;G-4yr'!AF8)*100),IF((('Local Appropriations-4Yr'!AF8/'Total E&amp;G-4yr'!AF8)*100)&gt;=0.05,('Local Appropriations-4Yr'!AF8/'Total E&amp;G-4yr'!AF8)*100,"*"))</f>
        <v>0.27109923241720901</v>
      </c>
      <c r="F14" s="146">
        <f>('Fed Contracts Grnts-4Yr'!AF8)/('Total E&amp;G-4yr'!AF8)*100</f>
        <v>16.082143289671524</v>
      </c>
      <c r="G14" s="129">
        <f>('Other Contract Grnts-4Yr'!AF8)/('Total E&amp;G-4yr'!AF8)*100</f>
        <v>18.032589432824327</v>
      </c>
      <c r="H14" s="146">
        <f>('All Other E&amp;G-4Yr'!AF8+'Investment Income-4Yr'!AF8)/('Total E&amp;G-4yr'!AF8)*100</f>
        <v>4.264630421868814</v>
      </c>
      <c r="I14" s="146">
        <f t="shared" si="8"/>
        <v>0.64996687339746728</v>
      </c>
      <c r="J14" s="146">
        <f t="shared" si="9"/>
        <v>-8.464012932933894</v>
      </c>
      <c r="K14" s="129">
        <f t="shared" si="1"/>
        <v>-0.13587660105814736</v>
      </c>
      <c r="L14" s="146">
        <f t="shared" si="10"/>
        <v>1.7253604198539669</v>
      </c>
      <c r="M14" s="129">
        <f t="shared" si="11"/>
        <v>7.326611493031491</v>
      </c>
      <c r="N14" s="146">
        <f t="shared" si="12"/>
        <v>-1.1020492522908842</v>
      </c>
      <c r="O14" s="15"/>
      <c r="P14" s="39">
        <f>('Tuition-4Yr'!AA8/'Total E&amp;G-4yr'!AA8)*100</f>
        <v>32.061606985030551</v>
      </c>
      <c r="Q14" s="40">
        <f>('State Appropriations-4Yr'!AA8/'Total E&amp;G-4yr'!AA8)*100</f>
        <v>37.101976697724012</v>
      </c>
      <c r="R14" s="41">
        <f>IF((('Local Appropriations-4Yr'!AA8/'Total E&amp;G-4yr'!AA8)*100)=0,(('Local Appropriations-4Yr'!AA8/'Total E&amp;G-4yr'!AA8)*100),IF((('Local Appropriations-4Yr'!AA8/'Total E&amp;G-4yr'!AA8)*100)&gt;=0.05,(('Local Appropriations-4Yr'!AA8/'Total E&amp;G-4yr'!AA8)*100),"*"))</f>
        <v>0.40697583347535637</v>
      </c>
      <c r="S14" s="42">
        <f>('Fed Contracts Grnts-4Yr'!AA8/'Total E&amp;G-4yr'!AA8)*100</f>
        <v>14.356782869817557</v>
      </c>
      <c r="T14" s="41">
        <f>('Other Contract Grnts-4Yr'!AA8/'Total E&amp;G-4yr'!AA8)*100</f>
        <v>10.705977939792836</v>
      </c>
      <c r="U14" s="42">
        <f>(('All Other E&amp;G-4Yr'!AA8+'Investment Income-4Yr'!AA8)/('Total E&amp;G-4yr'!AA8))*100</f>
        <v>5.3666796741596983</v>
      </c>
      <c r="V14" s="42"/>
      <c r="W14" s="182">
        <f t="shared" si="13"/>
        <v>100.00000000000001</v>
      </c>
      <c r="X14" s="183">
        <f t="shared" si="14"/>
        <v>100.00000000000001</v>
      </c>
      <c r="Y14" s="188">
        <f t="shared" si="2"/>
        <v>37.50895253119937</v>
      </c>
      <c r="Z14" s="189">
        <f t="shared" si="3"/>
        <v>28.909062997207329</v>
      </c>
      <c r="AA14" s="188">
        <f t="shared" si="4"/>
        <v>25.062760809610396</v>
      </c>
      <c r="AB14" s="189">
        <f t="shared" si="5"/>
        <v>34.114732722495852</v>
      </c>
      <c r="AC14" s="43">
        <f t="shared" si="6"/>
        <v>100.00000000000001</v>
      </c>
      <c r="AD14" s="43">
        <f t="shared" si="7"/>
        <v>100</v>
      </c>
      <c r="AE14" s="43"/>
      <c r="AF14" s="1"/>
    </row>
    <row r="15" spans="1:32">
      <c r="A15" s="118" t="s">
        <v>60</v>
      </c>
      <c r="B15" s="118"/>
      <c r="C15" s="129">
        <f>('Tuition-4Yr'!AF9/'Total E&amp;G-4yr'!AF9)*100</f>
        <v>46.519632767282324</v>
      </c>
      <c r="D15" s="146">
        <f>('State Appropriations-4Yr'!AF9)/('Total E&amp;G-4yr'!AF9)*100</f>
        <v>13.161848949346519</v>
      </c>
      <c r="E15" s="129">
        <f>IF((('Local Appropriations-4Yr'!AF9/'Total E&amp;G-4yr'!AF9)*100)=0,(('Local Appropriations-4Yr'!AF9/'Total E&amp;G-4yr'!AF9)*100),IF((('Local Appropriations-4Yr'!AF9/'Total E&amp;G-4yr'!AF9)*100)&gt;=0.05,('Local Appropriations-4Yr'!AF9/'Total E&amp;G-4yr'!AF9)*100,"*"))</f>
        <v>0</v>
      </c>
      <c r="F15" s="146">
        <f>('Fed Contracts Grnts-4Yr'!AF9)/('Total E&amp;G-4yr'!AF9)*100</f>
        <v>11.380152392470592</v>
      </c>
      <c r="G15" s="129">
        <f>('Other Contract Grnts-4Yr'!AF9)/('Total E&amp;G-4yr'!AF9)*100</f>
        <v>8.4729389482740665</v>
      </c>
      <c r="H15" s="146">
        <f>('All Other E&amp;G-4Yr'!AF9+'Investment Income-4Yr'!AF9)/('Total E&amp;G-4yr'!AF9)*100</f>
        <v>20.4654269426265</v>
      </c>
      <c r="I15" s="146">
        <f t="shared" si="8"/>
        <v>-33.478869852561495</v>
      </c>
      <c r="J15" s="146">
        <f t="shared" si="9"/>
        <v>-22.266981224112129</v>
      </c>
      <c r="K15" s="129">
        <f t="shared" si="1"/>
        <v>0</v>
      </c>
      <c r="L15" s="146">
        <f t="shared" si="10"/>
        <v>-13.669274798020101</v>
      </c>
      <c r="M15" s="129">
        <f t="shared" si="11"/>
        <v>-7.1035197760336537</v>
      </c>
      <c r="N15" s="146">
        <f t="shared" si="12"/>
        <v>76.518645650727393</v>
      </c>
      <c r="O15" s="15"/>
      <c r="P15" s="39">
        <f>('Tuition-4Yr'!AA9/'Total E&amp;G-4yr'!AA9)*100</f>
        <v>79.998502619843819</v>
      </c>
      <c r="Q15" s="40">
        <f>('State Appropriations-4Yr'!AA9/'Total E&amp;G-4yr'!AA9)*100</f>
        <v>35.42883017345865</v>
      </c>
      <c r="R15" s="41">
        <f>IF((('Local Appropriations-4Yr'!AA9/'Total E&amp;G-4yr'!AA9)*100)=0,(('Local Appropriations-4Yr'!AA9/'Total E&amp;G-4yr'!AA9)*100),IF((('Local Appropriations-4Yr'!AA9/'Total E&amp;G-4yr'!AA9)*100)&gt;=0.05,(('Local Appropriations-4Yr'!AA9/'Total E&amp;G-4yr'!AA9)*100),"*"))</f>
        <v>0</v>
      </c>
      <c r="S15" s="42">
        <f>('Fed Contracts Grnts-4Yr'!AA9/'Total E&amp;G-4yr'!AA9)*100</f>
        <v>25.049427190490693</v>
      </c>
      <c r="T15" s="41">
        <f>('Other Contract Grnts-4Yr'!AA9/'Total E&amp;G-4yr'!AA9)*100</f>
        <v>15.57645872430772</v>
      </c>
      <c r="U15" s="42">
        <f>(('All Other E&amp;G-4Yr'!AA9+'Investment Income-4Yr'!AA9)/('Total E&amp;G-4yr'!AA9))*100</f>
        <v>-56.053218708100886</v>
      </c>
      <c r="V15" s="42"/>
      <c r="W15" s="182">
        <f t="shared" si="13"/>
        <v>99.999999999999986</v>
      </c>
      <c r="X15" s="183">
        <f t="shared" si="14"/>
        <v>100</v>
      </c>
      <c r="Y15" s="188">
        <f t="shared" si="2"/>
        <v>35.42883017345865</v>
      </c>
      <c r="Z15" s="189">
        <f t="shared" si="3"/>
        <v>13.161848949346519</v>
      </c>
      <c r="AA15" s="188">
        <f t="shared" si="4"/>
        <v>40.625885914798417</v>
      </c>
      <c r="AB15" s="189">
        <f t="shared" si="5"/>
        <v>19.853091340744658</v>
      </c>
      <c r="AC15" s="43">
        <f t="shared" si="6"/>
        <v>100</v>
      </c>
      <c r="AD15" s="43">
        <f t="shared" si="7"/>
        <v>100</v>
      </c>
      <c r="AE15" s="43"/>
      <c r="AF15" s="1"/>
    </row>
    <row r="16" spans="1:32">
      <c r="A16" s="118" t="s">
        <v>3</v>
      </c>
      <c r="B16" s="118"/>
      <c r="C16" s="129">
        <f>('Tuition-4Yr'!AF10/'Total E&amp;G-4yr'!AF10)*100</f>
        <v>32.135202959421711</v>
      </c>
      <c r="D16" s="146">
        <f>('State Appropriations-4Yr'!AF10)/('Total E&amp;G-4yr'!AF10)*100</f>
        <v>28.359230867878939</v>
      </c>
      <c r="E16" s="129">
        <f>IF((('Local Appropriations-4Yr'!AF10/'Total E&amp;G-4yr'!AF10)*100)=0,(('Local Appropriations-4Yr'!AF10/'Total E&amp;G-4yr'!AF10)*100),IF((('Local Appropriations-4Yr'!AF10/'Total E&amp;G-4yr'!AF10)*100)&gt;=0.05,('Local Appropriations-4Yr'!AF10/'Total E&amp;G-4yr'!AF10)*100,"*"))</f>
        <v>0</v>
      </c>
      <c r="F16" s="146">
        <f>('Fed Contracts Grnts-4Yr'!AF10)/('Total E&amp;G-4yr'!AF10)*100</f>
        <v>17.576757550490438</v>
      </c>
      <c r="G16" s="129">
        <f>('Other Contract Grnts-4Yr'!AF10)/('Total E&amp;G-4yr'!AF10)*100</f>
        <v>17.791507713232573</v>
      </c>
      <c r="H16" s="146">
        <f>('All Other E&amp;G-4Yr'!AF10+'Investment Income-4Yr'!AF10)/('Total E&amp;G-4yr'!AF10)*100</f>
        <v>4.1373009089763402</v>
      </c>
      <c r="I16" s="146">
        <f t="shared" si="8"/>
        <v>8.2339343327130514</v>
      </c>
      <c r="J16" s="146">
        <f t="shared" si="9"/>
        <v>-7.9657391408686955</v>
      </c>
      <c r="K16" s="129">
        <f t="shared" si="1"/>
        <v>0</v>
      </c>
      <c r="L16" s="146">
        <f t="shared" si="10"/>
        <v>-0.31033800848430815</v>
      </c>
      <c r="M16" s="129">
        <f t="shared" si="11"/>
        <v>0.29357638262553465</v>
      </c>
      <c r="N16" s="146">
        <f t="shared" si="12"/>
        <v>-0.25143356598557443</v>
      </c>
      <c r="O16" s="15"/>
      <c r="P16" s="39">
        <f>('Tuition-4Yr'!AA10/'Total E&amp;G-4yr'!AA10)*100</f>
        <v>23.90126862670866</v>
      </c>
      <c r="Q16" s="40">
        <f>('State Appropriations-4Yr'!AA10/'Total E&amp;G-4yr'!AA10)*100</f>
        <v>36.324970008747634</v>
      </c>
      <c r="R16" s="41">
        <f>IF((('Local Appropriations-4Yr'!AA10/'Total E&amp;G-4yr'!AA10)*100)=0,(('Local Appropriations-4Yr'!AA10/'Total E&amp;G-4yr'!AA10)*100),IF((('Local Appropriations-4Yr'!AA10/'Total E&amp;G-4yr'!AA10)*100)&gt;=0.05,(('Local Appropriations-4Yr'!AA10/'Total E&amp;G-4yr'!AA10)*100),"*"))</f>
        <v>0</v>
      </c>
      <c r="S16" s="42">
        <f>('Fed Contracts Grnts-4Yr'!AA10/'Total E&amp;G-4yr'!AA10)*100</f>
        <v>17.887095558974746</v>
      </c>
      <c r="T16" s="41">
        <f>('Other Contract Grnts-4Yr'!AA10/'Total E&amp;G-4yr'!AA10)*100</f>
        <v>17.497931330607038</v>
      </c>
      <c r="U16" s="42">
        <f>(('All Other E&amp;G-4Yr'!AA10+'Investment Income-4Yr'!AA10)/('Total E&amp;G-4yr'!AA10))*100</f>
        <v>4.3887344749619146</v>
      </c>
      <c r="V16" s="42"/>
      <c r="W16" s="182">
        <f t="shared" si="13"/>
        <v>100</v>
      </c>
      <c r="X16" s="183">
        <f t="shared" si="14"/>
        <v>100.00000000000001</v>
      </c>
      <c r="Y16" s="188">
        <f t="shared" si="2"/>
        <v>36.324970008747634</v>
      </c>
      <c r="Z16" s="189">
        <f t="shared" si="3"/>
        <v>28.359230867878939</v>
      </c>
      <c r="AA16" s="188">
        <f t="shared" si="4"/>
        <v>35.385026889581781</v>
      </c>
      <c r="AB16" s="189">
        <f t="shared" si="5"/>
        <v>35.368265263723011</v>
      </c>
      <c r="AC16" s="43">
        <f t="shared" si="6"/>
        <v>100</v>
      </c>
      <c r="AD16" s="43">
        <f t="shared" si="7"/>
        <v>100</v>
      </c>
      <c r="AE16" s="43"/>
      <c r="AF16" s="1"/>
    </row>
    <row r="17" spans="1:32">
      <c r="A17" s="119" t="s">
        <v>4</v>
      </c>
      <c r="B17" s="119"/>
      <c r="C17" s="128">
        <f>('Tuition-4Yr'!AF11/'Total E&amp;G-4yr'!AF11)*100</f>
        <v>36.863471352307201</v>
      </c>
      <c r="D17" s="145">
        <f>('State Appropriations-4Yr'!AF11)/('Total E&amp;G-4yr'!AF11)*100</f>
        <v>27.639001587355949</v>
      </c>
      <c r="E17" s="128">
        <f>IF((('Local Appropriations-4Yr'!AF11/'Total E&amp;G-4yr'!AF11)*100)=0,(('Local Appropriations-4Yr'!AF11/'Total E&amp;G-4yr'!AF11)*100),IF((('Local Appropriations-4Yr'!AF11/'Total E&amp;G-4yr'!AF11)*100)&gt;=0.05,('Local Appropriations-4Yr'!AF11/'Total E&amp;G-4yr'!AF11)*100,"*"))</f>
        <v>0</v>
      </c>
      <c r="F17" s="145">
        <f>('Fed Contracts Grnts-4Yr'!AF11)/('Total E&amp;G-4yr'!AF11)*100</f>
        <v>21.111033271355673</v>
      </c>
      <c r="G17" s="128">
        <f>('Other Contract Grnts-4Yr'!AF11)/('Total E&amp;G-4yr'!AF11)*100</f>
        <v>11.709624341243854</v>
      </c>
      <c r="H17" s="145">
        <f>('All Other E&amp;G-4Yr'!AF11+'Investment Income-4Yr'!AF11)/('Total E&amp;G-4yr'!AF11)*100</f>
        <v>2.6768694477373187</v>
      </c>
      <c r="I17" s="147">
        <f t="shared" si="8"/>
        <v>7.5637992993629588</v>
      </c>
      <c r="J17" s="147">
        <f t="shared" si="9"/>
        <v>-10.276186474509437</v>
      </c>
      <c r="K17" s="130">
        <f t="shared" si="1"/>
        <v>0</v>
      </c>
      <c r="L17" s="147">
        <f t="shared" si="10"/>
        <v>2.798096973360348</v>
      </c>
      <c r="M17" s="130">
        <f t="shared" si="11"/>
        <v>0.30401819188298518</v>
      </c>
      <c r="N17" s="147">
        <f t="shared" si="12"/>
        <v>-0.38972799009687131</v>
      </c>
      <c r="O17" s="15"/>
      <c r="P17" s="39">
        <f>('Tuition-4Yr'!AA11/'Total E&amp;G-4yr'!AA11)*100</f>
        <v>29.299672052944242</v>
      </c>
      <c r="Q17" s="40">
        <f>('State Appropriations-4Yr'!AA11/'Total E&amp;G-4yr'!AA11)*100</f>
        <v>37.915188061865386</v>
      </c>
      <c r="R17" s="41">
        <f>IF((('Local Appropriations-4Yr'!AA11/'Total E&amp;G-4yr'!AA11)*100)=0,(('Local Appropriations-4Yr'!AA11/'Total E&amp;G-4yr'!AA11)*100),IF((('Local Appropriations-4Yr'!AA11/'Total E&amp;G-4yr'!AA11)*100)&gt;=0.05,(('Local Appropriations-4Yr'!AA11/'Total E&amp;G-4yr'!AA11)*100),"*"))</f>
        <v>0</v>
      </c>
      <c r="S17" s="42">
        <f>('Fed Contracts Grnts-4Yr'!AA11/'Total E&amp;G-4yr'!AA11)*100</f>
        <v>18.312936297995325</v>
      </c>
      <c r="T17" s="41">
        <f>('Other Contract Grnts-4Yr'!AA11/'Total E&amp;G-4yr'!AA11)*100</f>
        <v>11.405606149360869</v>
      </c>
      <c r="U17" s="42">
        <f>(('All Other E&amp;G-4Yr'!AA11+'Investment Income-4Yr'!AA11)/('Total E&amp;G-4yr'!AA11))*100</f>
        <v>3.06659743783419</v>
      </c>
      <c r="V17" s="42"/>
      <c r="W17" s="182">
        <f t="shared" si="13"/>
        <v>100</v>
      </c>
      <c r="X17" s="183">
        <f t="shared" si="14"/>
        <v>100</v>
      </c>
      <c r="Y17" s="188">
        <f t="shared" si="2"/>
        <v>37.915188061865386</v>
      </c>
      <c r="Z17" s="189">
        <f t="shared" si="3"/>
        <v>27.639001587355949</v>
      </c>
      <c r="AA17" s="188">
        <f t="shared" si="4"/>
        <v>29.718542447356192</v>
      </c>
      <c r="AB17" s="189">
        <f t="shared" si="5"/>
        <v>32.820657612599526</v>
      </c>
      <c r="AC17" s="43">
        <f t="shared" si="6"/>
        <v>100.00000000000001</v>
      </c>
      <c r="AD17" s="43">
        <f t="shared" si="7"/>
        <v>100</v>
      </c>
      <c r="AE17" s="43"/>
      <c r="AF17" s="1"/>
    </row>
    <row r="18" spans="1:32">
      <c r="A18" s="119" t="s">
        <v>5</v>
      </c>
      <c r="B18" s="119"/>
      <c r="C18" s="128">
        <f>('Tuition-4Yr'!AF12/'Total E&amp;G-4yr'!AF12)*100</f>
        <v>41.343543127912071</v>
      </c>
      <c r="D18" s="145">
        <f>('State Appropriations-4Yr'!AF12)/('Total E&amp;G-4yr'!AF12)*100</f>
        <v>22.678109399212378</v>
      </c>
      <c r="E18" s="128">
        <f>IF((('Local Appropriations-4Yr'!AF12/'Total E&amp;G-4yr'!AF12)*100)=0,(('Local Appropriations-4Yr'!AF12/'Total E&amp;G-4yr'!AF12)*100),IF((('Local Appropriations-4Yr'!AF12/'Total E&amp;G-4yr'!AF12)*100)&gt;=0.05,('Local Appropriations-4Yr'!AF12/'Total E&amp;G-4yr'!AF12)*100,"*"))</f>
        <v>0.63032437764209637</v>
      </c>
      <c r="F18" s="145">
        <f>('Fed Contracts Grnts-4Yr'!AF12)/('Total E&amp;G-4yr'!AF12)*100</f>
        <v>16.018533492113676</v>
      </c>
      <c r="G18" s="128">
        <f>('Other Contract Grnts-4Yr'!AF12)/('Total E&amp;G-4yr'!AF12)*100</f>
        <v>10.66857414861634</v>
      </c>
      <c r="H18" s="145">
        <f>('All Other E&amp;G-4Yr'!AF12+'Investment Income-4Yr'!AF12)/('Total E&amp;G-4yr'!AF12)*100</f>
        <v>8.6609154545034386</v>
      </c>
      <c r="I18" s="147">
        <f t="shared" si="8"/>
        <v>4.7624468417042394</v>
      </c>
      <c r="J18" s="147">
        <f t="shared" si="9"/>
        <v>-8.2190114396815694</v>
      </c>
      <c r="K18" s="130">
        <f t="shared" ref="K18" si="15">IF((E18-R18)=0,(E18-R18),IF((E18-R18)&gt;=0.05,(E18-R18),IF((E18-R18&lt;=-0.05),(E18-R18),"*")))</f>
        <v>8.1278503385274981E-2</v>
      </c>
      <c r="L18" s="147">
        <f t="shared" si="10"/>
        <v>-2.6960133362961507</v>
      </c>
      <c r="M18" s="130">
        <f t="shared" si="11"/>
        <v>-2.6422890816051243</v>
      </c>
      <c r="N18" s="147">
        <f t="shared" si="12"/>
        <v>8.713588512493331</v>
      </c>
      <c r="O18" s="15"/>
      <c r="P18" s="39">
        <f>('Tuition-4Yr'!AA12/'Total E&amp;G-4yr'!AA12)*100</f>
        <v>36.581096286207831</v>
      </c>
      <c r="Q18" s="40">
        <f>('State Appropriations-4Yr'!AA12/'Total E&amp;G-4yr'!AA12)*100</f>
        <v>30.897120838893947</v>
      </c>
      <c r="R18" s="41">
        <f>IF((('Local Appropriations-4Yr'!AA12/'Total E&amp;G-4yr'!AA12)*100)=0,(('Local Appropriations-4Yr'!AA12/'Total E&amp;G-4yr'!AA12)*100),IF((('Local Appropriations-4Yr'!AA12/'Total E&amp;G-4yr'!AA12)*100)&gt;=0.05,(('Local Appropriations-4Yr'!AA12/'Total E&amp;G-4yr'!AA12)*100),"*"))</f>
        <v>0.54904587425682139</v>
      </c>
      <c r="S18" s="42">
        <f>('Fed Contracts Grnts-4Yr'!AA12/'Total E&amp;G-4yr'!AA12)*100</f>
        <v>18.714546828409826</v>
      </c>
      <c r="T18" s="41">
        <f>('Other Contract Grnts-4Yr'!AA12/'Total E&amp;G-4yr'!AA12)*100</f>
        <v>13.310863230221464</v>
      </c>
      <c r="U18" s="42">
        <f>(('All Other E&amp;G-4Yr'!AA12+'Investment Income-4Yr'!AA12)/('Total E&amp;G-4yr'!AA12))*100</f>
        <v>-5.267305798989317E-2</v>
      </c>
      <c r="V18" s="42"/>
      <c r="W18" s="182">
        <f t="shared" si="13"/>
        <v>100</v>
      </c>
      <c r="X18" s="183">
        <f t="shared" si="14"/>
        <v>100</v>
      </c>
      <c r="Y18" s="188">
        <f t="shared" si="2"/>
        <v>31.44616671315077</v>
      </c>
      <c r="Z18" s="189">
        <f t="shared" si="3"/>
        <v>23.308433776854475</v>
      </c>
      <c r="AA18" s="188">
        <f t="shared" si="4"/>
        <v>32.025410058631294</v>
      </c>
      <c r="AB18" s="189">
        <f t="shared" si="5"/>
        <v>26.687107640730016</v>
      </c>
      <c r="AC18" s="43">
        <f t="shared" si="6"/>
        <v>100</v>
      </c>
      <c r="AD18" s="43">
        <f t="shared" si="7"/>
        <v>100</v>
      </c>
      <c r="AE18" s="43"/>
      <c r="AF18" s="1"/>
    </row>
    <row r="19" spans="1:32">
      <c r="A19" s="119" t="s">
        <v>6</v>
      </c>
      <c r="B19" s="119"/>
      <c r="C19" s="128">
        <f>('Tuition-4Yr'!AF13/'Total E&amp;G-4yr'!AF13)*100</f>
        <v>37.0024393881422</v>
      </c>
      <c r="D19" s="145">
        <f>('State Appropriations-4Yr'!AF13)/('Total E&amp;G-4yr'!AF13)*100</f>
        <v>22.981509375082474</v>
      </c>
      <c r="E19" s="128">
        <f>IF((('Local Appropriations-4Yr'!AF13/'Total E&amp;G-4yr'!AF13)*100)=0,(('Local Appropriations-4Yr'!AF13/'Total E&amp;G-4yr'!AF13)*100),IF((('Local Appropriations-4Yr'!AF13/'Total E&amp;G-4yr'!AF13)*100)&gt;=0.05,('Local Appropriations-4Yr'!AF13/'Total E&amp;G-4yr'!AF13)*100,"*"))</f>
        <v>0</v>
      </c>
      <c r="F19" s="145">
        <f>('Fed Contracts Grnts-4Yr'!AF13)/('Total E&amp;G-4yr'!AF13)*100</f>
        <v>15.264672977879668</v>
      </c>
      <c r="G19" s="128">
        <f>('Other Contract Grnts-4Yr'!AF13)/('Total E&amp;G-4yr'!AF13)*100</f>
        <v>18.755814601103719</v>
      </c>
      <c r="H19" s="145">
        <f>('All Other E&amp;G-4Yr'!AF13+'Investment Income-4Yr'!AF13)/('Total E&amp;G-4yr'!AF13)*100</f>
        <v>5.9955636577919256</v>
      </c>
      <c r="I19" s="147">
        <f t="shared" si="8"/>
        <v>9.5973294265732854</v>
      </c>
      <c r="J19" s="147">
        <f t="shared" si="9"/>
        <v>-19.590699430199962</v>
      </c>
      <c r="K19" s="130">
        <f t="shared" si="1"/>
        <v>0</v>
      </c>
      <c r="L19" s="147">
        <f t="shared" si="10"/>
        <v>-0.26278905864926294</v>
      </c>
      <c r="M19" s="130">
        <f t="shared" si="11"/>
        <v>9.0548433687595047</v>
      </c>
      <c r="N19" s="147">
        <f t="shared" si="12"/>
        <v>1.2013156935164142</v>
      </c>
      <c r="O19" s="15"/>
      <c r="P19" s="39">
        <f>('Tuition-4Yr'!AA13/'Total E&amp;G-4yr'!AA13)*100</f>
        <v>27.405109961568915</v>
      </c>
      <c r="Q19" s="40">
        <f>('State Appropriations-4Yr'!AA13/'Total E&amp;G-4yr'!AA13)*100</f>
        <v>42.572208805282436</v>
      </c>
      <c r="R19" s="41">
        <f>IF((('Local Appropriations-4Yr'!AA13/'Total E&amp;G-4yr'!AA13)*100)=0,(('Local Appropriations-4Yr'!AA13/'Total E&amp;G-4yr'!AA13)*100),IF((('Local Appropriations-4Yr'!AA13/'Total E&amp;G-4yr'!AA13)*100)&gt;=0.05,(('Local Appropriations-4Yr'!AA13/'Total E&amp;G-4yr'!AA13)*100),"*"))</f>
        <v>0</v>
      </c>
      <c r="S19" s="42">
        <f>('Fed Contracts Grnts-4Yr'!AA13/'Total E&amp;G-4yr'!AA13)*100</f>
        <v>15.527462036528931</v>
      </c>
      <c r="T19" s="41">
        <f>('Other Contract Grnts-4Yr'!AA13/'Total E&amp;G-4yr'!AA13)*100</f>
        <v>9.7009712323442141</v>
      </c>
      <c r="U19" s="42">
        <f>(('All Other E&amp;G-4Yr'!AA13+'Investment Income-4Yr'!AA13)/('Total E&amp;G-4yr'!AA13))*100</f>
        <v>4.7942479642755114</v>
      </c>
      <c r="V19" s="42"/>
      <c r="W19" s="182">
        <f t="shared" si="13"/>
        <v>100.00000000000001</v>
      </c>
      <c r="X19" s="183">
        <f t="shared" si="14"/>
        <v>99.999999999999986</v>
      </c>
      <c r="Y19" s="188">
        <f t="shared" si="2"/>
        <v>42.572208805282436</v>
      </c>
      <c r="Z19" s="189">
        <f t="shared" si="3"/>
        <v>22.981509375082474</v>
      </c>
      <c r="AA19" s="188">
        <f t="shared" si="4"/>
        <v>25.228433268873147</v>
      </c>
      <c r="AB19" s="189">
        <f t="shared" si="5"/>
        <v>34.020487578983385</v>
      </c>
      <c r="AC19" s="43">
        <f t="shared" si="6"/>
        <v>100</v>
      </c>
      <c r="AD19" s="43">
        <f t="shared" si="7"/>
        <v>99.999999999999986</v>
      </c>
      <c r="AE19" s="43"/>
      <c r="AF19" s="1"/>
    </row>
    <row r="20" spans="1:32">
      <c r="A20" s="119" t="s">
        <v>7</v>
      </c>
      <c r="B20" s="119"/>
      <c r="C20" s="128">
        <f>('Tuition-4Yr'!AF14/'Total E&amp;G-4yr'!AF14)*100</f>
        <v>37.437149535156486</v>
      </c>
      <c r="D20" s="145">
        <f>('State Appropriations-4Yr'!AF14)/('Total E&amp;G-4yr'!AF14)*100</f>
        <v>28.622223086289996</v>
      </c>
      <c r="E20" s="128">
        <f>IF((('Local Appropriations-4Yr'!AF14/'Total E&amp;G-4yr'!AF14)*100)=0,(('Local Appropriations-4Yr'!AF14/'Total E&amp;G-4yr'!AF14)*100),IF((('Local Appropriations-4Yr'!AF14/'Total E&amp;G-4yr'!AF14)*100)&gt;=0.05,('Local Appropriations-4Yr'!AF14/'Total E&amp;G-4yr'!AF14)*100,"*"))</f>
        <v>0</v>
      </c>
      <c r="F20" s="145">
        <f>('Fed Contracts Grnts-4Yr'!AF14)/('Total E&amp;G-4yr'!AF14)*100</f>
        <v>20.116268220561768</v>
      </c>
      <c r="G20" s="128">
        <f>('Other Contract Grnts-4Yr'!AF14)/('Total E&amp;G-4yr'!AF14)*100</f>
        <v>10.602189765010998</v>
      </c>
      <c r="H20" s="145">
        <f>('All Other E&amp;G-4Yr'!AF14+'Investment Income-4Yr'!AF14)/('Total E&amp;G-4yr'!AF14)*100</f>
        <v>3.2221693929807618</v>
      </c>
      <c r="I20" s="147">
        <f t="shared" si="8"/>
        <v>-3.6897684890622173</v>
      </c>
      <c r="J20" s="147">
        <f t="shared" si="9"/>
        <v>-3.2789087032682822</v>
      </c>
      <c r="K20" s="130">
        <f t="shared" si="1"/>
        <v>0</v>
      </c>
      <c r="L20" s="147">
        <f t="shared" si="10"/>
        <v>3.103803326202847</v>
      </c>
      <c r="M20" s="130">
        <f t="shared" si="11"/>
        <v>0.62380101397453736</v>
      </c>
      <c r="N20" s="147">
        <f t="shared" si="12"/>
        <v>3.2410728521531369</v>
      </c>
      <c r="O20" s="15"/>
      <c r="P20" s="39">
        <f>('Tuition-4Yr'!AA14/'Total E&amp;G-4yr'!AA14)*100</f>
        <v>41.126918024218703</v>
      </c>
      <c r="Q20" s="40">
        <f>('State Appropriations-4Yr'!AA14/'Total E&amp;G-4yr'!AA14)*100</f>
        <v>31.901131789558278</v>
      </c>
      <c r="R20" s="41">
        <f>IF((('Local Appropriations-4Yr'!AA14/'Total E&amp;G-4yr'!AA14)*100)=0,(('Local Appropriations-4Yr'!AA14/'Total E&amp;G-4yr'!AA14)*100),IF((('Local Appropriations-4Yr'!AA14/'Total E&amp;G-4yr'!AA14)*100)&gt;=0.05,(('Local Appropriations-4Yr'!AA14/'Total E&amp;G-4yr'!AA14)*100),"*"))</f>
        <v>0</v>
      </c>
      <c r="S20" s="42">
        <f>('Fed Contracts Grnts-4Yr'!AA14/'Total E&amp;G-4yr'!AA14)*100</f>
        <v>17.012464894358921</v>
      </c>
      <c r="T20" s="41">
        <f>('Other Contract Grnts-4Yr'!AA14/'Total E&amp;G-4yr'!AA14)*100</f>
        <v>9.9783887510364604</v>
      </c>
      <c r="U20" s="42">
        <f>(('All Other E&amp;G-4Yr'!AA14+'Investment Income-4Yr'!AA14)/('Total E&amp;G-4yr'!AA14))*100</f>
        <v>-1.890345917237525E-2</v>
      </c>
      <c r="V20" s="42"/>
      <c r="W20" s="182">
        <f t="shared" si="13"/>
        <v>99.999999999999986</v>
      </c>
      <c r="X20" s="183">
        <f t="shared" si="14"/>
        <v>100</v>
      </c>
      <c r="Y20" s="188">
        <f t="shared" si="2"/>
        <v>31.901131789558278</v>
      </c>
      <c r="Z20" s="189">
        <f t="shared" si="3"/>
        <v>28.622223086289996</v>
      </c>
      <c r="AA20" s="188">
        <f t="shared" si="4"/>
        <v>26.990853645395383</v>
      </c>
      <c r="AB20" s="189">
        <f t="shared" si="5"/>
        <v>30.718457985572766</v>
      </c>
      <c r="AC20" s="43">
        <f t="shared" si="6"/>
        <v>99.999999999999986</v>
      </c>
      <c r="AD20" s="43">
        <f t="shared" si="7"/>
        <v>100</v>
      </c>
      <c r="AE20" s="43"/>
      <c r="AF20" s="1"/>
    </row>
    <row r="21" spans="1:32">
      <c r="A21" s="118" t="s">
        <v>8</v>
      </c>
      <c r="B21" s="118"/>
      <c r="C21" s="129">
        <f>('Tuition-4Yr'!AF15/'Total E&amp;G-4yr'!AF15)*100</f>
        <v>34.164549766218727</v>
      </c>
      <c r="D21" s="146">
        <f>('State Appropriations-4Yr'!AF15)/('Total E&amp;G-4yr'!AF15)*100</f>
        <v>30.498498920694939</v>
      </c>
      <c r="E21" s="129">
        <f>IF((('Local Appropriations-4Yr'!AF15/'Total E&amp;G-4yr'!AF15)*100)=0,(('Local Appropriations-4Yr'!AF15/'Total E&amp;G-4yr'!AF15)*100),IF((('Local Appropriations-4Yr'!AF15/'Total E&amp;G-4yr'!AF15)*100)&gt;=0.05,('Local Appropriations-4Yr'!AF15/'Total E&amp;G-4yr'!AF15)*100,"*"))</f>
        <v>0</v>
      </c>
      <c r="F21" s="146">
        <f>('Fed Contracts Grnts-4Yr'!AF15)/('Total E&amp;G-4yr'!AF15)*100</f>
        <v>18.394173343011889</v>
      </c>
      <c r="G21" s="129">
        <f>('Other Contract Grnts-4Yr'!AF15)/('Total E&amp;G-4yr'!AF15)*100</f>
        <v>10.394475094293844</v>
      </c>
      <c r="H21" s="146">
        <f>('All Other E&amp;G-4Yr'!AF15+'Investment Income-4Yr'!AF15)/('Total E&amp;G-4yr'!AF15)*100</f>
        <v>6.5483028757805997</v>
      </c>
      <c r="I21" s="146">
        <f t="shared" si="8"/>
        <v>5.2843893552779626</v>
      </c>
      <c r="J21" s="146">
        <f t="shared" si="9"/>
        <v>-0.14598306101484226</v>
      </c>
      <c r="K21" s="129">
        <f t="shared" si="1"/>
        <v>0</v>
      </c>
      <c r="L21" s="146">
        <f t="shared" si="10"/>
        <v>-7.5351169310038877</v>
      </c>
      <c r="M21" s="129">
        <f t="shared" si="11"/>
        <v>0.71698746319965601</v>
      </c>
      <c r="N21" s="146">
        <f t="shared" si="12"/>
        <v>1.6797231735411025</v>
      </c>
      <c r="O21" s="15"/>
      <c r="P21" s="39">
        <f>('Tuition-4Yr'!AA15/'Total E&amp;G-4yr'!AA15)*100</f>
        <v>28.880160410940764</v>
      </c>
      <c r="Q21" s="40">
        <f>('State Appropriations-4Yr'!AA15/'Total E&amp;G-4yr'!AA15)*100</f>
        <v>30.644481981709781</v>
      </c>
      <c r="R21" s="41">
        <f>IF((('Local Appropriations-4Yr'!AA15/'Total E&amp;G-4yr'!AA15)*100)=0,(('Local Appropriations-4Yr'!AA15/'Total E&amp;G-4yr'!AA15)*100),IF((('Local Appropriations-4Yr'!AA15/'Total E&amp;G-4yr'!AA15)*100)&gt;=0.05,(('Local Appropriations-4Yr'!AA15/'Total E&amp;G-4yr'!AA15)*100),"*"))</f>
        <v>0</v>
      </c>
      <c r="S21" s="42">
        <f>('Fed Contracts Grnts-4Yr'!AA15/'Total E&amp;G-4yr'!AA15)*100</f>
        <v>25.929290274015777</v>
      </c>
      <c r="T21" s="41">
        <f>('Other Contract Grnts-4Yr'!AA15/'Total E&amp;G-4yr'!AA15)*100</f>
        <v>9.6774876310941877</v>
      </c>
      <c r="U21" s="42">
        <f>(('All Other E&amp;G-4Yr'!AA15+'Investment Income-4Yr'!AA15)/('Total E&amp;G-4yr'!AA15))*100</f>
        <v>4.8685797022394972</v>
      </c>
      <c r="V21" s="42"/>
      <c r="W21" s="182">
        <f t="shared" si="13"/>
        <v>100.00000000000001</v>
      </c>
      <c r="X21" s="183">
        <f t="shared" si="14"/>
        <v>100</v>
      </c>
      <c r="Y21" s="188">
        <f t="shared" si="2"/>
        <v>30.644481981709781</v>
      </c>
      <c r="Z21" s="189">
        <f t="shared" si="3"/>
        <v>30.498498920694939</v>
      </c>
      <c r="AA21" s="188">
        <f t="shared" si="4"/>
        <v>35.606777905109965</v>
      </c>
      <c r="AB21" s="189">
        <f t="shared" si="5"/>
        <v>28.788648437305731</v>
      </c>
      <c r="AC21" s="43">
        <f t="shared" si="6"/>
        <v>100.00000000000001</v>
      </c>
      <c r="AD21" s="43">
        <f t="shared" si="7"/>
        <v>100</v>
      </c>
      <c r="AE21" s="43"/>
      <c r="AF21" s="1"/>
    </row>
    <row r="22" spans="1:32">
      <c r="A22" s="118" t="s">
        <v>9</v>
      </c>
      <c r="B22" s="118"/>
      <c r="C22" s="129">
        <f>('Tuition-4Yr'!AF16/'Total E&amp;G-4yr'!AF16)*100</f>
        <v>28.384478245568989</v>
      </c>
      <c r="D22" s="146">
        <f>('State Appropriations-4Yr'!AF16)/('Total E&amp;G-4yr'!AF16)*100</f>
        <v>34.235417468973175</v>
      </c>
      <c r="E22" s="129">
        <f>IF((('Local Appropriations-4Yr'!AF16/'Total E&amp;G-4yr'!AF16)*100)=0,(('Local Appropriations-4Yr'!AF16/'Total E&amp;G-4yr'!AF16)*100),IF((('Local Appropriations-4Yr'!AF16/'Total E&amp;G-4yr'!AF16)*100)&gt;=0.05,('Local Appropriations-4Yr'!AF16/'Total E&amp;G-4yr'!AF16)*100,"*"))</f>
        <v>0</v>
      </c>
      <c r="F22" s="146">
        <f>('Fed Contracts Grnts-4Yr'!AF16)/('Total E&amp;G-4yr'!AF16)*100</f>
        <v>19.471936633215684</v>
      </c>
      <c r="G22" s="129">
        <f>('Other Contract Grnts-4Yr'!AF16)/('Total E&amp;G-4yr'!AF16)*100</f>
        <v>10.848095984495554</v>
      </c>
      <c r="H22" s="146">
        <f>('All Other E&amp;G-4Yr'!AF16+'Investment Income-4Yr'!AF16)/('Total E&amp;G-4yr'!AF16)*100</f>
        <v>7.0600716677466009</v>
      </c>
      <c r="I22" s="146">
        <f t="shared" si="8"/>
        <v>2.617620085456295</v>
      </c>
      <c r="J22" s="146">
        <f t="shared" si="9"/>
        <v>-10.144101398694822</v>
      </c>
      <c r="K22" s="129">
        <f t="shared" si="1"/>
        <v>0</v>
      </c>
      <c r="L22" s="146">
        <f t="shared" si="10"/>
        <v>-0.46597145877766977</v>
      </c>
      <c r="M22" s="129">
        <f t="shared" si="11"/>
        <v>-1.9377035990325613</v>
      </c>
      <c r="N22" s="146">
        <f t="shared" si="12"/>
        <v>9.9301563710487564</v>
      </c>
      <c r="O22" s="15"/>
      <c r="P22" s="39">
        <f>('Tuition-4Yr'!AA16/'Total E&amp;G-4yr'!AA16)*100</f>
        <v>25.766858160112694</v>
      </c>
      <c r="Q22" s="40">
        <f>('State Appropriations-4Yr'!AA16/'Total E&amp;G-4yr'!AA16)*100</f>
        <v>44.379518867667997</v>
      </c>
      <c r="R22" s="41">
        <f>IF((('Local Appropriations-4Yr'!AA16/'Total E&amp;G-4yr'!AA16)*100)=0,(('Local Appropriations-4Yr'!AA16/'Total E&amp;G-4yr'!AA16)*100),IF((('Local Appropriations-4Yr'!AA16/'Total E&amp;G-4yr'!AA16)*100)&gt;=0.05,(('Local Appropriations-4Yr'!AA16/'Total E&amp;G-4yr'!AA16)*100),"*"))</f>
        <v>0</v>
      </c>
      <c r="S22" s="42">
        <f>('Fed Contracts Grnts-4Yr'!AA16/'Total E&amp;G-4yr'!AA16)*100</f>
        <v>19.937908091993354</v>
      </c>
      <c r="T22" s="41">
        <f>('Other Contract Grnts-4Yr'!AA16/'Total E&amp;G-4yr'!AA16)*100</f>
        <v>12.785799583528116</v>
      </c>
      <c r="U22" s="42">
        <f>(('All Other E&amp;G-4Yr'!AA16+'Investment Income-4Yr'!AA16)/('Total E&amp;G-4yr'!AA16))*100</f>
        <v>-2.8700847033021546</v>
      </c>
      <c r="V22" s="42"/>
      <c r="W22" s="182">
        <f t="shared" si="13"/>
        <v>100</v>
      </c>
      <c r="X22" s="183">
        <f t="shared" si="14"/>
        <v>100</v>
      </c>
      <c r="Y22" s="188">
        <f t="shared" si="2"/>
        <v>44.379518867667997</v>
      </c>
      <c r="Z22" s="189">
        <f t="shared" si="3"/>
        <v>34.235417468973175</v>
      </c>
      <c r="AA22" s="188">
        <f t="shared" si="4"/>
        <v>32.723707675521467</v>
      </c>
      <c r="AB22" s="189">
        <f t="shared" si="5"/>
        <v>30.320032617711238</v>
      </c>
      <c r="AC22" s="43">
        <f t="shared" si="6"/>
        <v>100</v>
      </c>
      <c r="AD22" s="43">
        <f t="shared" si="7"/>
        <v>100</v>
      </c>
      <c r="AE22" s="43"/>
      <c r="AF22" s="1"/>
    </row>
    <row r="23" spans="1:32">
      <c r="A23" s="118" t="s">
        <v>10</v>
      </c>
      <c r="B23" s="118"/>
      <c r="C23" s="129">
        <f>('Tuition-4Yr'!AF17/'Total E&amp;G-4yr'!AF17)*100</f>
        <v>34.878898821965727</v>
      </c>
      <c r="D23" s="146">
        <f>('State Appropriations-4Yr'!AF17)/('Total E&amp;G-4yr'!AF17)*100</f>
        <v>25.948082445328808</v>
      </c>
      <c r="E23" s="129">
        <f>IF((('Local Appropriations-4Yr'!AF17/'Total E&amp;G-4yr'!AF17)*100)=0,(('Local Appropriations-4Yr'!AF17/'Total E&amp;G-4yr'!AF17)*100),IF((('Local Appropriations-4Yr'!AF17/'Total E&amp;G-4yr'!AF17)*100)&gt;=0.05,('Local Appropriations-4Yr'!AF17/'Total E&amp;G-4yr'!AF17)*100,"*"))</f>
        <v>8.5655118404630665E-2</v>
      </c>
      <c r="F23" s="146">
        <f>('Fed Contracts Grnts-4Yr'!AF17)/('Total E&amp;G-4yr'!AF17)*100</f>
        <v>14.241114014031131</v>
      </c>
      <c r="G23" s="129">
        <f>('Other Contract Grnts-4Yr'!AF17)/('Total E&amp;G-4yr'!AF17)*100</f>
        <v>16.766863401589166</v>
      </c>
      <c r="H23" s="146">
        <f>('All Other E&amp;G-4Yr'!AF17+'Investment Income-4Yr'!AF17)/('Total E&amp;G-4yr'!AF17)*100</f>
        <v>8.0793861986805631</v>
      </c>
      <c r="I23" s="146">
        <f t="shared" si="8"/>
        <v>0.74255675535297883</v>
      </c>
      <c r="J23" s="146">
        <f t="shared" si="9"/>
        <v>-7.9488064347365039</v>
      </c>
      <c r="K23" s="129">
        <f t="shared" si="1"/>
        <v>8.5655118404630665E-2</v>
      </c>
      <c r="L23" s="146">
        <f t="shared" si="10"/>
        <v>0.25083992175259162</v>
      </c>
      <c r="M23" s="129">
        <f t="shared" si="11"/>
        <v>4.4695622173561542</v>
      </c>
      <c r="N23" s="146">
        <f t="shared" si="12"/>
        <v>2.400192421870182</v>
      </c>
      <c r="O23" s="15"/>
      <c r="P23" s="39">
        <f>('Tuition-4Yr'!AA17/'Total E&amp;G-4yr'!AA17)*100</f>
        <v>34.136342066612748</v>
      </c>
      <c r="Q23" s="40">
        <f>('State Appropriations-4Yr'!AA17/'Total E&amp;G-4yr'!AA17)*100</f>
        <v>33.896888880065312</v>
      </c>
      <c r="R23" s="41">
        <f>IF((('Local Appropriations-4Yr'!AA17/'Total E&amp;G-4yr'!AA17)*100)=0,(('Local Appropriations-4Yr'!AA17/'Total E&amp;G-4yr'!AA17)*100),IF((('Local Appropriations-4Yr'!AA17/'Total E&amp;G-4yr'!AA17)*100)&gt;=0.05,(('Local Appropriations-4Yr'!AA17/'Total E&amp;G-4yr'!AA17)*100),"*"))</f>
        <v>0</v>
      </c>
      <c r="S23" s="42">
        <f>('Fed Contracts Grnts-4Yr'!AA17/'Total E&amp;G-4yr'!AA17)*100</f>
        <v>13.99027409227854</v>
      </c>
      <c r="T23" s="41">
        <f>('Other Contract Grnts-4Yr'!AA17/'Total E&amp;G-4yr'!AA17)*100</f>
        <v>12.297301184233012</v>
      </c>
      <c r="U23" s="42">
        <f>(('All Other E&amp;G-4Yr'!AA17+'Investment Income-4Yr'!AA17)/('Total E&amp;G-4yr'!AA17))*100</f>
        <v>5.6791937768103811</v>
      </c>
      <c r="V23" s="42"/>
      <c r="W23" s="182">
        <f t="shared" si="13"/>
        <v>99.999999999999986</v>
      </c>
      <c r="X23" s="183">
        <f t="shared" si="14"/>
        <v>100.00000000000003</v>
      </c>
      <c r="Y23" s="188">
        <f t="shared" si="2"/>
        <v>33.896888880065312</v>
      </c>
      <c r="Z23" s="189">
        <f t="shared" si="3"/>
        <v>26.033737563733439</v>
      </c>
      <c r="AA23" s="188">
        <f t="shared" si="4"/>
        <v>26.287575276511554</v>
      </c>
      <c r="AB23" s="189">
        <f t="shared" si="5"/>
        <v>31.007977415620296</v>
      </c>
      <c r="AC23" s="43">
        <f t="shared" si="6"/>
        <v>100</v>
      </c>
      <c r="AD23" s="43">
        <f t="shared" si="7"/>
        <v>100.00000000000003</v>
      </c>
      <c r="AE23" s="43"/>
      <c r="AF23" s="1"/>
    </row>
    <row r="24" spans="1:32">
      <c r="A24" s="118" t="s">
        <v>11</v>
      </c>
      <c r="B24" s="118"/>
      <c r="C24" s="129">
        <f>('Tuition-4Yr'!AF18/'Total E&amp;G-4yr'!AF18)*100</f>
        <v>49.731923495793929</v>
      </c>
      <c r="D24" s="146">
        <f>('State Appropriations-4Yr'!AF18)/('Total E&amp;G-4yr'!AF18)*100</f>
        <v>12.795181699327763</v>
      </c>
      <c r="E24" s="129" t="str">
        <f>IF((('Local Appropriations-4Yr'!AF18/'Total E&amp;G-4yr'!AF18)*100)=0,(('Local Appropriations-4Yr'!AF18/'Total E&amp;G-4yr'!AF18)*100),IF((('Local Appropriations-4Yr'!AF18/'Total E&amp;G-4yr'!AF18)*100)&gt;=0.05,('Local Appropriations-4Yr'!AF18/'Total E&amp;G-4yr'!AF18)*100,"*"))</f>
        <v>*</v>
      </c>
      <c r="F24" s="146">
        <f>('Fed Contracts Grnts-4Yr'!AF18)/('Total E&amp;G-4yr'!AF18)*100</f>
        <v>14.569695850169239</v>
      </c>
      <c r="G24" s="129">
        <f>('Other Contract Grnts-4Yr'!AF18)/('Total E&amp;G-4yr'!AF18)*100</f>
        <v>15.158814623195354</v>
      </c>
      <c r="H24" s="146">
        <f>('All Other E&amp;G-4Yr'!AF18+'Investment Income-4Yr'!AF18)/('Total E&amp;G-4yr'!AF18)*100</f>
        <v>7.7329505437615618</v>
      </c>
      <c r="I24" s="146">
        <f t="shared" si="8"/>
        <v>0.51281250348441176</v>
      </c>
      <c r="J24" s="146">
        <f t="shared" si="9"/>
        <v>-5.4559743983561546</v>
      </c>
      <c r="K24" s="129">
        <f t="shared" si="1"/>
        <v>0</v>
      </c>
      <c r="L24" s="146">
        <f t="shared" si="10"/>
        <v>1.9406777844114451</v>
      </c>
      <c r="M24" s="129">
        <f t="shared" si="11"/>
        <v>0.19463458298453951</v>
      </c>
      <c r="N24" s="146">
        <f t="shared" si="12"/>
        <v>2.8057956188502056</v>
      </c>
      <c r="O24" s="15"/>
      <c r="P24" s="39">
        <f>('Tuition-4Yr'!AA18/'Total E&amp;G-4yr'!AA18)*100</f>
        <v>49.219110992309517</v>
      </c>
      <c r="Q24" s="40">
        <f>('State Appropriations-4Yr'!AA18/'Total E&amp;G-4yr'!AA18)*100</f>
        <v>18.251156097683918</v>
      </c>
      <c r="R24" s="41" t="str">
        <f>IF((('Local Appropriations-4Yr'!AA18/'Total E&amp;G-4yr'!AA18)*100)=0,(('Local Appropriations-4Yr'!AA18/'Total E&amp;G-4yr'!AA18)*100),IF((('Local Appropriations-4Yr'!AA18/'Total E&amp;G-4yr'!AA18)*100)&gt;=0.05,(('Local Appropriations-4Yr'!AA18/'Total E&amp;G-4yr'!AA18)*100),"*"))</f>
        <v>*</v>
      </c>
      <c r="S24" s="42">
        <f>('Fed Contracts Grnts-4Yr'!AA18/'Total E&amp;G-4yr'!AA18)*100</f>
        <v>12.629018065757794</v>
      </c>
      <c r="T24" s="41">
        <f>('Other Contract Grnts-4Yr'!AA18/'Total E&amp;G-4yr'!AA18)*100</f>
        <v>14.964180040210815</v>
      </c>
      <c r="U24" s="42">
        <f>(('All Other E&amp;G-4Yr'!AA18+'Investment Income-4Yr'!AA18)/('Total E&amp;G-4yr'!AA18))*100</f>
        <v>4.9271549249113562</v>
      </c>
      <c r="V24" s="42"/>
      <c r="W24" s="182">
        <f t="shared" si="13"/>
        <v>99.990620120873388</v>
      </c>
      <c r="X24" s="183">
        <f t="shared" si="14"/>
        <v>99.988566212247846</v>
      </c>
      <c r="Y24" s="188">
        <f t="shared" si="2"/>
        <v>18.251156097683918</v>
      </c>
      <c r="Z24" s="189">
        <f t="shared" si="3"/>
        <v>12.795181699327763</v>
      </c>
      <c r="AA24" s="188">
        <f t="shared" si="4"/>
        <v>27.593198105968611</v>
      </c>
      <c r="AB24" s="189">
        <f t="shared" si="5"/>
        <v>29.728510473364594</v>
      </c>
      <c r="AC24" s="43">
        <f t="shared" si="6"/>
        <v>99.990620120873402</v>
      </c>
      <c r="AD24" s="43">
        <f t="shared" si="7"/>
        <v>99.988566212247846</v>
      </c>
      <c r="AE24" s="43"/>
      <c r="AF24" s="1"/>
    </row>
    <row r="25" spans="1:32">
      <c r="A25" s="120" t="s">
        <v>12</v>
      </c>
      <c r="B25" s="120"/>
      <c r="C25" s="128">
        <f>('Tuition-4Yr'!AF19/'Total E&amp;G-4yr'!AF19)*100</f>
        <v>37.737449113079954</v>
      </c>
      <c r="D25" s="145">
        <f>('State Appropriations-4Yr'!AF19)/('Total E&amp;G-4yr'!AF19)*100</f>
        <v>24.516402700238459</v>
      </c>
      <c r="E25" s="128">
        <f>IF((('Local Appropriations-4Yr'!AF19/'Total E&amp;G-4yr'!AF19)*100)=0,(('Local Appropriations-4Yr'!AF19/'Total E&amp;G-4yr'!AF19)*100),IF((('Local Appropriations-4Yr'!AF19/'Total E&amp;G-4yr'!AF19)*100)&gt;=0.05,('Local Appropriations-4Yr'!AF19/'Total E&amp;G-4yr'!AF19)*100,"*"))</f>
        <v>0.16113189621734411</v>
      </c>
      <c r="F25" s="145">
        <f>('Fed Contracts Grnts-4Yr'!AF19)/('Total E&amp;G-4yr'!AF19)*100</f>
        <v>15.652517166098537</v>
      </c>
      <c r="G25" s="128">
        <f>('Other Contract Grnts-4Yr'!AF19)/('Total E&amp;G-4yr'!AF19)*100</f>
        <v>14.51728077623333</v>
      </c>
      <c r="H25" s="145">
        <f>('All Other E&amp;G-4Yr'!AF19+'Investment Income-4Yr'!AF19)/('Total E&amp;G-4yr'!AF19)*100</f>
        <v>7.4152183481323686</v>
      </c>
      <c r="I25" s="147">
        <f t="shared" si="8"/>
        <v>6.7304585156831109</v>
      </c>
      <c r="J25" s="147">
        <f t="shared" si="9"/>
        <v>-7.9622526640244473</v>
      </c>
      <c r="K25" s="131" t="str">
        <f t="shared" si="1"/>
        <v>*</v>
      </c>
      <c r="L25" s="147">
        <f t="shared" si="10"/>
        <v>-1.0524165653653839</v>
      </c>
      <c r="M25" s="131">
        <f t="shared" si="11"/>
        <v>-2.4597477285743619</v>
      </c>
      <c r="N25" s="147">
        <f t="shared" si="12"/>
        <v>4.7563090020291909</v>
      </c>
      <c r="O25" s="15"/>
      <c r="P25" s="39">
        <f>('Tuition-4Yr'!AA19/'Total E&amp;G-4yr'!AA19)*100</f>
        <v>31.006990597396843</v>
      </c>
      <c r="Q25" s="40">
        <f>('State Appropriations-4Yr'!AA19/'Total E&amp;G-4yr'!AA19)*100</f>
        <v>32.478655364262906</v>
      </c>
      <c r="R25" s="41">
        <f>IF((('Local Appropriations-4Yr'!AA19/'Total E&amp;G-4yr'!AA19)*100)=0,(('Local Appropriations-4Yr'!AA19/'Total E&amp;G-4yr'!AA19)*100),IF((('Local Appropriations-4Yr'!AA19/'Total E&amp;G-4yr'!AA19)*100)&gt;=0.05,(('Local Appropriations-4Yr'!AA19/'Total E&amp;G-4yr'!AA19)*100),"*"))</f>
        <v>0.17348245596548356</v>
      </c>
      <c r="S25" s="42">
        <f>('Fed Contracts Grnts-4Yr'!AA19/'Total E&amp;G-4yr'!AA19)*100</f>
        <v>16.704933731463921</v>
      </c>
      <c r="T25" s="41">
        <f>('Other Contract Grnts-4Yr'!AA19/'Total E&amp;G-4yr'!AA19)*100</f>
        <v>16.977028504807691</v>
      </c>
      <c r="U25" s="42">
        <f>(('All Other E&amp;G-4Yr'!AA19+'Investment Income-4Yr'!AA19)/('Total E&amp;G-4yr'!AA19))*100</f>
        <v>2.6589093461031772</v>
      </c>
      <c r="V25" s="42"/>
      <c r="W25" s="182">
        <f t="shared" si="13"/>
        <v>100.00000000000001</v>
      </c>
      <c r="X25" s="183">
        <f t="shared" si="14"/>
        <v>100</v>
      </c>
      <c r="Y25" s="188">
        <f t="shared" si="2"/>
        <v>32.65213782022839</v>
      </c>
      <c r="Z25" s="189">
        <f t="shared" si="3"/>
        <v>24.677534596455803</v>
      </c>
      <c r="AA25" s="188">
        <f t="shared" si="4"/>
        <v>33.681962236271616</v>
      </c>
      <c r="AB25" s="189">
        <f t="shared" si="5"/>
        <v>30.169797942331869</v>
      </c>
      <c r="AC25" s="43">
        <f t="shared" si="6"/>
        <v>100.00000000000003</v>
      </c>
      <c r="AD25" s="43">
        <f t="shared" si="7"/>
        <v>100</v>
      </c>
      <c r="AE25" s="43"/>
      <c r="AF25" s="1"/>
    </row>
    <row r="26" spans="1:32">
      <c r="A26" s="120" t="s">
        <v>13</v>
      </c>
      <c r="B26" s="120"/>
      <c r="C26" s="128">
        <f>('Tuition-4Yr'!AF20/'Total E&amp;G-4yr'!AF20)*100</f>
        <v>34.254036240280485</v>
      </c>
      <c r="D26" s="145">
        <f>('State Appropriations-4Yr'!AF20)/('Total E&amp;G-4yr'!AF20)*100</f>
        <v>19.718771984789097</v>
      </c>
      <c r="E26" s="128">
        <f>IF((('Local Appropriations-4Yr'!AF20/'Total E&amp;G-4yr'!AF20)*100)=0,(('Local Appropriations-4Yr'!AF20/'Total E&amp;G-4yr'!AF20)*100),IF((('Local Appropriations-4Yr'!AF20/'Total E&amp;G-4yr'!AF20)*100)&gt;=0.05,('Local Appropriations-4Yr'!AF20/'Total E&amp;G-4yr'!AF20)*100,"*"))</f>
        <v>0</v>
      </c>
      <c r="F26" s="145">
        <f>('Fed Contracts Grnts-4Yr'!AF20)/('Total E&amp;G-4yr'!AF20)*100</f>
        <v>13.216351514444311</v>
      </c>
      <c r="G26" s="128">
        <f>('Other Contract Grnts-4Yr'!AF20)/('Total E&amp;G-4yr'!AF20)*100</f>
        <v>13.225514662782256</v>
      </c>
      <c r="H26" s="145">
        <f>('All Other E&amp;G-4Yr'!AF20+'Investment Income-4Yr'!AF20)/('Total E&amp;G-4yr'!AF20)*100</f>
        <v>19.58532559770385</v>
      </c>
      <c r="I26" s="147">
        <f t="shared" si="8"/>
        <v>0.18353776188163806</v>
      </c>
      <c r="J26" s="147">
        <f t="shared" si="9"/>
        <v>-7.8945438573195013</v>
      </c>
      <c r="K26" s="131">
        <f t="shared" si="1"/>
        <v>-0.15868719878748425</v>
      </c>
      <c r="L26" s="147">
        <f t="shared" si="10"/>
        <v>-2.072340416798097</v>
      </c>
      <c r="M26" s="131">
        <f t="shared" si="11"/>
        <v>2.2031842128690045</v>
      </c>
      <c r="N26" s="147">
        <f t="shared" si="12"/>
        <v>7.7388494981544405</v>
      </c>
      <c r="O26" s="15"/>
      <c r="P26" s="39">
        <f>('Tuition-4Yr'!AA20/'Total E&amp;G-4yr'!AA20)*100</f>
        <v>34.070498478398846</v>
      </c>
      <c r="Q26" s="40">
        <f>('State Appropriations-4Yr'!AA20/'Total E&amp;G-4yr'!AA20)*100</f>
        <v>27.613315842108598</v>
      </c>
      <c r="R26" s="41">
        <f>IF((('Local Appropriations-4Yr'!AA20/'Total E&amp;G-4yr'!AA20)*100)=0,(('Local Appropriations-4Yr'!AA20/'Total E&amp;G-4yr'!AA20)*100),IF((('Local Appropriations-4Yr'!AA20/'Total E&amp;G-4yr'!AA20)*100)&gt;=0.05,(('Local Appropriations-4Yr'!AA20/'Total E&amp;G-4yr'!AA20)*100),"*"))</f>
        <v>0.15868719878748425</v>
      </c>
      <c r="S26" s="42">
        <f>('Fed Contracts Grnts-4Yr'!AA20/'Total E&amp;G-4yr'!AA20)*100</f>
        <v>15.288691931242408</v>
      </c>
      <c r="T26" s="41">
        <f>('Other Contract Grnts-4Yr'!AA20/'Total E&amp;G-4yr'!AA20)*100</f>
        <v>11.022330449913252</v>
      </c>
      <c r="U26" s="42">
        <f>(('All Other E&amp;G-4Yr'!AA20+'Investment Income-4Yr'!AA20)/('Total E&amp;G-4yr'!AA20))*100</f>
        <v>11.84647609954941</v>
      </c>
      <c r="V26" s="42"/>
      <c r="W26" s="182">
        <f t="shared" si="13"/>
        <v>100</v>
      </c>
      <c r="X26" s="183">
        <f t="shared" si="14"/>
        <v>100</v>
      </c>
      <c r="Y26" s="188">
        <f t="shared" si="2"/>
        <v>27.772003040896081</v>
      </c>
      <c r="Z26" s="189">
        <f t="shared" si="3"/>
        <v>19.718771984789097</v>
      </c>
      <c r="AA26" s="188">
        <f t="shared" si="4"/>
        <v>26.311022381155659</v>
      </c>
      <c r="AB26" s="189">
        <f t="shared" si="5"/>
        <v>26.441866177226565</v>
      </c>
      <c r="AC26" s="43">
        <f t="shared" si="6"/>
        <v>100</v>
      </c>
      <c r="AD26" s="43">
        <f t="shared" si="7"/>
        <v>99.999999999999986</v>
      </c>
      <c r="AE26" s="43"/>
      <c r="AF26" s="1"/>
    </row>
    <row r="27" spans="1:32">
      <c r="A27" s="120" t="s">
        <v>14</v>
      </c>
      <c r="B27" s="120"/>
      <c r="C27" s="128">
        <f>('Tuition-4Yr'!AF21/'Total E&amp;G-4yr'!AF21)*100</f>
        <v>39.506412914717309</v>
      </c>
      <c r="D27" s="145">
        <f>('State Appropriations-4Yr'!AF21)/('Total E&amp;G-4yr'!AF21)*100</f>
        <v>19.632250588967878</v>
      </c>
      <c r="E27" s="128">
        <f>IF((('Local Appropriations-4Yr'!AF21/'Total E&amp;G-4yr'!AF21)*100)=0,(('Local Appropriations-4Yr'!AF21/'Total E&amp;G-4yr'!AF21)*100),IF((('Local Appropriations-4Yr'!AF21/'Total E&amp;G-4yr'!AF21)*100)&gt;=0.05,('Local Appropriations-4Yr'!AF21/'Total E&amp;G-4yr'!AF21)*100,"*"))</f>
        <v>0</v>
      </c>
      <c r="F27" s="145">
        <f>('Fed Contracts Grnts-4Yr'!AF21)/('Total E&amp;G-4yr'!AF21)*100</f>
        <v>15.035215613575421</v>
      </c>
      <c r="G27" s="128">
        <f>('Other Contract Grnts-4Yr'!AF21)/('Total E&amp;G-4yr'!AF21)*100</f>
        <v>8.1357652205330719</v>
      </c>
      <c r="H27" s="145">
        <f>('All Other E&amp;G-4Yr'!AF21+'Investment Income-4Yr'!AF21)/('Total E&amp;G-4yr'!AF21)*100</f>
        <v>17.690355662206322</v>
      </c>
      <c r="I27" s="147">
        <f t="shared" si="8"/>
        <v>-8.9962984907820243</v>
      </c>
      <c r="J27" s="147">
        <f t="shared" si="9"/>
        <v>-15.592801655192993</v>
      </c>
      <c r="K27" s="131">
        <f t="shared" si="1"/>
        <v>0</v>
      </c>
      <c r="L27" s="147">
        <f t="shared" si="10"/>
        <v>-7.4331692832936014</v>
      </c>
      <c r="M27" s="131">
        <f t="shared" si="11"/>
        <v>-4.8088733176401401</v>
      </c>
      <c r="N27" s="147">
        <f t="shared" si="12"/>
        <v>36.831142746908739</v>
      </c>
      <c r="O27" s="15"/>
      <c r="P27" s="39">
        <f>('Tuition-4Yr'!AA21/'Total E&amp;G-4yr'!AA21)*100</f>
        <v>48.502711405499333</v>
      </c>
      <c r="Q27" s="40">
        <f>('State Appropriations-4Yr'!AA21/'Total E&amp;G-4yr'!AA21)*100</f>
        <v>35.225052244160871</v>
      </c>
      <c r="R27" s="41">
        <f>IF((('Local Appropriations-4Yr'!AA21/'Total E&amp;G-4yr'!AA21)*100)=0,(('Local Appropriations-4Yr'!AA21/'Total E&amp;G-4yr'!AA21)*100),IF((('Local Appropriations-4Yr'!AA21/'Total E&amp;G-4yr'!AA21)*100)&gt;=0.05,(('Local Appropriations-4Yr'!AA21/'Total E&amp;G-4yr'!AA21)*100),"*"))</f>
        <v>0</v>
      </c>
      <c r="S27" s="42">
        <f>('Fed Contracts Grnts-4Yr'!AA21/'Total E&amp;G-4yr'!AA21)*100</f>
        <v>22.468384896869022</v>
      </c>
      <c r="T27" s="41">
        <f>('Other Contract Grnts-4Yr'!AA21/'Total E&amp;G-4yr'!AA21)*100</f>
        <v>12.944638538173212</v>
      </c>
      <c r="U27" s="42">
        <f>(('All Other E&amp;G-4Yr'!AA21+'Investment Income-4Yr'!AA21)/('Total E&amp;G-4yr'!AA21))*100</f>
        <v>-19.140787084702417</v>
      </c>
      <c r="V27" s="42"/>
      <c r="W27" s="182">
        <f t="shared" si="13"/>
        <v>100.00000000000003</v>
      </c>
      <c r="X27" s="183">
        <f t="shared" si="14"/>
        <v>100</v>
      </c>
      <c r="Y27" s="188">
        <f t="shared" si="2"/>
        <v>35.225052244160871</v>
      </c>
      <c r="Z27" s="189">
        <f t="shared" si="3"/>
        <v>19.632250588967878</v>
      </c>
      <c r="AA27" s="188">
        <f t="shared" si="4"/>
        <v>35.413023435042234</v>
      </c>
      <c r="AB27" s="189">
        <f t="shared" si="5"/>
        <v>23.170980834108491</v>
      </c>
      <c r="AC27" s="43">
        <f t="shared" si="6"/>
        <v>100.00000000000001</v>
      </c>
      <c r="AD27" s="43">
        <f t="shared" si="7"/>
        <v>100</v>
      </c>
      <c r="AE27" s="43"/>
      <c r="AF27" s="1"/>
    </row>
    <row r="28" spans="1:32">
      <c r="A28" s="121" t="s">
        <v>15</v>
      </c>
      <c r="B28" s="121"/>
      <c r="C28" s="197">
        <f>('Tuition-4Yr'!AF22/'Total E&amp;G-4yr'!AF22)*100</f>
        <v>44.604055381351621</v>
      </c>
      <c r="D28" s="144">
        <f>('State Appropriations-4Yr'!AF22)/('Total E&amp;G-4yr'!AF22)*100</f>
        <v>22.670124988430583</v>
      </c>
      <c r="E28" s="197">
        <f>IF((('Local Appropriations-4Yr'!AF22/'Total E&amp;G-4yr'!AF22)*100)=0,(('Local Appropriations-4Yr'!AF22/'Total E&amp;G-4yr'!AF22)*100),IF((('Local Appropriations-4Yr'!AF22/'Total E&amp;G-4yr'!AF22)*100)&gt;=0.05,('Local Appropriations-4Yr'!AF22/'Total E&amp;G-4yr'!AF22)*100,"*"))</f>
        <v>0</v>
      </c>
      <c r="F28" s="144">
        <f>('Fed Contracts Grnts-4Yr'!AF22)/('Total E&amp;G-4yr'!AF22)*100</f>
        <v>13.73579741680269</v>
      </c>
      <c r="G28" s="197">
        <f>('Other Contract Grnts-4Yr'!AF22)/('Total E&amp;G-4yr'!AF22)*100</f>
        <v>13.579585605490937</v>
      </c>
      <c r="H28" s="199">
        <f>('All Other E&amp;G-4Yr'!AF22+'Investment Income-4Yr'!AF22)/('Total E&amp;G-4yr'!AF22)*100</f>
        <v>5.4104366079241846</v>
      </c>
      <c r="I28" s="148">
        <f t="shared" si="8"/>
        <v>6.1525585407136347</v>
      </c>
      <c r="J28" s="148">
        <f t="shared" si="9"/>
        <v>-5.5217541523475298</v>
      </c>
      <c r="K28" s="132">
        <f t="shared" si="1"/>
        <v>0</v>
      </c>
      <c r="L28" s="148">
        <f t="shared" si="10"/>
        <v>-1.3229540909364257</v>
      </c>
      <c r="M28" s="132">
        <f t="shared" si="11"/>
        <v>-0.73657802361851132</v>
      </c>
      <c r="N28" s="148">
        <f t="shared" si="12"/>
        <v>1.428727726188864</v>
      </c>
      <c r="O28" s="78"/>
      <c r="P28" s="39">
        <f>('Tuition-4Yr'!AA22/'Total E&amp;G-4yr'!AA22)*100</f>
        <v>38.451496840637986</v>
      </c>
      <c r="Q28" s="40">
        <f>('State Appropriations-4Yr'!AA22/'Total E&amp;G-4yr'!AA22)*100</f>
        <v>28.191879140778113</v>
      </c>
      <c r="R28" s="41">
        <f>IF((('Local Appropriations-4Yr'!AA22/'Total E&amp;G-4yr'!AA22)*100)=0,(('Local Appropriations-4Yr'!AA22/'Total E&amp;G-4yr'!AA22)*100),IF((('Local Appropriations-4Yr'!AA22/'Total E&amp;G-4yr'!AA22)*100)&gt;=0.05,(('Local Appropriations-4Yr'!AA22/'Total E&amp;G-4yr'!AA22)*100),"*"))</f>
        <v>0</v>
      </c>
      <c r="S28" s="42">
        <f>('Fed Contracts Grnts-4Yr'!AA22/'Total E&amp;G-4yr'!AA22)*100</f>
        <v>15.058751507739116</v>
      </c>
      <c r="T28" s="41">
        <f>('Other Contract Grnts-4Yr'!AA22/'Total E&amp;G-4yr'!AA22)*100</f>
        <v>14.316163629109449</v>
      </c>
      <c r="U28" s="42">
        <f>(('All Other E&amp;G-4Yr'!AA22+'Investment Income-4Yr'!AA22)/('Total E&amp;G-4yr'!AA22))*100</f>
        <v>3.9817088817353206</v>
      </c>
      <c r="V28" s="39"/>
      <c r="W28" s="182">
        <f t="shared" si="13"/>
        <v>99.999999999999986</v>
      </c>
      <c r="X28" s="183">
        <f t="shared" si="14"/>
        <v>100.00000000000001</v>
      </c>
      <c r="Y28" s="188">
        <f t="shared" si="2"/>
        <v>28.191879140778113</v>
      </c>
      <c r="Z28" s="189">
        <f t="shared" si="3"/>
        <v>22.670124988430583</v>
      </c>
      <c r="AA28" s="188">
        <f t="shared" si="4"/>
        <v>29.374915136848564</v>
      </c>
      <c r="AB28" s="189">
        <f t="shared" si="5"/>
        <v>27.315383022293627</v>
      </c>
      <c r="AC28" s="43">
        <f t="shared" si="6"/>
        <v>99.999999999999986</v>
      </c>
      <c r="AD28" s="43">
        <f t="shared" si="7"/>
        <v>100.00000000000001</v>
      </c>
      <c r="AE28" s="43"/>
    </row>
    <row r="29" spans="1:32" s="24" customFormat="1">
      <c r="A29" s="117" t="s">
        <v>144</v>
      </c>
      <c r="B29" s="117"/>
      <c r="C29" s="128">
        <f>('Tuition-4Yr'!AF23/'Total E&amp;G-4yr'!AF23)*100</f>
        <v>36.466446453135035</v>
      </c>
      <c r="D29" s="145">
        <f>('State Appropriations-4Yr'!AF23)/('Total E&amp;G-4yr'!AF23)*100</f>
        <v>18.481623274985122</v>
      </c>
      <c r="E29" s="128" t="str">
        <f>IF((('Local Appropriations-4Yr'!AF23/'Total E&amp;G-4yr'!AF23)*100)=0,(('Local Appropriations-4Yr'!AF23/'Total E&amp;G-4yr'!AF23)*100),IF((('Local Appropriations-4Yr'!AF23/'Total E&amp;G-4yr'!AF23)*100)&gt;=0.05,('Local Appropriations-4Yr'!AF23/'Total E&amp;G-4yr'!AF23)*100,"*"))</f>
        <v>*</v>
      </c>
      <c r="F29" s="145">
        <f>('Fed Contracts Grnts-4Yr'!AF23)/('Total E&amp;G-4yr'!AF23)*100</f>
        <v>21.148891132045776</v>
      </c>
      <c r="G29" s="128">
        <f>('Other Contract Grnts-4Yr'!AF23)/('Total E&amp;G-4yr'!AF23)*100</f>
        <v>13.202335943326585</v>
      </c>
      <c r="H29" s="145">
        <f>('All Other E&amp;G-4Yr'!AF23+'Investment Income-4Yr'!AF23)/('Total E&amp;G-4yr'!AF23)*100</f>
        <v>10.68155111322209</v>
      </c>
      <c r="I29" s="145">
        <f t="shared" si="8"/>
        <v>7.5949964098521363</v>
      </c>
      <c r="J29" s="145">
        <f t="shared" si="9"/>
        <v>-7.3588274343613307</v>
      </c>
      <c r="K29" s="128">
        <f t="shared" si="1"/>
        <v>0</v>
      </c>
      <c r="L29" s="145">
        <f t="shared" si="10"/>
        <v>-0.64196770054921615</v>
      </c>
      <c r="M29" s="128">
        <f t="shared" si="11"/>
        <v>0.40148860466535652</v>
      </c>
      <c r="N29" s="145" t="str">
        <f t="shared" si="12"/>
        <v>*</v>
      </c>
      <c r="O29" s="78"/>
      <c r="P29" s="39">
        <f>('Tuition-4Yr'!AA23/'Total E&amp;G-4yr'!AA23)*100</f>
        <v>28.871450043282898</v>
      </c>
      <c r="Q29" s="40">
        <f>('State Appropriations-4Yr'!AA23/'Total E&amp;G-4yr'!AA23)*100</f>
        <v>25.840450709346452</v>
      </c>
      <c r="R29" s="41" t="str">
        <f>IF((('Local Appropriations-4Yr'!AA23/'Total E&amp;G-4yr'!AA23)*100)=0,(('Local Appropriations-4Yr'!AA23/'Total E&amp;G-4yr'!AA23)*100),IF((('Local Appropriations-4Yr'!AA23/'Total E&amp;G-4yr'!AA23)*100)&gt;=0.05,(('Local Appropriations-4Yr'!AA23/'Total E&amp;G-4yr'!AA23)*100),"*"))</f>
        <v>*</v>
      </c>
      <c r="S29" s="42">
        <f>('Fed Contracts Grnts-4Yr'!AA23/'Total E&amp;G-4yr'!AA23)*100</f>
        <v>21.790858832594992</v>
      </c>
      <c r="T29" s="41">
        <f>('Other Contract Grnts-4Yr'!AA23/'Total E&amp;G-4yr'!AA23)*100</f>
        <v>12.800847338661228</v>
      </c>
      <c r="U29" s="42">
        <f>(('All Other E&amp;G-4Yr'!AA23+'Investment Income-4Yr'!AA23)/('Total E&amp;G-4yr'!AA23))*100</f>
        <v>10.681806210508224</v>
      </c>
      <c r="V29" s="45"/>
      <c r="W29" s="182">
        <f t="shared" si="13"/>
        <v>99.985413134393795</v>
      </c>
      <c r="X29" s="183">
        <f t="shared" si="14"/>
        <v>99.980847916714609</v>
      </c>
      <c r="Y29" s="188">
        <f t="shared" si="2"/>
        <v>25.840450709346452</v>
      </c>
      <c r="Z29" s="189">
        <f t="shared" si="3"/>
        <v>18.481623274985122</v>
      </c>
      <c r="AA29" s="188">
        <f t="shared" si="4"/>
        <v>34.59170617125622</v>
      </c>
      <c r="AB29" s="189">
        <f t="shared" si="5"/>
        <v>34.351227075372364</v>
      </c>
      <c r="AC29" s="43">
        <f t="shared" si="6"/>
        <v>99.985413134393809</v>
      </c>
      <c r="AD29" s="43">
        <f t="shared" si="7"/>
        <v>99.980847916714623</v>
      </c>
      <c r="AE29" s="43"/>
    </row>
    <row r="30" spans="1:32">
      <c r="A30" s="117"/>
      <c r="B30" s="117"/>
      <c r="C30" s="128"/>
      <c r="D30" s="145"/>
      <c r="E30" s="128"/>
      <c r="F30" s="145"/>
      <c r="G30" s="128"/>
      <c r="H30" s="145"/>
      <c r="I30" s="145"/>
      <c r="J30" s="145"/>
      <c r="K30" s="128">
        <f t="shared" si="1"/>
        <v>0</v>
      </c>
      <c r="L30" s="145"/>
      <c r="M30" s="128"/>
      <c r="N30" s="145"/>
      <c r="O30" s="12"/>
      <c r="P30" s="39"/>
      <c r="Q30" s="40"/>
      <c r="R30" s="41"/>
      <c r="S30" s="42"/>
      <c r="T30" s="41"/>
      <c r="U30" s="42"/>
      <c r="W30" s="182"/>
      <c r="X30" s="183"/>
      <c r="Y30" s="188"/>
      <c r="Z30" s="189"/>
      <c r="AA30" s="188"/>
      <c r="AB30" s="189"/>
      <c r="AC30" s="43"/>
      <c r="AD30" s="43"/>
      <c r="AE30" s="43"/>
    </row>
    <row r="31" spans="1:32">
      <c r="A31" s="118" t="s">
        <v>109</v>
      </c>
      <c r="B31" s="118"/>
      <c r="C31" s="129">
        <f>('Tuition-4Yr'!AF25/'Total E&amp;G-4yr'!AF25)*100</f>
        <v>18.85492320545584</v>
      </c>
      <c r="D31" s="146">
        <f>('State Appropriations-4Yr'!AF25)/('Total E&amp;G-4yr'!AF25)*100</f>
        <v>48.047249755067966</v>
      </c>
      <c r="E31" s="129">
        <f>IF((('Local Appropriations-4Yr'!AF25/'Total E&amp;G-4yr'!AF25)*100)=0,(('Local Appropriations-4Yr'!AF25/'Total E&amp;G-4yr'!AF25)*100),IF((('Local Appropriations-4Yr'!AF25/'Total E&amp;G-4yr'!AF25)*100)&gt;=0.05,('Local Appropriations-4Yr'!AF25/'Total E&amp;G-4yr'!AF25)*100,"*"))</f>
        <v>0</v>
      </c>
      <c r="F31" s="146">
        <f>('Fed Contracts Grnts-4Yr'!AF25)/('Total E&amp;G-4yr'!AF25)*100</f>
        <v>19.145369671518349</v>
      </c>
      <c r="G31" s="129">
        <f>('Other Contract Grnts-4Yr'!AF25)/('Total E&amp;G-4yr'!AF25)*100</f>
        <v>9.2640980504108761</v>
      </c>
      <c r="H31" s="146">
        <f>('All Other E&amp;G-4Yr'!AF25+'Investment Income-4Yr'!AF25)/('Total E&amp;G-4yr'!AF25)*100</f>
        <v>4.6883593175469542</v>
      </c>
      <c r="I31" s="146">
        <f t="shared" ref="I31:I44" si="16">IF((C31-P31)=0,(C31-P31),IF((C31-P31)&gt;=0.05,(C31-P31),IF((C31-P31&lt;=-0.05),(C31-P31),"*")))</f>
        <v>2.2316392625816945</v>
      </c>
      <c r="J31" s="146">
        <f t="shared" ref="J31:J44" si="17">IF((D31-Q31)=0,(D31-Q31),IF((D31-Q31)&gt;=0.05,(D31-Q31),IF((D31-Q31&lt;=-0.05),(D31-Q31),"*")))</f>
        <v>2.5027007648040183</v>
      </c>
      <c r="K31" s="129">
        <f t="shared" si="1"/>
        <v>0</v>
      </c>
      <c r="L31" s="146">
        <f t="shared" ref="L31:L44" si="18">IF((F31-S31)=0,(F31-S31),IF((F31-S31)&gt;=0.05,(F31-S31),IF((F31-S31&lt;=-0.05),(F31-S31),"*")))</f>
        <v>-2.5180157512397834</v>
      </c>
      <c r="M31" s="129">
        <f t="shared" ref="M31:M44" si="19">IF((G31-T31)=0,(G31-T31),IF((G31-T31)&gt;=0.05,(G31-T31),IF((G31-T31&lt;=-0.05),(G31-T31),"*")))</f>
        <v>-0.35186995863839954</v>
      </c>
      <c r="N31" s="146">
        <f t="shared" ref="N31:N44" si="20">IF((H31-U31)=0,(H31-U31),IF((H31-U31)&gt;=0.05,(H31-U31),IF((H31-U31&lt;=-0.05),(H31-U31),"*")))</f>
        <v>-1.8644543175075619</v>
      </c>
      <c r="O31" s="12"/>
      <c r="P31" s="39">
        <f>('Tuition-4Yr'!AA25/'Total E&amp;G-4yr'!AA25)*100</f>
        <v>16.623283942874146</v>
      </c>
      <c r="Q31" s="40">
        <f>('State Appropriations-4Yr'!AA25/'Total E&amp;G-4yr'!AA25)*100</f>
        <v>45.544548990263948</v>
      </c>
      <c r="R31" s="41">
        <f>IF((('Local Appropriations-4Yr'!AA25/'Total E&amp;G-4yr'!AA25)*100)=0,(('Local Appropriations-4Yr'!AA25/'Total E&amp;G-4yr'!AA25)*100),IF((('Local Appropriations-4Yr'!AA25/'Total E&amp;G-4yr'!AA25)*100)&gt;=0.05,(('Local Appropriations-4Yr'!AA25/'Total E&amp;G-4yr'!AA25)*100),"*"))</f>
        <v>0</v>
      </c>
      <c r="S31" s="42">
        <f>('Fed Contracts Grnts-4Yr'!AA25/'Total E&amp;G-4yr'!AA25)*100</f>
        <v>21.663385422758132</v>
      </c>
      <c r="T31" s="41">
        <f>('Other Contract Grnts-4Yr'!AA25/'Total E&amp;G-4yr'!AA25)*100</f>
        <v>9.6159680090492756</v>
      </c>
      <c r="U31" s="42">
        <f>(('All Other E&amp;G-4Yr'!AA25+'Investment Income-4Yr'!AA25)/('Total E&amp;G-4yr'!AA25))*100</f>
        <v>6.5528136350545161</v>
      </c>
      <c r="W31" s="182">
        <f t="shared" ref="W31:W44" si="21">SUM(P31:U31)</f>
        <v>100.00000000000003</v>
      </c>
      <c r="X31" s="183">
        <f t="shared" ref="X31:X44" si="22">SUM(C31:H31)</f>
        <v>100</v>
      </c>
      <c r="Y31" s="188">
        <f t="shared" si="2"/>
        <v>45.544548990263948</v>
      </c>
      <c r="Z31" s="189">
        <f t="shared" si="3"/>
        <v>48.047249755067966</v>
      </c>
      <c r="AA31" s="188">
        <f t="shared" si="4"/>
        <v>31.279353431807408</v>
      </c>
      <c r="AB31" s="189">
        <f t="shared" si="5"/>
        <v>28.409467721929225</v>
      </c>
      <c r="AC31" s="43">
        <f t="shared" si="6"/>
        <v>100.00000000000003</v>
      </c>
      <c r="AD31" s="43">
        <f t="shared" si="7"/>
        <v>100</v>
      </c>
      <c r="AE31" s="43"/>
    </row>
    <row r="32" spans="1:32">
      <c r="A32" s="118" t="s">
        <v>110</v>
      </c>
      <c r="B32" s="118"/>
      <c r="C32" s="129">
        <f>('Tuition-4Yr'!AF26/'Total E&amp;G-4yr'!AF26)*100</f>
        <v>48.929208276381914</v>
      </c>
      <c r="D32" s="146">
        <f>('State Appropriations-4Yr'!AF26)/('Total E&amp;G-4yr'!AF26)*100</f>
        <v>16.858261966220795</v>
      </c>
      <c r="E32" s="129" t="str">
        <f>IF((('Local Appropriations-4Yr'!AF26/'Total E&amp;G-4yr'!AF26)*100)=0,(('Local Appropriations-4Yr'!AF26/'Total E&amp;G-4yr'!AF26)*100),IF((('Local Appropriations-4Yr'!AF26/'Total E&amp;G-4yr'!AF26)*100)&gt;=0.05,('Local Appropriations-4Yr'!AF26/'Total E&amp;G-4yr'!AF26)*100,"*"))</f>
        <v>*</v>
      </c>
      <c r="F32" s="146">
        <f>('Fed Contracts Grnts-4Yr'!AF26)/('Total E&amp;G-4yr'!AF26)*100</f>
        <v>19.312677942761816</v>
      </c>
      <c r="G32" s="129">
        <f>('Other Contract Grnts-4Yr'!AF26)/('Total E&amp;G-4yr'!AF26)*100</f>
        <v>8.342226687648008</v>
      </c>
      <c r="H32" s="146">
        <f>('All Other E&amp;G-4Yr'!AF26+'Investment Income-4Yr'!AF26)/('Total E&amp;G-4yr'!AF26)*100</f>
        <v>6.5309168189951539</v>
      </c>
      <c r="I32" s="146">
        <f t="shared" si="16"/>
        <v>14.208940879863803</v>
      </c>
      <c r="J32" s="146">
        <f t="shared" si="17"/>
        <v>-11.034707740318083</v>
      </c>
      <c r="K32" s="129">
        <f t="shared" si="1"/>
        <v>0</v>
      </c>
      <c r="L32" s="146">
        <f t="shared" si="18"/>
        <v>0.48478880438969441</v>
      </c>
      <c r="M32" s="129">
        <f t="shared" si="19"/>
        <v>-2.4526451108723872</v>
      </c>
      <c r="N32" s="146">
        <f t="shared" si="20"/>
        <v>-1.2330851410553407</v>
      </c>
      <c r="O32" s="12"/>
      <c r="P32" s="39">
        <f>('Tuition-4Yr'!AA26/'Total E&amp;G-4yr'!AA26)*100</f>
        <v>34.720267396518111</v>
      </c>
      <c r="Q32" s="40">
        <f>('State Appropriations-4Yr'!AA26/'Total E&amp;G-4yr'!AA26)*100</f>
        <v>27.892969706538878</v>
      </c>
      <c r="R32" s="41">
        <f>IF((('Local Appropriations-4Yr'!AA26/'Total E&amp;G-4yr'!AA26)*100)=0,(('Local Appropriations-4Yr'!AA26/'Total E&amp;G-4yr'!AA26)*100),IF((('Local Appropriations-4Yr'!AA26/'Total E&amp;G-4yr'!AA26)*100)&gt;=0.05,(('Local Appropriations-4Yr'!AA26/'Total E&amp;G-4yr'!AA26)*100),"*"))</f>
        <v>0</v>
      </c>
      <c r="S32" s="42">
        <f>('Fed Contracts Grnts-4Yr'!AA26/'Total E&amp;G-4yr'!AA26)*100</f>
        <v>18.827889138372122</v>
      </c>
      <c r="T32" s="41">
        <f>('Other Contract Grnts-4Yr'!AA26/'Total E&amp;G-4yr'!AA26)*100</f>
        <v>10.794871798520395</v>
      </c>
      <c r="U32" s="42">
        <f>(('All Other E&amp;G-4Yr'!AA26+'Investment Income-4Yr'!AA26)/('Total E&amp;G-4yr'!AA26))*100</f>
        <v>7.7640019600504946</v>
      </c>
      <c r="W32" s="182">
        <f t="shared" si="21"/>
        <v>100</v>
      </c>
      <c r="X32" s="183">
        <f t="shared" si="22"/>
        <v>99.973291692007692</v>
      </c>
      <c r="Y32" s="188">
        <f t="shared" si="2"/>
        <v>27.892969706538878</v>
      </c>
      <c r="Z32" s="189">
        <f t="shared" si="3"/>
        <v>16.858261966220795</v>
      </c>
      <c r="AA32" s="188">
        <f t="shared" si="4"/>
        <v>29.622760936892519</v>
      </c>
      <c r="AB32" s="189">
        <f t="shared" si="5"/>
        <v>27.654904630409824</v>
      </c>
      <c r="AC32" s="43">
        <f t="shared" si="6"/>
        <v>100</v>
      </c>
      <c r="AD32" s="43">
        <f t="shared" si="7"/>
        <v>99.973291692007678</v>
      </c>
      <c r="AE32" s="43"/>
    </row>
    <row r="33" spans="1:31">
      <c r="A33" s="118" t="s">
        <v>111</v>
      </c>
      <c r="B33" s="118"/>
      <c r="C33" s="129">
        <f>('Tuition-4Yr'!AF27/'Total E&amp;G-4yr'!AF27)*100</f>
        <v>34.639983406572092</v>
      </c>
      <c r="D33" s="146">
        <f>('State Appropriations-4Yr'!AF27)/('Total E&amp;G-4yr'!AF27)*100</f>
        <v>20.020066160498615</v>
      </c>
      <c r="E33" s="129">
        <f>IF((('Local Appropriations-4Yr'!AF27/'Total E&amp;G-4yr'!AF27)*100)=0,(('Local Appropriations-4Yr'!AF27/'Total E&amp;G-4yr'!AF27)*100),IF((('Local Appropriations-4Yr'!AF27/'Total E&amp;G-4yr'!AF27)*100)&gt;=0.05,('Local Appropriations-4Yr'!AF27/'Total E&amp;G-4yr'!AF27)*100,"*"))</f>
        <v>0</v>
      </c>
      <c r="F33" s="146">
        <f>('Fed Contracts Grnts-4Yr'!AF27)/('Total E&amp;G-4yr'!AF27)*100</f>
        <v>19.178754350070339</v>
      </c>
      <c r="G33" s="129">
        <f>('Other Contract Grnts-4Yr'!AF27)/('Total E&amp;G-4yr'!AF27)*100</f>
        <v>14.276691886832937</v>
      </c>
      <c r="H33" s="146">
        <f>('All Other E&amp;G-4Yr'!AF27+'Investment Income-4Yr'!AF27)/('Total E&amp;G-4yr'!AF27)*100</f>
        <v>11.884504196026031</v>
      </c>
      <c r="I33" s="146">
        <f t="shared" si="16"/>
        <v>8.1553286300126295</v>
      </c>
      <c r="J33" s="146">
        <f t="shared" si="17"/>
        <v>-5.3369338712113041</v>
      </c>
      <c r="K33" s="129">
        <f t="shared" si="1"/>
        <v>0</v>
      </c>
      <c r="L33" s="146">
        <f t="shared" si="18"/>
        <v>0.34891353710884232</v>
      </c>
      <c r="M33" s="129">
        <f t="shared" si="19"/>
        <v>1.9928939442099356</v>
      </c>
      <c r="N33" s="146">
        <f t="shared" si="20"/>
        <v>-5.1602022401200909</v>
      </c>
      <c r="O33" s="12"/>
      <c r="P33" s="39">
        <f>('Tuition-4Yr'!AA27/'Total E&amp;G-4yr'!AA27)*100</f>
        <v>26.484654776559463</v>
      </c>
      <c r="Q33" s="40">
        <f>('State Appropriations-4Yr'!AA27/'Total E&amp;G-4yr'!AA27)*100</f>
        <v>25.357000031709919</v>
      </c>
      <c r="R33" s="41">
        <f>IF((('Local Appropriations-4Yr'!AA27/'Total E&amp;G-4yr'!AA27)*100)=0,(('Local Appropriations-4Yr'!AA27/'Total E&amp;G-4yr'!AA27)*100),IF((('Local Appropriations-4Yr'!AA27/'Total E&amp;G-4yr'!AA27)*100)&gt;=0.05,(('Local Appropriations-4Yr'!AA27/'Total E&amp;G-4yr'!AA27)*100),"*"))</f>
        <v>0</v>
      </c>
      <c r="S33" s="42">
        <f>('Fed Contracts Grnts-4Yr'!AA27/'Total E&amp;G-4yr'!AA27)*100</f>
        <v>18.829840812961496</v>
      </c>
      <c r="T33" s="41">
        <f>('Other Contract Grnts-4Yr'!AA27/'Total E&amp;G-4yr'!AA27)*100</f>
        <v>12.283797942623002</v>
      </c>
      <c r="U33" s="42">
        <f>(('All Other E&amp;G-4Yr'!AA27+'Investment Income-4Yr'!AA27)/('Total E&amp;G-4yr'!AA27))*100</f>
        <v>17.044706436146122</v>
      </c>
      <c r="W33" s="182">
        <f t="shared" si="21"/>
        <v>100</v>
      </c>
      <c r="X33" s="183">
        <f t="shared" si="22"/>
        <v>100.00000000000001</v>
      </c>
      <c r="Y33" s="188">
        <f t="shared" si="2"/>
        <v>25.357000031709919</v>
      </c>
      <c r="Z33" s="189">
        <f t="shared" si="3"/>
        <v>20.020066160498615</v>
      </c>
      <c r="AA33" s="188">
        <f t="shared" si="4"/>
        <v>31.113638755584496</v>
      </c>
      <c r="AB33" s="189">
        <f t="shared" si="5"/>
        <v>33.455446236903278</v>
      </c>
      <c r="AC33" s="43">
        <f t="shared" si="6"/>
        <v>100</v>
      </c>
      <c r="AD33" s="43">
        <f t="shared" si="7"/>
        <v>100.00000000000003</v>
      </c>
      <c r="AE33" s="43"/>
    </row>
    <row r="34" spans="1:31">
      <c r="A34" s="118" t="s">
        <v>112</v>
      </c>
      <c r="B34" s="118"/>
      <c r="C34" s="129">
        <f>('Tuition-4Yr'!AF28/'Total E&amp;G-4yr'!AF28)*100</f>
        <v>51.236410693003123</v>
      </c>
      <c r="D34" s="146">
        <f>('State Appropriations-4Yr'!AF28)/('Total E&amp;G-4yr'!AF28)*100</f>
        <v>0.45589731138546352</v>
      </c>
      <c r="E34" s="129">
        <f>IF((('Local Appropriations-4Yr'!AF28/'Total E&amp;G-4yr'!AF28)*100)=0,(('Local Appropriations-4Yr'!AF28/'Total E&amp;G-4yr'!AF28)*100),IF((('Local Appropriations-4Yr'!AF28/'Total E&amp;G-4yr'!AF28)*100)&gt;=0.05,('Local Appropriations-4Yr'!AF28/'Total E&amp;G-4yr'!AF28)*100,"*"))</f>
        <v>0</v>
      </c>
      <c r="F34" s="146">
        <f>('Fed Contracts Grnts-4Yr'!AF28)/('Total E&amp;G-4yr'!AF28)*100</f>
        <v>25.67286005240253</v>
      </c>
      <c r="G34" s="129">
        <f>('Other Contract Grnts-4Yr'!AF28)/('Total E&amp;G-4yr'!AF28)*100</f>
        <v>17.39408142870068</v>
      </c>
      <c r="H34" s="146">
        <f>('All Other E&amp;G-4Yr'!AF28+'Investment Income-4Yr'!AF28)/('Total E&amp;G-4yr'!AF28)*100</f>
        <v>5.2407505145081998</v>
      </c>
      <c r="I34" s="146">
        <f t="shared" si="16"/>
        <v>10.119769175481402</v>
      </c>
      <c r="J34" s="146">
        <f t="shared" si="17"/>
        <v>-0.25407182571716147</v>
      </c>
      <c r="K34" s="129">
        <f t="shared" si="1"/>
        <v>0</v>
      </c>
      <c r="L34" s="146">
        <f t="shared" si="18"/>
        <v>-1.1811381455362309</v>
      </c>
      <c r="M34" s="129">
        <f t="shared" si="19"/>
        <v>-1.2878490907450768</v>
      </c>
      <c r="N34" s="146">
        <f t="shared" si="20"/>
        <v>-7.3967101134829338</v>
      </c>
      <c r="O34" s="12"/>
      <c r="P34" s="39">
        <f>('Tuition-4Yr'!AA28/'Total E&amp;G-4yr'!AA28)*100</f>
        <v>41.116641517521721</v>
      </c>
      <c r="Q34" s="40">
        <f>('State Appropriations-4Yr'!AA28/'Total E&amp;G-4yr'!AA28)*100</f>
        <v>0.70996913710262499</v>
      </c>
      <c r="R34" s="41">
        <f>IF((('Local Appropriations-4Yr'!AA28/'Total E&amp;G-4yr'!AA28)*100)=0,(('Local Appropriations-4Yr'!AA28/'Total E&amp;G-4yr'!AA28)*100),IF((('Local Appropriations-4Yr'!AA28/'Total E&amp;G-4yr'!AA28)*100)&gt;=0.05,(('Local Appropriations-4Yr'!AA28/'Total E&amp;G-4yr'!AA28)*100),"*"))</f>
        <v>0</v>
      </c>
      <c r="S34" s="42">
        <f>('Fed Contracts Grnts-4Yr'!AA28/'Total E&amp;G-4yr'!AA28)*100</f>
        <v>26.853998197938761</v>
      </c>
      <c r="T34" s="41">
        <f>('Other Contract Grnts-4Yr'!AA28/'Total E&amp;G-4yr'!AA28)*100</f>
        <v>18.681930519445757</v>
      </c>
      <c r="U34" s="42">
        <f>(('All Other E&amp;G-4Yr'!AA28+'Investment Income-4Yr'!AA28)/('Total E&amp;G-4yr'!AA28))*100</f>
        <v>12.637460627991134</v>
      </c>
      <c r="W34" s="182">
        <f t="shared" si="21"/>
        <v>100</v>
      </c>
      <c r="X34" s="183">
        <f t="shared" si="22"/>
        <v>100</v>
      </c>
      <c r="Y34" s="188">
        <f t="shared" si="2"/>
        <v>0.70996913710262499</v>
      </c>
      <c r="Z34" s="189">
        <f t="shared" si="3"/>
        <v>0.45589731138546352</v>
      </c>
      <c r="AA34" s="188">
        <f t="shared" si="4"/>
        <v>45.535928717384522</v>
      </c>
      <c r="AB34" s="189">
        <f t="shared" si="5"/>
        <v>43.066941481103214</v>
      </c>
      <c r="AC34" s="43">
        <f t="shared" si="6"/>
        <v>100</v>
      </c>
      <c r="AD34" s="43">
        <f t="shared" si="7"/>
        <v>100</v>
      </c>
      <c r="AE34" s="43"/>
    </row>
    <row r="35" spans="1:31">
      <c r="A35" s="119" t="s">
        <v>115</v>
      </c>
      <c r="B35" s="119"/>
      <c r="C35" s="128">
        <f>('Tuition-4Yr'!AF29/'Total E&amp;G-4yr'!AF29)*100</f>
        <v>28.229882065773786</v>
      </c>
      <c r="D35" s="145">
        <f>('State Appropriations-4Yr'!AF29)/('Total E&amp;G-4yr'!AF29)*100</f>
        <v>22.474444672485721</v>
      </c>
      <c r="E35" s="128">
        <f>IF((('Local Appropriations-4Yr'!AF29/'Total E&amp;G-4yr'!AF29)*100)=0,(('Local Appropriations-4Yr'!AF29/'Total E&amp;G-4yr'!AF29)*100),IF((('Local Appropriations-4Yr'!AF29/'Total E&amp;G-4yr'!AF29)*100)&gt;=0.05,('Local Appropriations-4Yr'!AF29/'Total E&amp;G-4yr'!AF29)*100,"*"))</f>
        <v>0</v>
      </c>
      <c r="F35" s="145">
        <f>('Fed Contracts Grnts-4Yr'!AF29)/('Total E&amp;G-4yr'!AF29)*100</f>
        <v>29.609620397513677</v>
      </c>
      <c r="G35" s="128">
        <f>('Other Contract Grnts-4Yr'!AF29)/('Total E&amp;G-4yr'!AF29)*100</f>
        <v>17.399648296012092</v>
      </c>
      <c r="H35" s="145">
        <f>('All Other E&amp;G-4Yr'!AF29+'Investment Income-4Yr'!AF29)/('Total E&amp;G-4yr'!AF29)*100</f>
        <v>2.2864045682147083</v>
      </c>
      <c r="I35" s="147">
        <f t="shared" si="16"/>
        <v>10.881813461927912</v>
      </c>
      <c r="J35" s="147">
        <f t="shared" si="17"/>
        <v>-10.042129332113365</v>
      </c>
      <c r="K35" s="130">
        <f t="shared" si="1"/>
        <v>0</v>
      </c>
      <c r="L35" s="147">
        <f t="shared" si="18"/>
        <v>2.0027761959516397</v>
      </c>
      <c r="M35" s="130">
        <f t="shared" si="19"/>
        <v>-2.761081528676705</v>
      </c>
      <c r="N35" s="147">
        <f t="shared" si="20"/>
        <v>-8.137879708949658E-2</v>
      </c>
      <c r="O35" s="12"/>
      <c r="P35" s="39">
        <f>('Tuition-4Yr'!AA29/'Total E&amp;G-4yr'!AA29)*100</f>
        <v>17.348068603845874</v>
      </c>
      <c r="Q35" s="40">
        <f>('State Appropriations-4Yr'!AA29/'Total E&amp;G-4yr'!AA29)*100</f>
        <v>32.516574004599086</v>
      </c>
      <c r="R35" s="41">
        <f>IF((('Local Appropriations-4Yr'!AA29/'Total E&amp;G-4yr'!AA29)*100)=0,(('Local Appropriations-4Yr'!AA29/'Total E&amp;G-4yr'!AA29)*100),IF((('Local Appropriations-4Yr'!AA29/'Total E&amp;G-4yr'!AA29)*100)&gt;=0.05,(('Local Appropriations-4Yr'!AA29/'Total E&amp;G-4yr'!AA29)*100),"*"))</f>
        <v>0</v>
      </c>
      <c r="S35" s="42">
        <f>('Fed Contracts Grnts-4Yr'!AA29/'Total E&amp;G-4yr'!AA29)*100</f>
        <v>27.606844201562037</v>
      </c>
      <c r="T35" s="41">
        <f>('Other Contract Grnts-4Yr'!AA29/'Total E&amp;G-4yr'!AA29)*100</f>
        <v>20.160729824688797</v>
      </c>
      <c r="U35" s="42">
        <f>(('All Other E&amp;G-4Yr'!AA29+'Investment Income-4Yr'!AA29)/('Total E&amp;G-4yr'!AA29))*100</f>
        <v>2.3677833653042049</v>
      </c>
      <c r="W35" s="182">
        <f t="shared" si="21"/>
        <v>100</v>
      </c>
      <c r="X35" s="183">
        <f t="shared" si="22"/>
        <v>99.999999999999986</v>
      </c>
      <c r="Y35" s="188">
        <f t="shared" si="2"/>
        <v>32.516574004599086</v>
      </c>
      <c r="Z35" s="189">
        <f t="shared" si="3"/>
        <v>22.474444672485721</v>
      </c>
      <c r="AA35" s="188">
        <f t="shared" si="4"/>
        <v>47.767574026250834</v>
      </c>
      <c r="AB35" s="189">
        <f t="shared" si="5"/>
        <v>47.009268693525769</v>
      </c>
      <c r="AC35" s="43">
        <f t="shared" si="6"/>
        <v>100</v>
      </c>
      <c r="AD35" s="43">
        <f t="shared" si="7"/>
        <v>99.999999999999972</v>
      </c>
      <c r="AE35" s="43"/>
    </row>
    <row r="36" spans="1:31">
      <c r="A36" s="119" t="s">
        <v>116</v>
      </c>
      <c r="B36" s="119"/>
      <c r="C36" s="128">
        <f>('Tuition-4Yr'!AF30/'Total E&amp;G-4yr'!AF30)*100</f>
        <v>37.944374322226061</v>
      </c>
      <c r="D36" s="145">
        <f>('State Appropriations-4Yr'!AF30)/('Total E&amp;G-4yr'!AF30)*100</f>
        <v>30.618683273421599</v>
      </c>
      <c r="E36" s="128">
        <f>IF((('Local Appropriations-4Yr'!AF30/'Total E&amp;G-4yr'!AF30)*100)=0,(('Local Appropriations-4Yr'!AF30/'Total E&amp;G-4yr'!AF30)*100),IF((('Local Appropriations-4Yr'!AF30/'Total E&amp;G-4yr'!AF30)*100)&gt;=0.05,('Local Appropriations-4Yr'!AF30/'Total E&amp;G-4yr'!AF30)*100,"*"))</f>
        <v>0</v>
      </c>
      <c r="F36" s="145">
        <f>('Fed Contracts Grnts-4Yr'!AF30)/('Total E&amp;G-4yr'!AF30)*100</f>
        <v>18.086311721583829</v>
      </c>
      <c r="G36" s="128">
        <f>('Other Contract Grnts-4Yr'!AF30)/('Total E&amp;G-4yr'!AF30)*100</f>
        <v>9.8872027359743981</v>
      </c>
      <c r="H36" s="145">
        <f>('All Other E&amp;G-4Yr'!AF30+'Investment Income-4Yr'!AF30)/('Total E&amp;G-4yr'!AF30)*100</f>
        <v>3.4634279467941056</v>
      </c>
      <c r="I36" s="147">
        <f t="shared" si="16"/>
        <v>8.0428699416198306</v>
      </c>
      <c r="J36" s="147">
        <f t="shared" si="17"/>
        <v>-8.825747780749662</v>
      </c>
      <c r="K36" s="130">
        <f t="shared" si="1"/>
        <v>0</v>
      </c>
      <c r="L36" s="147">
        <f t="shared" si="18"/>
        <v>0.58601922341801327</v>
      </c>
      <c r="M36" s="130">
        <f t="shared" si="19"/>
        <v>0.37823541881440015</v>
      </c>
      <c r="N36" s="147">
        <f t="shared" si="20"/>
        <v>-0.1813768031025953</v>
      </c>
      <c r="O36" s="12"/>
      <c r="P36" s="39">
        <f>('Tuition-4Yr'!AA30/'Total E&amp;G-4yr'!AA30)*100</f>
        <v>29.90150438060623</v>
      </c>
      <c r="Q36" s="40">
        <f>('State Appropriations-4Yr'!AA30/'Total E&amp;G-4yr'!AA30)*100</f>
        <v>39.444431054171261</v>
      </c>
      <c r="R36" s="41">
        <f>IF((('Local Appropriations-4Yr'!AA30/'Total E&amp;G-4yr'!AA30)*100)=0,(('Local Appropriations-4Yr'!AA30/'Total E&amp;G-4yr'!AA30)*100),IF((('Local Appropriations-4Yr'!AA30/'Total E&amp;G-4yr'!AA30)*100)&gt;=0.05,(('Local Appropriations-4Yr'!AA30/'Total E&amp;G-4yr'!AA30)*100),"*"))</f>
        <v>0</v>
      </c>
      <c r="S36" s="42">
        <f>('Fed Contracts Grnts-4Yr'!AA30/'Total E&amp;G-4yr'!AA30)*100</f>
        <v>17.500292498165816</v>
      </c>
      <c r="T36" s="41">
        <f>('Other Contract Grnts-4Yr'!AA30/'Total E&amp;G-4yr'!AA30)*100</f>
        <v>9.508967317159998</v>
      </c>
      <c r="U36" s="42">
        <f>(('All Other E&amp;G-4Yr'!AA30+'Investment Income-4Yr'!AA30)/('Total E&amp;G-4yr'!AA30))*100</f>
        <v>3.6448047498967009</v>
      </c>
      <c r="W36" s="182">
        <f t="shared" si="21"/>
        <v>100.00000000000001</v>
      </c>
      <c r="X36" s="183">
        <f t="shared" si="22"/>
        <v>100</v>
      </c>
      <c r="Y36" s="188">
        <f t="shared" si="2"/>
        <v>39.444431054171261</v>
      </c>
      <c r="Z36" s="189">
        <f t="shared" si="3"/>
        <v>30.618683273421599</v>
      </c>
      <c r="AA36" s="188">
        <f t="shared" si="4"/>
        <v>27.009259815325812</v>
      </c>
      <c r="AB36" s="189">
        <f t="shared" si="5"/>
        <v>27.973514457558228</v>
      </c>
      <c r="AC36" s="43">
        <f t="shared" si="6"/>
        <v>100.00000000000001</v>
      </c>
      <c r="AD36" s="43">
        <f t="shared" si="7"/>
        <v>100</v>
      </c>
      <c r="AE36" s="43"/>
    </row>
    <row r="37" spans="1:31">
      <c r="A37" s="119" t="s">
        <v>124</v>
      </c>
      <c r="B37" s="119"/>
      <c r="C37" s="128">
        <f>('Tuition-4Yr'!AF31/'Total E&amp;G-4yr'!AF31)*100</f>
        <v>41.626710909924704</v>
      </c>
      <c r="D37" s="145">
        <f>('State Appropriations-4Yr'!AF31)/('Total E&amp;G-4yr'!AF31)*100</f>
        <v>22.999653137090313</v>
      </c>
      <c r="E37" s="128" t="str">
        <f>IF((('Local Appropriations-4Yr'!AF31/'Total E&amp;G-4yr'!AF31)*100)=0,(('Local Appropriations-4Yr'!AF31/'Total E&amp;G-4yr'!AF31)*100),IF((('Local Appropriations-4Yr'!AF31/'Total E&amp;G-4yr'!AF31)*100)&gt;=0.05,('Local Appropriations-4Yr'!AF31/'Total E&amp;G-4yr'!AF31)*100,"*"))</f>
        <v>*</v>
      </c>
      <c r="F37" s="145">
        <f>('Fed Contracts Grnts-4Yr'!AF31)/('Total E&amp;G-4yr'!AF31)*100</f>
        <v>21.047634513603331</v>
      </c>
      <c r="G37" s="128">
        <f>('Other Contract Grnts-4Yr'!AF31)/('Total E&amp;G-4yr'!AF31)*100</f>
        <v>7.7597030330609131</v>
      </c>
      <c r="H37" s="145">
        <f>('All Other E&amp;G-4Yr'!AF31+'Investment Income-4Yr'!AF31)/('Total E&amp;G-4yr'!AF31)*100</f>
        <v>6.5552047941665901</v>
      </c>
      <c r="I37" s="147">
        <f t="shared" si="16"/>
        <v>6.0565765285303144</v>
      </c>
      <c r="J37" s="147">
        <f t="shared" si="17"/>
        <v>-0.8573277070434564</v>
      </c>
      <c r="K37" s="130">
        <f t="shared" si="1"/>
        <v>0</v>
      </c>
      <c r="L37" s="147">
        <f t="shared" si="18"/>
        <v>-3.3121660077089636</v>
      </c>
      <c r="M37" s="130">
        <f t="shared" si="19"/>
        <v>-0.93785793840855458</v>
      </c>
      <c r="N37" s="147">
        <f t="shared" si="20"/>
        <v>-0.96031848752349536</v>
      </c>
      <c r="O37" s="12"/>
      <c r="P37" s="39">
        <f>('Tuition-4Yr'!AA31/'Total E&amp;G-4yr'!AA31)*100</f>
        <v>35.570134381394389</v>
      </c>
      <c r="Q37" s="40">
        <f>('State Appropriations-4Yr'!AA31/'Total E&amp;G-4yr'!AA31)*100</f>
        <v>23.856980844133769</v>
      </c>
      <c r="R37" s="41">
        <f>IF((('Local Appropriations-4Yr'!AA31/'Total E&amp;G-4yr'!AA31)*100)=0,(('Local Appropriations-4Yr'!AA31/'Total E&amp;G-4yr'!AA31)*100),IF((('Local Appropriations-4Yr'!AA31/'Total E&amp;G-4yr'!AA31)*100)&gt;=0.05,(('Local Appropriations-4Yr'!AA31/'Total E&amp;G-4yr'!AA31)*100),"*"))</f>
        <v>0</v>
      </c>
      <c r="S37" s="42">
        <f>('Fed Contracts Grnts-4Yr'!AA31/'Total E&amp;G-4yr'!AA31)*100</f>
        <v>24.359800521312295</v>
      </c>
      <c r="T37" s="41">
        <f>('Other Contract Grnts-4Yr'!AA31/'Total E&amp;G-4yr'!AA31)*100</f>
        <v>8.6975609714694677</v>
      </c>
      <c r="U37" s="42">
        <f>(('All Other E&amp;G-4Yr'!AA31+'Investment Income-4Yr'!AA31)/('Total E&amp;G-4yr'!AA31))*100</f>
        <v>7.5155232816900854</v>
      </c>
      <c r="W37" s="182">
        <f t="shared" si="21"/>
        <v>100</v>
      </c>
      <c r="X37" s="183">
        <f t="shared" si="22"/>
        <v>99.988906387845844</v>
      </c>
      <c r="Y37" s="188">
        <f t="shared" si="2"/>
        <v>23.856980844133769</v>
      </c>
      <c r="Z37" s="189">
        <f t="shared" si="3"/>
        <v>22.999653137090313</v>
      </c>
      <c r="AA37" s="188">
        <f t="shared" si="4"/>
        <v>33.057361492781766</v>
      </c>
      <c r="AB37" s="189">
        <f t="shared" si="5"/>
        <v>28.807337546664243</v>
      </c>
      <c r="AC37" s="43">
        <f t="shared" si="6"/>
        <v>100</v>
      </c>
      <c r="AD37" s="43">
        <f t="shared" si="7"/>
        <v>99.988906387845844</v>
      </c>
      <c r="AE37" s="43"/>
    </row>
    <row r="38" spans="1:31">
      <c r="A38" s="119" t="s">
        <v>126</v>
      </c>
      <c r="B38" s="119"/>
      <c r="C38" s="128">
        <f>('Tuition-4Yr'!AF32/'Total E&amp;G-4yr'!AF32)*100</f>
        <v>35.901746933436037</v>
      </c>
      <c r="D38" s="145">
        <f>('State Appropriations-4Yr'!AF32)/('Total E&amp;G-4yr'!AF32)*100</f>
        <v>28.281672705508004</v>
      </c>
      <c r="E38" s="128">
        <f>IF((('Local Appropriations-4Yr'!AF32/'Total E&amp;G-4yr'!AF32)*100)=0,(('Local Appropriations-4Yr'!AF32/'Total E&amp;G-4yr'!AF32)*100),IF((('Local Appropriations-4Yr'!AF32/'Total E&amp;G-4yr'!AF32)*100)&gt;=0.05,('Local Appropriations-4Yr'!AF32/'Total E&amp;G-4yr'!AF32)*100,"*"))</f>
        <v>0</v>
      </c>
      <c r="F38" s="145">
        <f>('Fed Contracts Grnts-4Yr'!AF32)/('Total E&amp;G-4yr'!AF32)*100</f>
        <v>17.262341998414886</v>
      </c>
      <c r="G38" s="128">
        <f>('Other Contract Grnts-4Yr'!AF32)/('Total E&amp;G-4yr'!AF32)*100</f>
        <v>9.4122806846653049</v>
      </c>
      <c r="H38" s="145">
        <f>('All Other E&amp;G-4Yr'!AF32+'Investment Income-4Yr'!AF32)/('Total E&amp;G-4yr'!AF32)*100</f>
        <v>9.1419576779757765</v>
      </c>
      <c r="I38" s="147">
        <f t="shared" si="16"/>
        <v>9.1899199277184991</v>
      </c>
      <c r="J38" s="147">
        <f t="shared" si="17"/>
        <v>-13.40487763692256</v>
      </c>
      <c r="K38" s="130">
        <f t="shared" si="1"/>
        <v>0</v>
      </c>
      <c r="L38" s="147">
        <f t="shared" si="18"/>
        <v>5.1548618465872664E-2</v>
      </c>
      <c r="M38" s="130">
        <f t="shared" si="19"/>
        <v>0.75371173085364163</v>
      </c>
      <c r="N38" s="147">
        <f t="shared" si="20"/>
        <v>3.409697359884567</v>
      </c>
      <c r="O38" s="12"/>
      <c r="P38" s="39">
        <f>('Tuition-4Yr'!AA32/'Total E&amp;G-4yr'!AA32)*100</f>
        <v>26.711827005717538</v>
      </c>
      <c r="Q38" s="40">
        <f>('State Appropriations-4Yr'!AA32/'Total E&amp;G-4yr'!AA32)*100</f>
        <v>41.686550342430564</v>
      </c>
      <c r="R38" s="41">
        <f>IF((('Local Appropriations-4Yr'!AA32/'Total E&amp;G-4yr'!AA32)*100)=0,(('Local Appropriations-4Yr'!AA32/'Total E&amp;G-4yr'!AA32)*100),IF((('Local Appropriations-4Yr'!AA32/'Total E&amp;G-4yr'!AA32)*100)&gt;=0.05,(('Local Appropriations-4Yr'!AA32/'Total E&amp;G-4yr'!AA32)*100),"*"))</f>
        <v>0</v>
      </c>
      <c r="S38" s="42">
        <f>('Fed Contracts Grnts-4Yr'!AA32/'Total E&amp;G-4yr'!AA32)*100</f>
        <v>17.210793379949013</v>
      </c>
      <c r="T38" s="41">
        <f>('Other Contract Grnts-4Yr'!AA32/'Total E&amp;G-4yr'!AA32)*100</f>
        <v>8.6585689538116632</v>
      </c>
      <c r="U38" s="42">
        <f>(('All Other E&amp;G-4Yr'!AA32+'Investment Income-4Yr'!AA32)/('Total E&amp;G-4yr'!AA32))*100</f>
        <v>5.7322603180912095</v>
      </c>
      <c r="W38" s="182">
        <f t="shared" si="21"/>
        <v>99.999999999999986</v>
      </c>
      <c r="X38" s="183">
        <f t="shared" si="22"/>
        <v>100.00000000000001</v>
      </c>
      <c r="Y38" s="188">
        <f t="shared" si="2"/>
        <v>41.686550342430564</v>
      </c>
      <c r="Z38" s="189">
        <f t="shared" si="3"/>
        <v>28.281672705508004</v>
      </c>
      <c r="AA38" s="188">
        <f t="shared" si="4"/>
        <v>25.869362333760677</v>
      </c>
      <c r="AB38" s="189">
        <f t="shared" si="5"/>
        <v>26.674622683080191</v>
      </c>
      <c r="AC38" s="43">
        <f t="shared" si="6"/>
        <v>99.999999999999986</v>
      </c>
      <c r="AD38" s="43">
        <f t="shared" si="7"/>
        <v>100</v>
      </c>
      <c r="AE38" s="43"/>
    </row>
    <row r="39" spans="1:31">
      <c r="A39" s="118" t="s">
        <v>129</v>
      </c>
      <c r="B39" s="118"/>
      <c r="C39" s="129">
        <f>('Tuition-4Yr'!AF33/'Total E&amp;G-4yr'!AF33)*100</f>
        <v>17.81056199206655</v>
      </c>
      <c r="D39" s="146">
        <f>('State Appropriations-4Yr'!AF33)/('Total E&amp;G-4yr'!AF33)*100</f>
        <v>26.917472828514654</v>
      </c>
      <c r="E39" s="129">
        <f>IF((('Local Appropriations-4Yr'!AF33/'Total E&amp;G-4yr'!AF33)*100)=0,(('Local Appropriations-4Yr'!AF33/'Total E&amp;G-4yr'!AF33)*100),IF((('Local Appropriations-4Yr'!AF33/'Total E&amp;G-4yr'!AF33)*100)&gt;=0.05,('Local Appropriations-4Yr'!AF33/'Total E&amp;G-4yr'!AF33)*100,"*"))</f>
        <v>0</v>
      </c>
      <c r="F39" s="146">
        <f>('Fed Contracts Grnts-4Yr'!AF33)/('Total E&amp;G-4yr'!AF33)*100</f>
        <v>21.551496014590228</v>
      </c>
      <c r="G39" s="129">
        <f>('Other Contract Grnts-4Yr'!AF33)/('Total E&amp;G-4yr'!AF33)*100</f>
        <v>9.9131777226762257</v>
      </c>
      <c r="H39" s="146">
        <f>('All Other E&amp;G-4Yr'!AF33+'Investment Income-4Yr'!AF33)/('Total E&amp;G-4yr'!AF33)*100</f>
        <v>23.807291442152355</v>
      </c>
      <c r="I39" s="146">
        <f t="shared" si="16"/>
        <v>3.3077228176790943</v>
      </c>
      <c r="J39" s="146">
        <f t="shared" si="17"/>
        <v>-10.395876268168699</v>
      </c>
      <c r="K39" s="129">
        <f t="shared" si="1"/>
        <v>0</v>
      </c>
      <c r="L39" s="146">
        <f t="shared" si="18"/>
        <v>-4.4281549334070363</v>
      </c>
      <c r="M39" s="129">
        <f t="shared" si="19"/>
        <v>-2.8710140498215093</v>
      </c>
      <c r="N39" s="146">
        <f t="shared" si="20"/>
        <v>14.387322433718174</v>
      </c>
      <c r="O39" s="12"/>
      <c r="P39" s="39">
        <f>('Tuition-4Yr'!AA33/'Total E&amp;G-4yr'!AA33)*100</f>
        <v>14.502839174387455</v>
      </c>
      <c r="Q39" s="40">
        <f>('State Appropriations-4Yr'!AA33/'Total E&amp;G-4yr'!AA33)*100</f>
        <v>37.313349096683353</v>
      </c>
      <c r="R39" s="41">
        <f>IF((('Local Appropriations-4Yr'!AA33/'Total E&amp;G-4yr'!AA33)*100)=0,(('Local Appropriations-4Yr'!AA33/'Total E&amp;G-4yr'!AA33)*100),IF((('Local Appropriations-4Yr'!AA33/'Total E&amp;G-4yr'!AA33)*100)&gt;=0.05,(('Local Appropriations-4Yr'!AA33/'Total E&amp;G-4yr'!AA33)*100),"*"))</f>
        <v>0</v>
      </c>
      <c r="S39" s="42">
        <f>('Fed Contracts Grnts-4Yr'!AA33/'Total E&amp;G-4yr'!AA33)*100</f>
        <v>25.979650947997264</v>
      </c>
      <c r="T39" s="41">
        <f>('Other Contract Grnts-4Yr'!AA33/'Total E&amp;G-4yr'!AA33)*100</f>
        <v>12.784191772497735</v>
      </c>
      <c r="U39" s="42">
        <f>(('All Other E&amp;G-4Yr'!AA33+'Investment Income-4Yr'!AA33)/('Total E&amp;G-4yr'!AA33))*100</f>
        <v>9.4199690084341814</v>
      </c>
      <c r="W39" s="182">
        <f t="shared" si="21"/>
        <v>99.999999999999986</v>
      </c>
      <c r="X39" s="183">
        <f t="shared" si="22"/>
        <v>100</v>
      </c>
      <c r="Y39" s="188">
        <f t="shared" si="2"/>
        <v>37.313349096683353</v>
      </c>
      <c r="Z39" s="189">
        <f t="shared" si="3"/>
        <v>26.917472828514654</v>
      </c>
      <c r="AA39" s="188">
        <f t="shared" si="4"/>
        <v>38.763842720494999</v>
      </c>
      <c r="AB39" s="189">
        <f t="shared" si="5"/>
        <v>31.464673737266452</v>
      </c>
      <c r="AC39" s="43">
        <f t="shared" si="6"/>
        <v>99.999999999999986</v>
      </c>
      <c r="AD39" s="43">
        <f t="shared" si="7"/>
        <v>100.00000000000001</v>
      </c>
      <c r="AE39" s="43"/>
    </row>
    <row r="40" spans="1:31">
      <c r="A40" s="118" t="s">
        <v>133</v>
      </c>
      <c r="B40" s="118"/>
      <c r="C40" s="129">
        <f>('Tuition-4Yr'!AF34/'Total E&amp;G-4yr'!AF34)*100</f>
        <v>39.523742134505099</v>
      </c>
      <c r="D40" s="146">
        <f>('State Appropriations-4Yr'!AF34)/('Total E&amp;G-4yr'!AF34)*100</f>
        <v>11.922174511781936</v>
      </c>
      <c r="E40" s="129">
        <f>IF((('Local Appropriations-4Yr'!AF34/'Total E&amp;G-4yr'!AF34)*100)=0,(('Local Appropriations-4Yr'!AF34/'Total E&amp;G-4yr'!AF34)*100),IF((('Local Appropriations-4Yr'!AF34/'Total E&amp;G-4yr'!AF34)*100)&gt;=0.05,('Local Appropriations-4Yr'!AF34/'Total E&amp;G-4yr'!AF34)*100,"*"))</f>
        <v>0.27872722449105147</v>
      </c>
      <c r="F40" s="146">
        <f>('Fed Contracts Grnts-4Yr'!AF34)/('Total E&amp;G-4yr'!AF34)*100</f>
        <v>24.762255275104046</v>
      </c>
      <c r="G40" s="129">
        <f>('Other Contract Grnts-4Yr'!AF34)/('Total E&amp;G-4yr'!AF34)*100</f>
        <v>13.955869856316419</v>
      </c>
      <c r="H40" s="146">
        <f>('All Other E&amp;G-4Yr'!AF34+'Investment Income-4Yr'!AF34)/('Total E&amp;G-4yr'!AF34)*100</f>
        <v>9.5572309978014367</v>
      </c>
      <c r="I40" s="146">
        <f t="shared" si="16"/>
        <v>2.126944030559514</v>
      </c>
      <c r="J40" s="146">
        <f t="shared" si="17"/>
        <v>-8.1110923422048771</v>
      </c>
      <c r="K40" s="129" t="str">
        <f t="shared" si="1"/>
        <v>*</v>
      </c>
      <c r="L40" s="146">
        <f t="shared" si="18"/>
        <v>2.7308208469397321</v>
      </c>
      <c r="M40" s="129">
        <f t="shared" si="19"/>
        <v>2.7509320352927062</v>
      </c>
      <c r="N40" s="146">
        <f t="shared" si="20"/>
        <v>0.55203523561966605</v>
      </c>
      <c r="O40" s="12"/>
      <c r="P40" s="39">
        <f>('Tuition-4Yr'!AA34/'Total E&amp;G-4yr'!AA34)*100</f>
        <v>37.396798103945585</v>
      </c>
      <c r="Q40" s="40">
        <f>('State Appropriations-4Yr'!AA34/'Total E&amp;G-4yr'!AA34)*100</f>
        <v>20.033266853986813</v>
      </c>
      <c r="R40" s="41">
        <f>IF((('Local Appropriations-4Yr'!AA34/'Total E&amp;G-4yr'!AA34)*100)=0,(('Local Appropriations-4Yr'!AA34/'Total E&amp;G-4yr'!AA34)*100),IF((('Local Appropriations-4Yr'!AA34/'Total E&amp;G-4yr'!AA34)*100)&gt;=0.05,(('Local Appropriations-4Yr'!AA34/'Total E&amp;G-4yr'!AA34)*100),"*"))</f>
        <v>0.32836703069779261</v>
      </c>
      <c r="S40" s="42">
        <f>('Fed Contracts Grnts-4Yr'!AA34/'Total E&amp;G-4yr'!AA34)*100</f>
        <v>22.031434428164314</v>
      </c>
      <c r="T40" s="41">
        <f>('Other Contract Grnts-4Yr'!AA34/'Total E&amp;G-4yr'!AA34)*100</f>
        <v>11.204937821023712</v>
      </c>
      <c r="U40" s="42">
        <f>(('All Other E&amp;G-4Yr'!AA34+'Investment Income-4Yr'!AA34)/('Total E&amp;G-4yr'!AA34))*100</f>
        <v>9.0051957621817706</v>
      </c>
      <c r="W40" s="182">
        <f t="shared" si="21"/>
        <v>99.999999999999986</v>
      </c>
      <c r="X40" s="183">
        <f t="shared" si="22"/>
        <v>99.999999999999972</v>
      </c>
      <c r="Y40" s="188">
        <f t="shared" si="2"/>
        <v>20.361633884684604</v>
      </c>
      <c r="Z40" s="189">
        <f t="shared" si="3"/>
        <v>12.200901736272987</v>
      </c>
      <c r="AA40" s="188">
        <f t="shared" si="4"/>
        <v>33.236372249188022</v>
      </c>
      <c r="AB40" s="189">
        <f t="shared" si="5"/>
        <v>38.718125131420464</v>
      </c>
      <c r="AC40" s="43">
        <f t="shared" si="6"/>
        <v>99.999999999999986</v>
      </c>
      <c r="AD40" s="43">
        <f t="shared" si="7"/>
        <v>99.999999999999986</v>
      </c>
      <c r="AE40" s="43"/>
    </row>
    <row r="41" spans="1:31">
      <c r="A41" s="118" t="s">
        <v>137</v>
      </c>
      <c r="B41" s="118"/>
      <c r="C41" s="129">
        <f>('Tuition-4Yr'!AF35/'Total E&amp;G-4yr'!AF35)*100</f>
        <v>33.047176335204824</v>
      </c>
      <c r="D41" s="146">
        <f>('State Appropriations-4Yr'!AF35)/('Total E&amp;G-4yr'!AF35)*100</f>
        <v>24.714362816207405</v>
      </c>
      <c r="E41" s="129">
        <f>IF((('Local Appropriations-4Yr'!AF35/'Total E&amp;G-4yr'!AF35)*100)=0,(('Local Appropriations-4Yr'!AF35/'Total E&amp;G-4yr'!AF35)*100),IF((('Local Appropriations-4Yr'!AF35/'Total E&amp;G-4yr'!AF35)*100)&gt;=0.05,('Local Appropriations-4Yr'!AF35/'Total E&amp;G-4yr'!AF35)*100,"*"))</f>
        <v>0</v>
      </c>
      <c r="F41" s="146">
        <f>('Fed Contracts Grnts-4Yr'!AF35)/('Total E&amp;G-4yr'!AF35)*100</f>
        <v>22.851334065045233</v>
      </c>
      <c r="G41" s="129">
        <f>('Other Contract Grnts-4Yr'!AF35)/('Total E&amp;G-4yr'!AF35)*100</f>
        <v>12.186027567203144</v>
      </c>
      <c r="H41" s="146">
        <f>('All Other E&amp;G-4Yr'!AF35+'Investment Income-4Yr'!AF35)/('Total E&amp;G-4yr'!AF35)*100</f>
        <v>7.2010992163393945</v>
      </c>
      <c r="I41" s="146">
        <f t="shared" si="16"/>
        <v>3.9723977310099663</v>
      </c>
      <c r="J41" s="146">
        <f t="shared" si="17"/>
        <v>-8.8990898950224206</v>
      </c>
      <c r="K41" s="129">
        <f t="shared" si="1"/>
        <v>0</v>
      </c>
      <c r="L41" s="146">
        <f t="shared" si="18"/>
        <v>-1.2897550893705159</v>
      </c>
      <c r="M41" s="129">
        <f t="shared" si="19"/>
        <v>-1.5316565813713083</v>
      </c>
      <c r="N41" s="146">
        <f t="shared" si="20"/>
        <v>7.7481038347542857</v>
      </c>
      <c r="O41" s="12"/>
      <c r="P41" s="39">
        <f>('Tuition-4Yr'!AA35/'Total E&amp;G-4yr'!AA35)*100</f>
        <v>29.074778604194858</v>
      </c>
      <c r="Q41" s="40">
        <f>('State Appropriations-4Yr'!AA35/'Total E&amp;G-4yr'!AA35)*100</f>
        <v>33.613452711229826</v>
      </c>
      <c r="R41" s="41">
        <f>IF((('Local Appropriations-4Yr'!AA35/'Total E&amp;G-4yr'!AA35)*100)=0,(('Local Appropriations-4Yr'!AA35/'Total E&amp;G-4yr'!AA35)*100),IF((('Local Appropriations-4Yr'!AA35/'Total E&amp;G-4yr'!AA35)*100)&gt;=0.05,(('Local Appropriations-4Yr'!AA35/'Total E&amp;G-4yr'!AA35)*100),"*"))</f>
        <v>0</v>
      </c>
      <c r="S41" s="42">
        <f>('Fed Contracts Grnts-4Yr'!AA35/'Total E&amp;G-4yr'!AA35)*100</f>
        <v>24.141089154415749</v>
      </c>
      <c r="T41" s="41">
        <f>('Other Contract Grnts-4Yr'!AA35/'Total E&amp;G-4yr'!AA35)*100</f>
        <v>13.717684148574453</v>
      </c>
      <c r="U41" s="42">
        <f>(('All Other E&amp;G-4Yr'!AA35+'Investment Income-4Yr'!AA35)/('Total E&amp;G-4yr'!AA35))*100</f>
        <v>-0.54700461841489145</v>
      </c>
      <c r="W41" s="182">
        <f t="shared" si="21"/>
        <v>100</v>
      </c>
      <c r="X41" s="183">
        <f t="shared" si="22"/>
        <v>100</v>
      </c>
      <c r="Y41" s="188">
        <f t="shared" si="2"/>
        <v>33.613452711229826</v>
      </c>
      <c r="Z41" s="189">
        <f t="shared" si="3"/>
        <v>24.714362816207405</v>
      </c>
      <c r="AA41" s="188">
        <f t="shared" si="4"/>
        <v>37.858773302990201</v>
      </c>
      <c r="AB41" s="189">
        <f t="shared" si="5"/>
        <v>35.037361632248377</v>
      </c>
      <c r="AC41" s="43">
        <f t="shared" si="6"/>
        <v>100</v>
      </c>
      <c r="AD41" s="43">
        <f t="shared" si="7"/>
        <v>100</v>
      </c>
      <c r="AE41" s="43"/>
    </row>
    <row r="42" spans="1:31">
      <c r="A42" s="118" t="s">
        <v>139</v>
      </c>
      <c r="B42" s="118"/>
      <c r="C42" s="129">
        <f>('Tuition-4Yr'!AF36/'Total E&amp;G-4yr'!AF36)*100</f>
        <v>35.287559988654742</v>
      </c>
      <c r="D42" s="146">
        <f>('State Appropriations-4Yr'!AF36)/('Total E&amp;G-4yr'!AF36)*100</f>
        <v>11.640704369757053</v>
      </c>
      <c r="E42" s="129">
        <f>IF((('Local Appropriations-4Yr'!AF36/'Total E&amp;G-4yr'!AF36)*100)=0,(('Local Appropriations-4Yr'!AF36/'Total E&amp;G-4yr'!AF36)*100),IF((('Local Appropriations-4Yr'!AF36/'Total E&amp;G-4yr'!AF36)*100)&gt;=0.05,('Local Appropriations-4Yr'!AF36/'Total E&amp;G-4yr'!AF36)*100,"*"))</f>
        <v>0</v>
      </c>
      <c r="F42" s="146">
        <f>('Fed Contracts Grnts-4Yr'!AF36)/('Total E&amp;G-4yr'!AF36)*100</f>
        <v>25.812036217852757</v>
      </c>
      <c r="G42" s="129">
        <f>('Other Contract Grnts-4Yr'!AF36)/('Total E&amp;G-4yr'!AF36)*100</f>
        <v>12.232695799630703</v>
      </c>
      <c r="H42" s="146">
        <f>('All Other E&amp;G-4Yr'!AF36+'Investment Income-4Yr'!AF36)/('Total E&amp;G-4yr'!AF36)*100</f>
        <v>15.02700362410474</v>
      </c>
      <c r="I42" s="146">
        <f t="shared" si="16"/>
        <v>2.9946201352733368</v>
      </c>
      <c r="J42" s="146">
        <f t="shared" si="17"/>
        <v>-15.048467613303171</v>
      </c>
      <c r="K42" s="129">
        <f t="shared" si="1"/>
        <v>0</v>
      </c>
      <c r="L42" s="146">
        <f t="shared" si="18"/>
        <v>-7.1028943181302964</v>
      </c>
      <c r="M42" s="129">
        <f t="shared" si="19"/>
        <v>-1.2313139932803168</v>
      </c>
      <c r="N42" s="146">
        <f t="shared" si="20"/>
        <v>20.388055789440426</v>
      </c>
      <c r="O42" s="12"/>
      <c r="P42" s="39">
        <f>('Tuition-4Yr'!AA36/'Total E&amp;G-4yr'!AA36)*100</f>
        <v>32.292939853381405</v>
      </c>
      <c r="Q42" s="40">
        <f>('State Appropriations-4Yr'!AA36/'Total E&amp;G-4yr'!AA36)*100</f>
        <v>26.689171983060223</v>
      </c>
      <c r="R42" s="41">
        <f>IF((('Local Appropriations-4Yr'!AA36/'Total E&amp;G-4yr'!AA36)*100)=0,(('Local Appropriations-4Yr'!AA36/'Total E&amp;G-4yr'!AA36)*100),IF((('Local Appropriations-4Yr'!AA36/'Total E&amp;G-4yr'!AA36)*100)&gt;=0.05,(('Local Appropriations-4Yr'!AA36/'Total E&amp;G-4yr'!AA36)*100),"*"))</f>
        <v>0</v>
      </c>
      <c r="S42" s="42">
        <f>('Fed Contracts Grnts-4Yr'!AA36/'Total E&amp;G-4yr'!AA36)*100</f>
        <v>32.914930535983054</v>
      </c>
      <c r="T42" s="41">
        <f>('Other Contract Grnts-4Yr'!AA36/'Total E&amp;G-4yr'!AA36)*100</f>
        <v>13.464009792911019</v>
      </c>
      <c r="U42" s="42">
        <f>(('All Other E&amp;G-4Yr'!AA36+'Investment Income-4Yr'!AA36)/('Total E&amp;G-4yr'!AA36))*100</f>
        <v>-5.3610521653356855</v>
      </c>
      <c r="W42" s="182">
        <f t="shared" si="21"/>
        <v>100.00000000000003</v>
      </c>
      <c r="X42" s="183">
        <f t="shared" si="22"/>
        <v>100</v>
      </c>
      <c r="Y42" s="188">
        <f t="shared" si="2"/>
        <v>26.689171983060223</v>
      </c>
      <c r="Z42" s="189">
        <f t="shared" si="3"/>
        <v>11.640704369757053</v>
      </c>
      <c r="AA42" s="188">
        <f t="shared" si="4"/>
        <v>46.378940328894075</v>
      </c>
      <c r="AB42" s="189">
        <f t="shared" si="5"/>
        <v>38.044732017483462</v>
      </c>
      <c r="AC42" s="43">
        <f t="shared" si="6"/>
        <v>100</v>
      </c>
      <c r="AD42" s="43">
        <f t="shared" si="7"/>
        <v>100</v>
      </c>
      <c r="AE42" s="43"/>
    </row>
    <row r="43" spans="1:31">
      <c r="A43" s="122" t="s">
        <v>141</v>
      </c>
      <c r="B43" s="122"/>
      <c r="C43" s="198">
        <f>('Tuition-4Yr'!AF37/'Total E&amp;G-4yr'!AF37)*100</f>
        <v>16.339046821814634</v>
      </c>
      <c r="D43" s="149">
        <f>('State Appropriations-4Yr'!AF37)/('Total E&amp;G-4yr'!AF37)*100</f>
        <v>46.391833192767848</v>
      </c>
      <c r="E43" s="198">
        <f>IF((('Local Appropriations-4Yr'!AF37/'Total E&amp;G-4yr'!AF37)*100)=0,(('Local Appropriations-4Yr'!AF37/'Total E&amp;G-4yr'!AF37)*100),IF((('Local Appropriations-4Yr'!AF37/'Total E&amp;G-4yr'!AF37)*100)&gt;=0.05,('Local Appropriations-4Yr'!AF37/'Total E&amp;G-4yr'!AF37)*100,"*"))</f>
        <v>0</v>
      </c>
      <c r="F43" s="149">
        <f>('Fed Contracts Grnts-4Yr'!AF37)/('Total E&amp;G-4yr'!AF37)*100</f>
        <v>11.861125471194567</v>
      </c>
      <c r="G43" s="198">
        <f>('Other Contract Grnts-4Yr'!AF37)/('Total E&amp;G-4yr'!AF37)*100</f>
        <v>14.762232108274084</v>
      </c>
      <c r="H43" s="200">
        <f>('All Other E&amp;G-4Yr'!AF37+'Investment Income-4Yr'!AF37)/('Total E&amp;G-4yr'!AF37)*100</f>
        <v>10.645762405948854</v>
      </c>
      <c r="I43" s="149">
        <f t="shared" si="16"/>
        <v>0.44952980686354849</v>
      </c>
      <c r="J43" s="149">
        <f t="shared" si="17"/>
        <v>-10.791131201098914</v>
      </c>
      <c r="K43" s="133">
        <f t="shared" si="1"/>
        <v>0</v>
      </c>
      <c r="L43" s="149">
        <f t="shared" si="18"/>
        <v>-2.0833354016258934</v>
      </c>
      <c r="M43" s="133">
        <f t="shared" si="19"/>
        <v>1.0695200884960006</v>
      </c>
      <c r="N43" s="149">
        <f t="shared" si="20"/>
        <v>11.355416707365253</v>
      </c>
      <c r="O43" s="12"/>
      <c r="P43" s="39">
        <f>('Tuition-4Yr'!AA37/'Total E&amp;G-4yr'!AA37)*100</f>
        <v>15.889517014951085</v>
      </c>
      <c r="Q43" s="40">
        <f>('State Appropriations-4Yr'!AA37/'Total E&amp;G-4yr'!AA37)*100</f>
        <v>57.182964393866762</v>
      </c>
      <c r="R43" s="41">
        <f>IF((('Local Appropriations-4Yr'!AA37/'Total E&amp;G-4yr'!AA37)*100)=0,(('Local Appropriations-4Yr'!AA37/'Total E&amp;G-4yr'!AA37)*100),IF((('Local Appropriations-4Yr'!AA37/'Total E&amp;G-4yr'!AA37)*100)&gt;=0.05,(('Local Appropriations-4Yr'!AA37/'Total E&amp;G-4yr'!AA37)*100),"*"))</f>
        <v>0</v>
      </c>
      <c r="S43" s="42">
        <f>('Fed Contracts Grnts-4Yr'!AA37/'Total E&amp;G-4yr'!AA37)*100</f>
        <v>13.944460872820461</v>
      </c>
      <c r="T43" s="41">
        <f>('Other Contract Grnts-4Yr'!AA37/'Total E&amp;G-4yr'!AA37)*100</f>
        <v>13.692712019778083</v>
      </c>
      <c r="U43" s="42">
        <f>(('All Other E&amp;G-4Yr'!AA37+'Investment Income-4Yr'!AA37)/('Total E&amp;G-4yr'!AA37))*100</f>
        <v>-0.70965430141639885</v>
      </c>
      <c r="W43" s="182">
        <f t="shared" si="21"/>
        <v>100</v>
      </c>
      <c r="X43" s="183">
        <f t="shared" si="22"/>
        <v>100</v>
      </c>
      <c r="Y43" s="188">
        <f t="shared" si="2"/>
        <v>57.182964393866762</v>
      </c>
      <c r="Z43" s="189">
        <f t="shared" si="3"/>
        <v>46.391833192767848</v>
      </c>
      <c r="AA43" s="188">
        <f t="shared" si="4"/>
        <v>27.637172892598542</v>
      </c>
      <c r="AB43" s="189">
        <f t="shared" si="5"/>
        <v>26.623357579468653</v>
      </c>
      <c r="AC43" s="43">
        <f t="shared" si="6"/>
        <v>99.999999999999986</v>
      </c>
      <c r="AD43" s="43">
        <f t="shared" si="7"/>
        <v>100</v>
      </c>
      <c r="AE43" s="43"/>
    </row>
    <row r="44" spans="1:31">
      <c r="A44" s="117" t="s">
        <v>145</v>
      </c>
      <c r="B44" s="117"/>
      <c r="C44" s="128">
        <f>('Tuition-4Yr'!AF38/'Total E&amp;G-4yr'!AF38)*100</f>
        <v>39.325370255880586</v>
      </c>
      <c r="D44" s="145">
        <f>('State Appropriations-4Yr'!AF38)/('Total E&amp;G-4yr'!AF38)*100</f>
        <v>19.116848054549322</v>
      </c>
      <c r="E44" s="128">
        <f>IF((('Local Appropriations-4Yr'!AF38/'Total E&amp;G-4yr'!AF38)*100)=0,(('Local Appropriations-4Yr'!AF38/'Total E&amp;G-4yr'!AF38)*100),IF((('Local Appropriations-4Yr'!AF38/'Total E&amp;G-4yr'!AF38)*100)&gt;=0.05,('Local Appropriations-4Yr'!AF38/'Total E&amp;G-4yr'!AF38)*100,"*"))</f>
        <v>0.10140813337495046</v>
      </c>
      <c r="F44" s="145">
        <f>('Fed Contracts Grnts-4Yr'!AF38)/('Total E&amp;G-4yr'!AF38)*100</f>
        <v>15.040243435432989</v>
      </c>
      <c r="G44" s="128">
        <f>('Other Contract Grnts-4Yr'!AF38)/('Total E&amp;G-4yr'!AF38)*100</f>
        <v>10.616371787824425</v>
      </c>
      <c r="H44" s="145">
        <f>('All Other E&amp;G-4Yr'!AF38+'Investment Income-4Yr'!AF38)/('Total E&amp;G-4yr'!AF38)*100</f>
        <v>15.799758332937719</v>
      </c>
      <c r="I44" s="145">
        <f t="shared" si="16"/>
        <v>-1.756293463644198</v>
      </c>
      <c r="J44" s="145">
        <f t="shared" si="17"/>
        <v>-9.6839517328996045</v>
      </c>
      <c r="K44" s="128">
        <f t="shared" si="1"/>
        <v>-0.24076493582186159</v>
      </c>
      <c r="L44" s="145">
        <f t="shared" si="18"/>
        <v>-2.8296901682095683</v>
      </c>
      <c r="M44" s="128">
        <f t="shared" si="19"/>
        <v>-1.3391446661108848</v>
      </c>
      <c r="N44" s="145">
        <f t="shared" si="20"/>
        <v>15.84984496668611</v>
      </c>
      <c r="O44" s="12"/>
      <c r="P44" s="39">
        <f>('Tuition-4Yr'!AA38/'Total E&amp;G-4yr'!AA38)*100</f>
        <v>41.081663719524784</v>
      </c>
      <c r="Q44" s="40">
        <f>('State Appropriations-4Yr'!AA38/'Total E&amp;G-4yr'!AA38)*100</f>
        <v>28.800799787448927</v>
      </c>
      <c r="R44" s="41">
        <f>IF((('Local Appropriations-4Yr'!AA38/'Total E&amp;G-4yr'!AA38)*100)=0,(('Local Appropriations-4Yr'!AA38/'Total E&amp;G-4yr'!AA38)*100),IF((('Local Appropriations-4Yr'!AA38/'Total E&amp;G-4yr'!AA38)*100)&gt;=0.05,(('Local Appropriations-4Yr'!AA38/'Total E&amp;G-4yr'!AA38)*100),"*"))</f>
        <v>0.34217306919681206</v>
      </c>
      <c r="S44" s="42">
        <f>('Fed Contracts Grnts-4Yr'!AA38/'Total E&amp;G-4yr'!AA38)*100</f>
        <v>17.869933603642558</v>
      </c>
      <c r="T44" s="41">
        <f>('Other Contract Grnts-4Yr'!AA38/'Total E&amp;G-4yr'!AA38)*100</f>
        <v>11.95551645393531</v>
      </c>
      <c r="U44" s="42">
        <f>(('All Other E&amp;G-4Yr'!AA38+'Investment Income-4Yr'!AA38)/('Total E&amp;G-4yr'!AA38))*100</f>
        <v>-5.0086633748390591E-2</v>
      </c>
      <c r="W44" s="182">
        <f t="shared" si="21"/>
        <v>99.999999999999986</v>
      </c>
      <c r="X44" s="183">
        <f t="shared" si="22"/>
        <v>99.999999999999986</v>
      </c>
      <c r="Y44" s="188">
        <f t="shared" si="2"/>
        <v>29.142972856645738</v>
      </c>
      <c r="Z44" s="189">
        <f t="shared" si="3"/>
        <v>19.218256187924272</v>
      </c>
      <c r="AA44" s="188">
        <f t="shared" si="4"/>
        <v>29.825450057577868</v>
      </c>
      <c r="AB44" s="189">
        <f t="shared" si="5"/>
        <v>25.656615223257415</v>
      </c>
      <c r="AC44" s="43">
        <f t="shared" si="6"/>
        <v>100</v>
      </c>
      <c r="AD44" s="43">
        <f t="shared" si="7"/>
        <v>100</v>
      </c>
      <c r="AE44" s="43"/>
    </row>
    <row r="45" spans="1:31">
      <c r="A45" s="117"/>
      <c r="B45" s="117"/>
      <c r="C45" s="128"/>
      <c r="D45" s="145"/>
      <c r="E45" s="128"/>
      <c r="F45" s="145"/>
      <c r="G45" s="128"/>
      <c r="H45" s="145"/>
      <c r="I45" s="145"/>
      <c r="J45" s="145"/>
      <c r="K45" s="128">
        <f t="shared" si="1"/>
        <v>0</v>
      </c>
      <c r="L45" s="145"/>
      <c r="M45" s="128"/>
      <c r="N45" s="145"/>
      <c r="O45" s="12"/>
      <c r="P45" s="39"/>
      <c r="Q45" s="40"/>
      <c r="R45" s="41"/>
      <c r="S45" s="42"/>
      <c r="T45" s="41"/>
      <c r="U45" s="42"/>
      <c r="W45" s="182"/>
      <c r="X45" s="183"/>
      <c r="Y45" s="188"/>
      <c r="Z45" s="189"/>
      <c r="AA45" s="188"/>
      <c r="AB45" s="189"/>
      <c r="AC45" s="43"/>
      <c r="AD45" s="43"/>
      <c r="AE45" s="43"/>
    </row>
    <row r="46" spans="1:31">
      <c r="A46" s="118" t="s">
        <v>117</v>
      </c>
      <c r="B46" s="118"/>
      <c r="C46" s="129">
        <f>('Tuition-4Yr'!AF40/'Total E&amp;G-4yr'!AF40)*100</f>
        <v>32.156285051017882</v>
      </c>
      <c r="D46" s="146">
        <f>('State Appropriations-4Yr'!AF40)/('Total E&amp;G-4yr'!AF40)*100</f>
        <v>17.677652953084344</v>
      </c>
      <c r="E46" s="129">
        <f>IF((('Local Appropriations-4Yr'!AF40/'Total E&amp;G-4yr'!AF40)*100)=0,(('Local Appropriations-4Yr'!AF40/'Total E&amp;G-4yr'!AF40)*100),IF((('Local Appropriations-4Yr'!AF40/'Total E&amp;G-4yr'!AF40)*100)&gt;=0.05,('Local Appropriations-4Yr'!AF40/'Total E&amp;G-4yr'!AF40)*100,"*"))</f>
        <v>0</v>
      </c>
      <c r="F46" s="146">
        <f>('Fed Contracts Grnts-4Yr'!AF40)/('Total E&amp;G-4yr'!AF40)*100</f>
        <v>14.011576572328002</v>
      </c>
      <c r="G46" s="129">
        <f>('Other Contract Grnts-4Yr'!AF40)/('Total E&amp;G-4yr'!AF40)*100</f>
        <v>8.7878064502901339</v>
      </c>
      <c r="H46" s="146">
        <f>('All Other E&amp;G-4Yr'!AF40+'Investment Income-4Yr'!AF40)/('Total E&amp;G-4yr'!AF40)*100</f>
        <v>27.36667897327964</v>
      </c>
      <c r="I46" s="146">
        <f t="shared" ref="I46:I58" si="23">IF((C46-P46)=0,(C46-P46),IF((C46-P46)&gt;=0.05,(C46-P46),IF((C46-P46&lt;=-0.05),(C46-P46),"*")))</f>
        <v>1.9679401354434489</v>
      </c>
      <c r="J46" s="146">
        <f t="shared" ref="J46:J58" si="24">IF((D46-Q46)=0,(D46-Q46),IF((D46-Q46)&gt;=0.05,(D46-Q46),IF((D46-Q46&lt;=-0.05),(D46-Q46),"*")))</f>
        <v>-5.2005331354889286</v>
      </c>
      <c r="K46" s="129">
        <f t="shared" si="1"/>
        <v>0</v>
      </c>
      <c r="L46" s="146">
        <f t="shared" ref="L46:L58" si="25">IF((F46-S46)=0,(F46-S46),IF((F46-S46)&gt;=0.05,(F46-S46),IF((F46-S46&lt;=-0.05),(F46-S46),"*")))</f>
        <v>-0.40771339409109686</v>
      </c>
      <c r="M46" s="129">
        <f t="shared" ref="M46:M58" si="26">IF((G46-T46)=0,(G46-T46),IF((G46-T46)&gt;=0.05,(G46-T46),IF((G46-T46&lt;=-0.05),(G46-T46),"*")))</f>
        <v>0.66530996734129211</v>
      </c>
      <c r="N46" s="146">
        <f t="shared" ref="N46:N58" si="27">IF((H46-U46)=0,(H46-U46),IF((H46-U46)&gt;=0.05,(H46-U46),IF((H46-U46&lt;=-0.05),(H46-U46),"*")))</f>
        <v>2.9749964267952862</v>
      </c>
      <c r="O46" s="12"/>
      <c r="P46" s="39">
        <f>('Tuition-4Yr'!AA40/'Total E&amp;G-4yr'!AA40)*100</f>
        <v>30.188344915574433</v>
      </c>
      <c r="Q46" s="40">
        <f>('State Appropriations-4Yr'!AA40/'Total E&amp;G-4yr'!AA40)*100</f>
        <v>22.878186088573273</v>
      </c>
      <c r="R46" s="41">
        <f>IF((('Local Appropriations-4Yr'!AA40/'Total E&amp;G-4yr'!AA40)*100)=0,(('Local Appropriations-4Yr'!AA40/'Total E&amp;G-4yr'!AA40)*100),IF((('Local Appropriations-4Yr'!AA40/'Total E&amp;G-4yr'!AA40)*100)&gt;=0.05,(('Local Appropriations-4Yr'!AA40/'Total E&amp;G-4yr'!AA40)*100),"*"))</f>
        <v>0</v>
      </c>
      <c r="S46" s="42">
        <f>('Fed Contracts Grnts-4Yr'!AA40/'Total E&amp;G-4yr'!AA40)*100</f>
        <v>14.419289966419099</v>
      </c>
      <c r="T46" s="41">
        <f>('Other Contract Grnts-4Yr'!AA40/'Total E&amp;G-4yr'!AA40)*100</f>
        <v>8.1224964829488417</v>
      </c>
      <c r="U46" s="42">
        <f>(('All Other E&amp;G-4Yr'!AA40+'Investment Income-4Yr'!AA40)/('Total E&amp;G-4yr'!AA40))*100</f>
        <v>24.391682546484354</v>
      </c>
      <c r="W46" s="182">
        <f t="shared" ref="W46:W58" si="28">SUM(P46:U46)</f>
        <v>100</v>
      </c>
      <c r="X46" s="183">
        <f t="shared" ref="X46:X58" si="29">SUM(C46:H46)</f>
        <v>100</v>
      </c>
      <c r="Y46" s="188">
        <f t="shared" si="2"/>
        <v>22.878186088573273</v>
      </c>
      <c r="Z46" s="189">
        <f t="shared" si="3"/>
        <v>17.677652953084344</v>
      </c>
      <c r="AA46" s="188">
        <f t="shared" si="4"/>
        <v>22.54178644936794</v>
      </c>
      <c r="AB46" s="189">
        <f t="shared" si="5"/>
        <v>22.799383022618137</v>
      </c>
      <c r="AC46" s="43">
        <f t="shared" si="6"/>
        <v>100</v>
      </c>
      <c r="AD46" s="43">
        <f t="shared" si="7"/>
        <v>100</v>
      </c>
      <c r="AE46" s="43"/>
    </row>
    <row r="47" spans="1:31">
      <c r="A47" s="118" t="s">
        <v>66</v>
      </c>
      <c r="B47" s="118"/>
      <c r="C47" s="129">
        <f>('Tuition-4Yr'!AF41/'Total E&amp;G-4yr'!AF41)*100</f>
        <v>44.517626851271672</v>
      </c>
      <c r="D47" s="146">
        <f>('State Appropriations-4Yr'!AF41)/('Total E&amp;G-4yr'!AF41)*100</f>
        <v>20.59991393587925</v>
      </c>
      <c r="E47" s="129">
        <f>IF((('Local Appropriations-4Yr'!AF41/'Total E&amp;G-4yr'!AF41)*100)=0,(('Local Appropriations-4Yr'!AF41/'Total E&amp;G-4yr'!AF41)*100),IF((('Local Appropriations-4Yr'!AF41/'Total E&amp;G-4yr'!AF41)*100)&gt;=0.05,('Local Appropriations-4Yr'!AF41/'Total E&amp;G-4yr'!AF41)*100,"*"))</f>
        <v>0.13632521537251108</v>
      </c>
      <c r="F47" s="146">
        <f>('Fed Contracts Grnts-4Yr'!AF41)/('Total E&amp;G-4yr'!AF41)*100</f>
        <v>13.4708491605393</v>
      </c>
      <c r="G47" s="129">
        <f>('Other Contract Grnts-4Yr'!AF41)/('Total E&amp;G-4yr'!AF41)*100</f>
        <v>9.2622668092218969</v>
      </c>
      <c r="H47" s="146">
        <f>('All Other E&amp;G-4Yr'!AF41+'Investment Income-4Yr'!AF41)/('Total E&amp;G-4yr'!AF41)*100</f>
        <v>12.013018027715372</v>
      </c>
      <c r="I47" s="146">
        <f t="shared" si="23"/>
        <v>1.9206459944800116</v>
      </c>
      <c r="J47" s="146">
        <f t="shared" si="24"/>
        <v>-7.3681394594093987</v>
      </c>
      <c r="K47" s="129">
        <f t="shared" si="1"/>
        <v>-7.0813599535944682E-2</v>
      </c>
      <c r="L47" s="146">
        <f t="shared" si="25"/>
        <v>-1.2228565352160263</v>
      </c>
      <c r="M47" s="129">
        <f t="shared" si="26"/>
        <v>-1.6622848633573302</v>
      </c>
      <c r="N47" s="146">
        <f t="shared" si="27"/>
        <v>8.4034484630387087</v>
      </c>
      <c r="O47" s="12"/>
      <c r="P47" s="39">
        <f>('Tuition-4Yr'!AA41/'Total E&amp;G-4yr'!AA41)*100</f>
        <v>42.59698085679166</v>
      </c>
      <c r="Q47" s="40">
        <f>('State Appropriations-4Yr'!AA41/'Total E&amp;G-4yr'!AA41)*100</f>
        <v>27.968053395288649</v>
      </c>
      <c r="R47" s="41">
        <f>IF((('Local Appropriations-4Yr'!AA41/'Total E&amp;G-4yr'!AA41)*100)=0,(('Local Appropriations-4Yr'!AA41/'Total E&amp;G-4yr'!AA41)*100),IF((('Local Appropriations-4Yr'!AA41/'Total E&amp;G-4yr'!AA41)*100)&gt;=0.05,(('Local Appropriations-4Yr'!AA41/'Total E&amp;G-4yr'!AA41)*100),"*"))</f>
        <v>0.20713881490845576</v>
      </c>
      <c r="S47" s="42">
        <f>('Fed Contracts Grnts-4Yr'!AA41/'Total E&amp;G-4yr'!AA41)*100</f>
        <v>14.693705695755327</v>
      </c>
      <c r="T47" s="41">
        <f>('Other Contract Grnts-4Yr'!AA41/'Total E&amp;G-4yr'!AA41)*100</f>
        <v>10.924551672579227</v>
      </c>
      <c r="U47" s="42">
        <f>(('All Other E&amp;G-4Yr'!AA41+'Investment Income-4Yr'!AA41)/('Total E&amp;G-4yr'!AA41))*100</f>
        <v>3.6095695646766637</v>
      </c>
      <c r="W47" s="182">
        <f t="shared" si="28"/>
        <v>99.999999999999986</v>
      </c>
      <c r="X47" s="183">
        <f t="shared" si="29"/>
        <v>100</v>
      </c>
      <c r="Y47" s="188">
        <f t="shared" si="2"/>
        <v>28.175192210197103</v>
      </c>
      <c r="Z47" s="189">
        <f t="shared" si="3"/>
        <v>20.736239151251763</v>
      </c>
      <c r="AA47" s="188">
        <f t="shared" si="4"/>
        <v>25.618257368334554</v>
      </c>
      <c r="AB47" s="189">
        <f t="shared" si="5"/>
        <v>22.733115969761197</v>
      </c>
      <c r="AC47" s="43">
        <f t="shared" si="6"/>
        <v>99.999999999999972</v>
      </c>
      <c r="AD47" s="43">
        <f t="shared" si="7"/>
        <v>100</v>
      </c>
      <c r="AE47" s="43"/>
    </row>
    <row r="48" spans="1:31">
      <c r="A48" s="118" t="s">
        <v>118</v>
      </c>
      <c r="B48" s="118"/>
      <c r="C48" s="129">
        <f>('Tuition-4Yr'!AF42/'Total E&amp;G-4yr'!AF42)*100</f>
        <v>35.863086593448898</v>
      </c>
      <c r="D48" s="146">
        <f>('State Appropriations-4Yr'!AF42)/('Total E&amp;G-4yr'!AF42)*100</f>
        <v>21.449793703476558</v>
      </c>
      <c r="E48" s="129">
        <f>IF((('Local Appropriations-4Yr'!AF42/'Total E&amp;G-4yr'!AF42)*100)=0,(('Local Appropriations-4Yr'!AF42/'Total E&amp;G-4yr'!AF42)*100),IF((('Local Appropriations-4Yr'!AF42/'Total E&amp;G-4yr'!AF42)*100)&gt;=0.05,('Local Appropriations-4Yr'!AF42/'Total E&amp;G-4yr'!AF42)*100,"*"))</f>
        <v>0</v>
      </c>
      <c r="F48" s="146">
        <f>('Fed Contracts Grnts-4Yr'!AF42)/('Total E&amp;G-4yr'!AF42)*100</f>
        <v>18.273223296547471</v>
      </c>
      <c r="G48" s="129">
        <f>('Other Contract Grnts-4Yr'!AF42)/('Total E&amp;G-4yr'!AF42)*100</f>
        <v>9.5651760022298049</v>
      </c>
      <c r="H48" s="146">
        <f>('All Other E&amp;G-4Yr'!AF42+'Investment Income-4Yr'!AF42)/('Total E&amp;G-4yr'!AF42)*100</f>
        <v>14.848720404297255</v>
      </c>
      <c r="I48" s="146">
        <f t="shared" si="23"/>
        <v>6.7602438476256985</v>
      </c>
      <c r="J48" s="146">
        <f t="shared" si="24"/>
        <v>-9.3714908419897114</v>
      </c>
      <c r="K48" s="129">
        <f t="shared" si="1"/>
        <v>0</v>
      </c>
      <c r="L48" s="146">
        <f t="shared" si="25"/>
        <v>-3.378558078880328</v>
      </c>
      <c r="M48" s="129">
        <f t="shared" si="26"/>
        <v>-9.6226082268492164E-2</v>
      </c>
      <c r="N48" s="146">
        <f t="shared" si="27"/>
        <v>6.0860311555128224</v>
      </c>
      <c r="O48" s="12"/>
      <c r="P48" s="39">
        <f>('Tuition-4Yr'!AA42/'Total E&amp;G-4yr'!AA42)*100</f>
        <v>29.1028427458232</v>
      </c>
      <c r="Q48" s="40">
        <f>('State Appropriations-4Yr'!AA42/'Total E&amp;G-4yr'!AA42)*100</f>
        <v>30.82128454546627</v>
      </c>
      <c r="R48" s="41">
        <f>IF((('Local Appropriations-4Yr'!AA42/'Total E&amp;G-4yr'!AA42)*100)=0,(('Local Appropriations-4Yr'!AA42/'Total E&amp;G-4yr'!AA42)*100),IF((('Local Appropriations-4Yr'!AA42/'Total E&amp;G-4yr'!AA42)*100)&gt;=0.05,(('Local Appropriations-4Yr'!AA42/'Total E&amp;G-4yr'!AA42)*100),"*"))</f>
        <v>0</v>
      </c>
      <c r="S48" s="42">
        <f>('Fed Contracts Grnts-4Yr'!AA42/'Total E&amp;G-4yr'!AA42)*100</f>
        <v>21.651781375427799</v>
      </c>
      <c r="T48" s="41">
        <f>('Other Contract Grnts-4Yr'!AA42/'Total E&amp;G-4yr'!AA42)*100</f>
        <v>9.6614020844982971</v>
      </c>
      <c r="U48" s="42">
        <f>(('All Other E&amp;G-4Yr'!AA42+'Investment Income-4Yr'!AA42)/('Total E&amp;G-4yr'!AA42))*100</f>
        <v>8.762689248784433</v>
      </c>
      <c r="W48" s="182">
        <f t="shared" si="28"/>
        <v>100</v>
      </c>
      <c r="X48" s="183">
        <f t="shared" si="29"/>
        <v>99.999999999999986</v>
      </c>
      <c r="Y48" s="188">
        <f t="shared" si="2"/>
        <v>30.82128454546627</v>
      </c>
      <c r="Z48" s="189">
        <f t="shared" si="3"/>
        <v>21.449793703476558</v>
      </c>
      <c r="AA48" s="188">
        <f t="shared" si="4"/>
        <v>31.313183459926094</v>
      </c>
      <c r="AB48" s="189">
        <f t="shared" si="5"/>
        <v>27.838399298777276</v>
      </c>
      <c r="AC48" s="43">
        <f t="shared" si="6"/>
        <v>99.999999999999986</v>
      </c>
      <c r="AD48" s="43">
        <f t="shared" si="7"/>
        <v>99.999999999999986</v>
      </c>
      <c r="AE48" s="43"/>
    </row>
    <row r="49" spans="1:31">
      <c r="A49" s="118" t="s">
        <v>119</v>
      </c>
      <c r="B49" s="118"/>
      <c r="C49" s="129">
        <f>('Tuition-4Yr'!AF43/'Total E&amp;G-4yr'!AF43)*100</f>
        <v>36.297047340917004</v>
      </c>
      <c r="D49" s="146">
        <f>('State Appropriations-4Yr'!AF43)/('Total E&amp;G-4yr'!AF43)*100</f>
        <v>25.588489597665436</v>
      </c>
      <c r="E49" s="129">
        <f>IF((('Local Appropriations-4Yr'!AF43/'Total E&amp;G-4yr'!AF43)*100)=0,(('Local Appropriations-4Yr'!AF43/'Total E&amp;G-4yr'!AF43)*100),IF((('Local Appropriations-4Yr'!AF43/'Total E&amp;G-4yr'!AF43)*100)&gt;=0.05,('Local Appropriations-4Yr'!AF43/'Total E&amp;G-4yr'!AF43)*100,"*"))</f>
        <v>1.7762455650531399</v>
      </c>
      <c r="F49" s="146">
        <f>('Fed Contracts Grnts-4Yr'!AF43)/('Total E&amp;G-4yr'!AF43)*100</f>
        <v>17.69984267263164</v>
      </c>
      <c r="G49" s="129">
        <f>('Other Contract Grnts-4Yr'!AF43)/('Total E&amp;G-4yr'!AF43)*100</f>
        <v>12.765241713899117</v>
      </c>
      <c r="H49" s="146">
        <f>('All Other E&amp;G-4Yr'!AF43+'Investment Income-4Yr'!AF43)/('Total E&amp;G-4yr'!AF43)*100</f>
        <v>5.8731331098336694</v>
      </c>
      <c r="I49" s="146">
        <f t="shared" si="23"/>
        <v>5.0711323925809104</v>
      </c>
      <c r="J49" s="146">
        <f t="shared" si="24"/>
        <v>-6.1016647371372414</v>
      </c>
      <c r="K49" s="129">
        <f t="shared" si="1"/>
        <v>0.6166400151163447</v>
      </c>
      <c r="L49" s="146">
        <f t="shared" si="25"/>
        <v>0.77261745909328283</v>
      </c>
      <c r="M49" s="129">
        <f t="shared" si="26"/>
        <v>3.0659130515909663</v>
      </c>
      <c r="N49" s="146">
        <f t="shared" si="27"/>
        <v>-3.4246381812442648</v>
      </c>
      <c r="O49" s="12"/>
      <c r="P49" s="39">
        <f>('Tuition-4Yr'!AA43/'Total E&amp;G-4yr'!AA43)*100</f>
        <v>31.225914948336094</v>
      </c>
      <c r="Q49" s="40">
        <f>('State Appropriations-4Yr'!AA43/'Total E&amp;G-4yr'!AA43)*100</f>
        <v>31.690154334802678</v>
      </c>
      <c r="R49" s="41">
        <f>IF((('Local Appropriations-4Yr'!AA43/'Total E&amp;G-4yr'!AA43)*100)=0,(('Local Appropriations-4Yr'!AA43/'Total E&amp;G-4yr'!AA43)*100),IF((('Local Appropriations-4Yr'!AA43/'Total E&amp;G-4yr'!AA43)*100)&gt;=0.05,(('Local Appropriations-4Yr'!AA43/'Total E&amp;G-4yr'!AA43)*100),"*"))</f>
        <v>1.1596055499367952</v>
      </c>
      <c r="S49" s="42">
        <f>('Fed Contracts Grnts-4Yr'!AA43/'Total E&amp;G-4yr'!AA43)*100</f>
        <v>16.927225213538357</v>
      </c>
      <c r="T49" s="41">
        <f>('Other Contract Grnts-4Yr'!AA43/'Total E&amp;G-4yr'!AA43)*100</f>
        <v>9.6993286623081509</v>
      </c>
      <c r="U49" s="42">
        <f>(('All Other E&amp;G-4Yr'!AA43+'Investment Income-4Yr'!AA43)/('Total E&amp;G-4yr'!AA43))*100</f>
        <v>9.2977712910779342</v>
      </c>
      <c r="W49" s="182">
        <f t="shared" si="28"/>
        <v>100</v>
      </c>
      <c r="X49" s="183">
        <f t="shared" si="29"/>
        <v>100</v>
      </c>
      <c r="Y49" s="188">
        <f t="shared" si="2"/>
        <v>32.84975988473947</v>
      </c>
      <c r="Z49" s="189">
        <f t="shared" si="3"/>
        <v>27.364735162718578</v>
      </c>
      <c r="AA49" s="188">
        <f t="shared" si="4"/>
        <v>26.626553875846508</v>
      </c>
      <c r="AB49" s="189">
        <f t="shared" si="5"/>
        <v>30.465084386530755</v>
      </c>
      <c r="AC49" s="43">
        <f t="shared" si="6"/>
        <v>100.00000000000001</v>
      </c>
      <c r="AD49" s="43">
        <f t="shared" si="7"/>
        <v>100</v>
      </c>
      <c r="AE49" s="43"/>
    </row>
    <row r="50" spans="1:31">
      <c r="A50" s="119" t="s">
        <v>122</v>
      </c>
      <c r="B50" s="119"/>
      <c r="C50" s="128">
        <f>('Tuition-4Yr'!AF44/'Total E&amp;G-4yr'!AF44)*100</f>
        <v>41.716792902093069</v>
      </c>
      <c r="D50" s="145">
        <f>('State Appropriations-4Yr'!AF44)/('Total E&amp;G-4yr'!AF44)*100</f>
        <v>12.292869929161778</v>
      </c>
      <c r="E50" s="128">
        <f>IF((('Local Appropriations-4Yr'!AF44/'Total E&amp;G-4yr'!AF44)*100)=0,(('Local Appropriations-4Yr'!AF44/'Total E&amp;G-4yr'!AF44)*100),IF((('Local Appropriations-4Yr'!AF44/'Total E&amp;G-4yr'!AF44)*100)&gt;=0.05,('Local Appropriations-4Yr'!AF44/'Total E&amp;G-4yr'!AF44)*100,"*"))</f>
        <v>0</v>
      </c>
      <c r="F50" s="145">
        <f>('Fed Contracts Grnts-4Yr'!AF44)/('Total E&amp;G-4yr'!AF44)*100</f>
        <v>16.192989846220421</v>
      </c>
      <c r="G50" s="128">
        <f>('Other Contract Grnts-4Yr'!AF44)/('Total E&amp;G-4yr'!AF44)*100</f>
        <v>7.4508727855814767</v>
      </c>
      <c r="H50" s="145">
        <f>('All Other E&amp;G-4Yr'!AF44+'Investment Income-4Yr'!AF44)/('Total E&amp;G-4yr'!AF44)*100</f>
        <v>22.346474536943255</v>
      </c>
      <c r="I50" s="147">
        <f t="shared" si="23"/>
        <v>-25.344357474204678</v>
      </c>
      <c r="J50" s="147">
        <f t="shared" si="24"/>
        <v>-19.956480422946779</v>
      </c>
      <c r="K50" s="130">
        <f t="shared" si="1"/>
        <v>0</v>
      </c>
      <c r="L50" s="147">
        <f t="shared" si="25"/>
        <v>-12.857187891324664</v>
      </c>
      <c r="M50" s="130">
        <f t="shared" si="26"/>
        <v>-6.8089083195975428</v>
      </c>
      <c r="N50" s="147">
        <f t="shared" si="27"/>
        <v>64.966934108073644</v>
      </c>
      <c r="O50" s="12"/>
      <c r="P50" s="39">
        <f>('Tuition-4Yr'!AA44/'Total E&amp;G-4yr'!AA44)*100</f>
        <v>67.061150376297746</v>
      </c>
      <c r="Q50" s="40">
        <f>('State Appropriations-4Yr'!AA44/'Total E&amp;G-4yr'!AA44)*100</f>
        <v>32.249350352108557</v>
      </c>
      <c r="R50" s="41">
        <f>IF((('Local Appropriations-4Yr'!AA44/'Total E&amp;G-4yr'!AA44)*100)=0,(('Local Appropriations-4Yr'!AA44/'Total E&amp;G-4yr'!AA44)*100),IF((('Local Appropriations-4Yr'!AA44/'Total E&amp;G-4yr'!AA44)*100)&gt;=0.05,(('Local Appropriations-4Yr'!AA44/'Total E&amp;G-4yr'!AA44)*100),"*"))</f>
        <v>0</v>
      </c>
      <c r="S50" s="42">
        <f>('Fed Contracts Grnts-4Yr'!AA44/'Total E&amp;G-4yr'!AA44)*100</f>
        <v>29.050177737545084</v>
      </c>
      <c r="T50" s="41">
        <f>('Other Contract Grnts-4Yr'!AA44/'Total E&amp;G-4yr'!AA44)*100</f>
        <v>14.25978110517902</v>
      </c>
      <c r="U50" s="42">
        <f>(('All Other E&amp;G-4Yr'!AA44+'Investment Income-4Yr'!AA44)/('Total E&amp;G-4yr'!AA44))*100</f>
        <v>-42.620459571130397</v>
      </c>
      <c r="W50" s="182">
        <f t="shared" si="28"/>
        <v>100.00000000000003</v>
      </c>
      <c r="X50" s="183">
        <f t="shared" si="29"/>
        <v>100</v>
      </c>
      <c r="Y50" s="188">
        <f t="shared" si="2"/>
        <v>32.249350352108557</v>
      </c>
      <c r="Z50" s="189">
        <f t="shared" si="3"/>
        <v>12.292869929161778</v>
      </c>
      <c r="AA50" s="188">
        <f t="shared" si="4"/>
        <v>43.3099588427241</v>
      </c>
      <c r="AB50" s="189">
        <f t="shared" si="5"/>
        <v>23.643862631801898</v>
      </c>
      <c r="AC50" s="43">
        <f t="shared" si="6"/>
        <v>100</v>
      </c>
      <c r="AD50" s="43">
        <f t="shared" si="7"/>
        <v>100</v>
      </c>
      <c r="AE50" s="43"/>
    </row>
    <row r="51" spans="1:31">
      <c r="A51" s="119" t="s">
        <v>123</v>
      </c>
      <c r="B51" s="119"/>
      <c r="C51" s="128">
        <f>('Tuition-4Yr'!AF45/'Total E&amp;G-4yr'!AF45)*100</f>
        <v>35.20862364624243</v>
      </c>
      <c r="D51" s="145">
        <f>('State Appropriations-4Yr'!AF45)/('Total E&amp;G-4yr'!AF45)*100</f>
        <v>21.431603327158012</v>
      </c>
      <c r="E51" s="128">
        <f>IF((('Local Appropriations-4Yr'!AF45/'Total E&amp;G-4yr'!AF45)*100)=0,(('Local Appropriations-4Yr'!AF45/'Total E&amp;G-4yr'!AF45)*100),IF((('Local Appropriations-4Yr'!AF45/'Total E&amp;G-4yr'!AF45)*100)&gt;=0.05,('Local Appropriations-4Yr'!AF45/'Total E&amp;G-4yr'!AF45)*100,"*"))</f>
        <v>0</v>
      </c>
      <c r="F51" s="145">
        <f>('Fed Contracts Grnts-4Yr'!AF45)/('Total E&amp;G-4yr'!AF45)*100</f>
        <v>15.761895909432354</v>
      </c>
      <c r="G51" s="128">
        <f>('Other Contract Grnts-4Yr'!AF45)/('Total E&amp;G-4yr'!AF45)*100</f>
        <v>19.211063419484727</v>
      </c>
      <c r="H51" s="145">
        <f>('All Other E&amp;G-4Yr'!AF45+'Investment Income-4Yr'!AF45)/('Total E&amp;G-4yr'!AF45)*100</f>
        <v>8.386813697682479</v>
      </c>
      <c r="I51" s="147">
        <f t="shared" si="23"/>
        <v>-1.903618553841703</v>
      </c>
      <c r="J51" s="147">
        <f t="shared" si="24"/>
        <v>-11.878190748631713</v>
      </c>
      <c r="K51" s="130">
        <f t="shared" si="1"/>
        <v>0</v>
      </c>
      <c r="L51" s="147">
        <f t="shared" si="25"/>
        <v>-1.2049200697480558</v>
      </c>
      <c r="M51" s="130">
        <f t="shared" si="26"/>
        <v>7.2488230784742314E-2</v>
      </c>
      <c r="N51" s="147">
        <f t="shared" si="27"/>
        <v>14.914241141436726</v>
      </c>
      <c r="O51" s="12"/>
      <c r="P51" s="39">
        <f>('Tuition-4Yr'!AA45/'Total E&amp;G-4yr'!AA45)*100</f>
        <v>37.112242200084133</v>
      </c>
      <c r="Q51" s="40">
        <f>('State Appropriations-4Yr'!AA45/'Total E&amp;G-4yr'!AA45)*100</f>
        <v>33.309794075789725</v>
      </c>
      <c r="R51" s="41">
        <f>IF((('Local Appropriations-4Yr'!AA45/'Total E&amp;G-4yr'!AA45)*100)=0,(('Local Appropriations-4Yr'!AA45/'Total E&amp;G-4yr'!AA45)*100),IF((('Local Appropriations-4Yr'!AA45/'Total E&amp;G-4yr'!AA45)*100)&gt;=0.05,(('Local Appropriations-4Yr'!AA45/'Total E&amp;G-4yr'!AA45)*100),"*"))</f>
        <v>0</v>
      </c>
      <c r="S51" s="42">
        <f>('Fed Contracts Grnts-4Yr'!AA45/'Total E&amp;G-4yr'!AA45)*100</f>
        <v>16.96681597918041</v>
      </c>
      <c r="T51" s="41">
        <f>('Other Contract Grnts-4Yr'!AA45/'Total E&amp;G-4yr'!AA45)*100</f>
        <v>19.138575188699985</v>
      </c>
      <c r="U51" s="42">
        <f>(('All Other E&amp;G-4Yr'!AA45+'Investment Income-4Yr'!AA45)/('Total E&amp;G-4yr'!AA45))*100</f>
        <v>-6.527427443754247</v>
      </c>
      <c r="W51" s="182">
        <f t="shared" si="28"/>
        <v>100.00000000000001</v>
      </c>
      <c r="X51" s="183">
        <f t="shared" si="29"/>
        <v>100.00000000000001</v>
      </c>
      <c r="Y51" s="188">
        <f t="shared" si="2"/>
        <v>33.309794075789725</v>
      </c>
      <c r="Z51" s="189">
        <f t="shared" si="3"/>
        <v>21.431603327158012</v>
      </c>
      <c r="AA51" s="188">
        <f t="shared" si="4"/>
        <v>36.105391167880398</v>
      </c>
      <c r="AB51" s="189">
        <f t="shared" si="5"/>
        <v>34.972959328917085</v>
      </c>
      <c r="AC51" s="43">
        <f t="shared" si="6"/>
        <v>100</v>
      </c>
      <c r="AD51" s="43">
        <f t="shared" si="7"/>
        <v>100.00000000000001</v>
      </c>
      <c r="AE51" s="43"/>
    </row>
    <row r="52" spans="1:31">
      <c r="A52" s="119" t="s">
        <v>67</v>
      </c>
      <c r="B52" s="119"/>
      <c r="C52" s="128">
        <f>('Tuition-4Yr'!AF46/'Total E&amp;G-4yr'!AF46)*100</f>
        <v>45.202329609061394</v>
      </c>
      <c r="D52" s="145">
        <f>('State Appropriations-4Yr'!AF46)/('Total E&amp;G-4yr'!AF46)*100</f>
        <v>23.644903263893397</v>
      </c>
      <c r="E52" s="128">
        <f>IF((('Local Appropriations-4Yr'!AF46/'Total E&amp;G-4yr'!AF46)*100)=0,(('Local Appropriations-4Yr'!AF46/'Total E&amp;G-4yr'!AF46)*100),IF((('Local Appropriations-4Yr'!AF46/'Total E&amp;G-4yr'!AF46)*100)&gt;=0.05,('Local Appropriations-4Yr'!AF46/'Total E&amp;G-4yr'!AF46)*100,"*"))</f>
        <v>0</v>
      </c>
      <c r="F52" s="145">
        <f>('Fed Contracts Grnts-4Yr'!AF46)/('Total E&amp;G-4yr'!AF46)*100</f>
        <v>12.528333462669957</v>
      </c>
      <c r="G52" s="128">
        <f>('Other Contract Grnts-4Yr'!AF46)/('Total E&amp;G-4yr'!AF46)*100</f>
        <v>8.218987297041469</v>
      </c>
      <c r="H52" s="145">
        <f>('All Other E&amp;G-4Yr'!AF46+'Investment Income-4Yr'!AF46)/('Total E&amp;G-4yr'!AF46)*100</f>
        <v>10.405446367333791</v>
      </c>
      <c r="I52" s="147">
        <f t="shared" si="23"/>
        <v>2.5838840453434457</v>
      </c>
      <c r="J52" s="147">
        <f t="shared" si="24"/>
        <v>-10.138453043417641</v>
      </c>
      <c r="K52" s="130">
        <f t="shared" si="1"/>
        <v>0</v>
      </c>
      <c r="L52" s="147">
        <f t="shared" si="25"/>
        <v>-1.0673547834727906</v>
      </c>
      <c r="M52" s="130">
        <f t="shared" si="26"/>
        <v>-1.3606793448538035</v>
      </c>
      <c r="N52" s="147">
        <f t="shared" si="27"/>
        <v>9.9826031264007895</v>
      </c>
      <c r="O52" s="12"/>
      <c r="P52" s="39">
        <f>('Tuition-4Yr'!AA46/'Total E&amp;G-4yr'!AA46)*100</f>
        <v>42.618445563717948</v>
      </c>
      <c r="Q52" s="40">
        <f>('State Appropriations-4Yr'!AA46/'Total E&amp;G-4yr'!AA46)*100</f>
        <v>33.783356307311038</v>
      </c>
      <c r="R52" s="41">
        <f>IF((('Local Appropriations-4Yr'!AA46/'Total E&amp;G-4yr'!AA46)*100)=0,(('Local Appropriations-4Yr'!AA46/'Total E&amp;G-4yr'!AA46)*100),IF((('Local Appropriations-4Yr'!AA46/'Total E&amp;G-4yr'!AA46)*100)&gt;=0.05,(('Local Appropriations-4Yr'!AA46/'Total E&amp;G-4yr'!AA46)*100),"*"))</f>
        <v>0</v>
      </c>
      <c r="S52" s="42">
        <f>('Fed Contracts Grnts-4Yr'!AA46/'Total E&amp;G-4yr'!AA46)*100</f>
        <v>13.595688246142748</v>
      </c>
      <c r="T52" s="41">
        <f>('Other Contract Grnts-4Yr'!AA46/'Total E&amp;G-4yr'!AA46)*100</f>
        <v>9.5796666418952725</v>
      </c>
      <c r="U52" s="42">
        <f>(('All Other E&amp;G-4Yr'!AA46+'Investment Income-4Yr'!AA46)/('Total E&amp;G-4yr'!AA46))*100</f>
        <v>0.42284324093300174</v>
      </c>
      <c r="W52" s="182">
        <f t="shared" si="28"/>
        <v>100.00000000000001</v>
      </c>
      <c r="X52" s="183">
        <f t="shared" si="29"/>
        <v>100.00000000000001</v>
      </c>
      <c r="Y52" s="188">
        <f t="shared" si="2"/>
        <v>33.783356307311038</v>
      </c>
      <c r="Z52" s="189">
        <f t="shared" si="3"/>
        <v>23.644903263893397</v>
      </c>
      <c r="AA52" s="188">
        <f t="shared" si="4"/>
        <v>23.175354888038022</v>
      </c>
      <c r="AB52" s="189">
        <f t="shared" si="5"/>
        <v>20.747320759711428</v>
      </c>
      <c r="AC52" s="43">
        <f t="shared" si="6"/>
        <v>100</v>
      </c>
      <c r="AD52" s="43">
        <f t="shared" si="7"/>
        <v>100.00000000000001</v>
      </c>
      <c r="AE52" s="43"/>
    </row>
    <row r="53" spans="1:31">
      <c r="A53" s="119" t="s">
        <v>125</v>
      </c>
      <c r="B53" s="119"/>
      <c r="C53" s="128">
        <f>('Tuition-4Yr'!AF47/'Total E&amp;G-4yr'!AF47)*100</f>
        <v>28.380271000450065</v>
      </c>
      <c r="D53" s="145">
        <f>('State Appropriations-4Yr'!AF47)/('Total E&amp;G-4yr'!AF47)*100</f>
        <v>32.481339164345613</v>
      </c>
      <c r="E53" s="128">
        <f>IF((('Local Appropriations-4Yr'!AF47/'Total E&amp;G-4yr'!AF47)*100)=0,(('Local Appropriations-4Yr'!AF47/'Total E&amp;G-4yr'!AF47)*100),IF((('Local Appropriations-4Yr'!AF47/'Total E&amp;G-4yr'!AF47)*100)&gt;=0.05,('Local Appropriations-4Yr'!AF47/'Total E&amp;G-4yr'!AF47)*100,"*"))</f>
        <v>0</v>
      </c>
      <c r="F53" s="145">
        <f>('Fed Contracts Grnts-4Yr'!AF47)/('Total E&amp;G-4yr'!AF47)*100</f>
        <v>15.116372922316046</v>
      </c>
      <c r="G53" s="128">
        <f>('Other Contract Grnts-4Yr'!AF47)/('Total E&amp;G-4yr'!AF47)*100</f>
        <v>17.800526202800086</v>
      </c>
      <c r="H53" s="145">
        <f>('All Other E&amp;G-4Yr'!AF47+'Investment Income-4Yr'!AF47)/('Total E&amp;G-4yr'!AF47)*100</f>
        <v>6.2214907100881973</v>
      </c>
      <c r="I53" s="147">
        <f t="shared" si="23"/>
        <v>-0.31939636281557071</v>
      </c>
      <c r="J53" s="147">
        <f t="shared" si="24"/>
        <v>-3.2841090567055957</v>
      </c>
      <c r="K53" s="130">
        <f t="shared" si="1"/>
        <v>0</v>
      </c>
      <c r="L53" s="147">
        <f t="shared" si="25"/>
        <v>8.6284231452648186E-2</v>
      </c>
      <c r="M53" s="130">
        <f t="shared" si="26"/>
        <v>8.8446770387767231</v>
      </c>
      <c r="N53" s="147">
        <f t="shared" si="27"/>
        <v>-5.327455850708203</v>
      </c>
      <c r="O53" s="12"/>
      <c r="P53" s="39">
        <f>('Tuition-4Yr'!AA47/'Total E&amp;G-4yr'!AA47)*100</f>
        <v>28.699667363265636</v>
      </c>
      <c r="Q53" s="40">
        <f>('State Appropriations-4Yr'!AA47/'Total E&amp;G-4yr'!AA47)*100</f>
        <v>35.765448221051209</v>
      </c>
      <c r="R53" s="41">
        <f>IF((('Local Appropriations-4Yr'!AA47/'Total E&amp;G-4yr'!AA47)*100)=0,(('Local Appropriations-4Yr'!AA47/'Total E&amp;G-4yr'!AA47)*100),IF((('Local Appropriations-4Yr'!AA47/'Total E&amp;G-4yr'!AA47)*100)&gt;=0.05,(('Local Appropriations-4Yr'!AA47/'Total E&amp;G-4yr'!AA47)*100),"*"))</f>
        <v>0</v>
      </c>
      <c r="S53" s="42">
        <f>('Fed Contracts Grnts-4Yr'!AA47/'Total E&amp;G-4yr'!AA47)*100</f>
        <v>15.030088690863398</v>
      </c>
      <c r="T53" s="41">
        <f>('Other Contract Grnts-4Yr'!AA47/'Total E&amp;G-4yr'!AA47)*100</f>
        <v>8.9558491640233626</v>
      </c>
      <c r="U53" s="42">
        <f>(('All Other E&amp;G-4Yr'!AA47+'Investment Income-4Yr'!AA47)/('Total E&amp;G-4yr'!AA47))*100</f>
        <v>11.5489465607964</v>
      </c>
      <c r="W53" s="182">
        <f t="shared" si="28"/>
        <v>100</v>
      </c>
      <c r="X53" s="183">
        <f t="shared" si="29"/>
        <v>100</v>
      </c>
      <c r="Y53" s="188">
        <f t="shared" si="2"/>
        <v>35.765448221051209</v>
      </c>
      <c r="Z53" s="189">
        <f t="shared" si="3"/>
        <v>32.481339164345613</v>
      </c>
      <c r="AA53" s="188">
        <f t="shared" si="4"/>
        <v>23.98593785488676</v>
      </c>
      <c r="AB53" s="189">
        <f t="shared" si="5"/>
        <v>32.916899125116132</v>
      </c>
      <c r="AC53" s="43">
        <f t="shared" si="6"/>
        <v>100</v>
      </c>
      <c r="AD53" s="43">
        <f t="shared" si="7"/>
        <v>100.00000000000001</v>
      </c>
      <c r="AE53" s="43"/>
    </row>
    <row r="54" spans="1:31">
      <c r="A54" s="118" t="s">
        <v>131</v>
      </c>
      <c r="B54" s="118"/>
      <c r="C54" s="129">
        <f>('Tuition-4Yr'!AF48/'Total E&amp;G-4yr'!AF48)*100</f>
        <v>37.9924861000774</v>
      </c>
      <c r="D54" s="146">
        <f>('State Appropriations-4Yr'!AF48)/('Total E&amp;G-4yr'!AF48)*100</f>
        <v>32.906631800140076</v>
      </c>
      <c r="E54" s="129">
        <f>IF((('Local Appropriations-4Yr'!AF48/'Total E&amp;G-4yr'!AF48)*100)=0,(('Local Appropriations-4Yr'!AF48/'Total E&amp;G-4yr'!AF48)*100),IF((('Local Appropriations-4Yr'!AF48/'Total E&amp;G-4yr'!AF48)*100)&gt;=0.05,('Local Appropriations-4Yr'!AF48/'Total E&amp;G-4yr'!AF48)*100,"*"))</f>
        <v>0.36732085851431456</v>
      </c>
      <c r="F54" s="146">
        <f>('Fed Contracts Grnts-4Yr'!AF48)/('Total E&amp;G-4yr'!AF48)*100</f>
        <v>16.764462203530858</v>
      </c>
      <c r="G54" s="129">
        <f>('Other Contract Grnts-4Yr'!AF48)/('Total E&amp;G-4yr'!AF48)*100</f>
        <v>9.3826904631781645</v>
      </c>
      <c r="H54" s="146">
        <f>('All Other E&amp;G-4Yr'!AF48+'Investment Income-4Yr'!AF48)/('Total E&amp;G-4yr'!AF48)*100</f>
        <v>2.5864085745591905</v>
      </c>
      <c r="I54" s="146">
        <f t="shared" si="23"/>
        <v>4.1871762628869078</v>
      </c>
      <c r="J54" s="146">
        <f t="shared" si="24"/>
        <v>4.315822885999971</v>
      </c>
      <c r="K54" s="129">
        <f t="shared" si="1"/>
        <v>7.7180630902659753E-2</v>
      </c>
      <c r="L54" s="146">
        <f t="shared" si="25"/>
        <v>-3.1055381927798322</v>
      </c>
      <c r="M54" s="129">
        <f t="shared" si="26"/>
        <v>0.9198782734870079</v>
      </c>
      <c r="N54" s="146">
        <f t="shared" si="27"/>
        <v>-6.3945198604967057</v>
      </c>
      <c r="O54" s="12"/>
      <c r="P54" s="39">
        <f>('Tuition-4Yr'!AA48/'Total E&amp;G-4yr'!AA48)*100</f>
        <v>33.805309837190492</v>
      </c>
      <c r="Q54" s="40">
        <f>('State Appropriations-4Yr'!AA48/'Total E&amp;G-4yr'!AA48)*100</f>
        <v>28.590808914140105</v>
      </c>
      <c r="R54" s="41">
        <f>IF((('Local Appropriations-4Yr'!AA48/'Total E&amp;G-4yr'!AA48)*100)=0,(('Local Appropriations-4Yr'!AA48/'Total E&amp;G-4yr'!AA48)*100),IF((('Local Appropriations-4Yr'!AA48/'Total E&amp;G-4yr'!AA48)*100)&gt;=0.05,(('Local Appropriations-4Yr'!AA48/'Total E&amp;G-4yr'!AA48)*100),"*"))</f>
        <v>0.29014022761165481</v>
      </c>
      <c r="S54" s="42">
        <f>('Fed Contracts Grnts-4Yr'!AA48/'Total E&amp;G-4yr'!AA48)*100</f>
        <v>19.87000039631069</v>
      </c>
      <c r="T54" s="41">
        <f>('Other Contract Grnts-4Yr'!AA48/'Total E&amp;G-4yr'!AA48)*100</f>
        <v>8.4628121896911566</v>
      </c>
      <c r="U54" s="42">
        <f>(('All Other E&amp;G-4Yr'!AA48+'Investment Income-4Yr'!AA48)/('Total E&amp;G-4yr'!AA48))*100</f>
        <v>8.9809284350558958</v>
      </c>
      <c r="W54" s="182">
        <f t="shared" si="28"/>
        <v>99.999999999999986</v>
      </c>
      <c r="X54" s="183">
        <f t="shared" si="29"/>
        <v>100</v>
      </c>
      <c r="Y54" s="188">
        <f t="shared" si="2"/>
        <v>28.88094914175176</v>
      </c>
      <c r="Z54" s="189">
        <f t="shared" si="3"/>
        <v>33.273952658654387</v>
      </c>
      <c r="AA54" s="188">
        <f t="shared" si="4"/>
        <v>28.332812586001847</v>
      </c>
      <c r="AB54" s="189">
        <f t="shared" si="5"/>
        <v>26.147152666709022</v>
      </c>
      <c r="AC54" s="43">
        <f t="shared" si="6"/>
        <v>100</v>
      </c>
      <c r="AD54" s="43">
        <f t="shared" si="7"/>
        <v>100</v>
      </c>
      <c r="AE54" s="43"/>
    </row>
    <row r="55" spans="1:31">
      <c r="A55" s="118" t="s">
        <v>132</v>
      </c>
      <c r="B55" s="118"/>
      <c r="C55" s="129">
        <f>('Tuition-4Yr'!AF49/'Total E&amp;G-4yr'!AF49)*100</f>
        <v>45.985618816397647</v>
      </c>
      <c r="D55" s="146">
        <f>('State Appropriations-4Yr'!AF49)/('Total E&amp;G-4yr'!AF49)*100</f>
        <v>17.220446992516933</v>
      </c>
      <c r="E55" s="129">
        <f>IF((('Local Appropriations-4Yr'!AF49/'Total E&amp;G-4yr'!AF49)*100)=0,(('Local Appropriations-4Yr'!AF49/'Total E&amp;G-4yr'!AF49)*100),IF((('Local Appropriations-4Yr'!AF49/'Total E&amp;G-4yr'!AF49)*100)&gt;=0.05,('Local Appropriations-4Yr'!AF49/'Total E&amp;G-4yr'!AF49)*100,"*"))</f>
        <v>0</v>
      </c>
      <c r="F55" s="146">
        <f>('Fed Contracts Grnts-4Yr'!AF49)/('Total E&amp;G-4yr'!AF49)*100</f>
        <v>12.173208724149122</v>
      </c>
      <c r="G55" s="129">
        <f>('Other Contract Grnts-4Yr'!AF49)/('Total E&amp;G-4yr'!AF49)*100</f>
        <v>10.165286508945352</v>
      </c>
      <c r="H55" s="146">
        <f>('All Other E&amp;G-4Yr'!AF49+'Investment Income-4Yr'!AF49)/('Total E&amp;G-4yr'!AF49)*100</f>
        <v>14.455438957990948</v>
      </c>
      <c r="I55" s="146">
        <f t="shared" si="23"/>
        <v>-7.3486688160246132</v>
      </c>
      <c r="J55" s="146">
        <f t="shared" si="24"/>
        <v>-11.289688261747905</v>
      </c>
      <c r="K55" s="129">
        <f t="shared" si="1"/>
        <v>0</v>
      </c>
      <c r="L55" s="146">
        <f t="shared" si="25"/>
        <v>-2.7785725535585328</v>
      </c>
      <c r="M55" s="129">
        <f t="shared" si="26"/>
        <v>-4.4095158298458745</v>
      </c>
      <c r="N55" s="146">
        <f t="shared" si="27"/>
        <v>25.826445461176938</v>
      </c>
      <c r="O55" s="12"/>
      <c r="P55" s="39">
        <f>('Tuition-4Yr'!AA49/'Total E&amp;G-4yr'!AA49)*100</f>
        <v>53.33428763242226</v>
      </c>
      <c r="Q55" s="40">
        <f>('State Appropriations-4Yr'!AA49/'Total E&amp;G-4yr'!AA49)*100</f>
        <v>28.510135254264839</v>
      </c>
      <c r="R55" s="41">
        <f>IF((('Local Appropriations-4Yr'!AA49/'Total E&amp;G-4yr'!AA49)*100)=0,(('Local Appropriations-4Yr'!AA49/'Total E&amp;G-4yr'!AA49)*100),IF((('Local Appropriations-4Yr'!AA49/'Total E&amp;G-4yr'!AA49)*100)&gt;=0.05,(('Local Appropriations-4Yr'!AA49/'Total E&amp;G-4yr'!AA49)*100),"*"))</f>
        <v>0</v>
      </c>
      <c r="S55" s="42">
        <f>('Fed Contracts Grnts-4Yr'!AA49/'Total E&amp;G-4yr'!AA49)*100</f>
        <v>14.951781277707655</v>
      </c>
      <c r="T55" s="41">
        <f>('Other Contract Grnts-4Yr'!AA49/'Total E&amp;G-4yr'!AA49)*100</f>
        <v>14.574802338791226</v>
      </c>
      <c r="U55" s="42">
        <f>(('All Other E&amp;G-4Yr'!AA49+'Investment Income-4Yr'!AA49)/('Total E&amp;G-4yr'!AA49))*100</f>
        <v>-11.37100650318599</v>
      </c>
      <c r="W55" s="182">
        <f t="shared" si="28"/>
        <v>99.999999999999986</v>
      </c>
      <c r="X55" s="183">
        <f t="shared" si="29"/>
        <v>100.00000000000001</v>
      </c>
      <c r="Y55" s="188">
        <f t="shared" si="2"/>
        <v>28.510135254264839</v>
      </c>
      <c r="Z55" s="189">
        <f t="shared" si="3"/>
        <v>17.220446992516933</v>
      </c>
      <c r="AA55" s="188">
        <f t="shared" si="4"/>
        <v>29.526583616498883</v>
      </c>
      <c r="AB55" s="189">
        <f t="shared" si="5"/>
        <v>22.338495233094473</v>
      </c>
      <c r="AC55" s="43">
        <f t="shared" si="6"/>
        <v>100</v>
      </c>
      <c r="AD55" s="43">
        <f t="shared" si="7"/>
        <v>100</v>
      </c>
      <c r="AE55" s="43"/>
    </row>
    <row r="56" spans="1:31">
      <c r="A56" s="118" t="s">
        <v>136</v>
      </c>
      <c r="B56" s="118"/>
      <c r="C56" s="129">
        <f>('Tuition-4Yr'!AF50/'Total E&amp;G-4yr'!AF50)*100</f>
        <v>41.099455206734689</v>
      </c>
      <c r="D56" s="146">
        <f>('State Appropriations-4Yr'!AF50)/('Total E&amp;G-4yr'!AF50)*100</f>
        <v>28.45366564975777</v>
      </c>
      <c r="E56" s="129">
        <f>IF((('Local Appropriations-4Yr'!AF50/'Total E&amp;G-4yr'!AF50)*100)=0,(('Local Appropriations-4Yr'!AF50/'Total E&amp;G-4yr'!AF50)*100),IF((('Local Appropriations-4Yr'!AF50/'Total E&amp;G-4yr'!AF50)*100)&gt;=0.05,('Local Appropriations-4Yr'!AF50/'Total E&amp;G-4yr'!AF50)*100,"*"))</f>
        <v>0</v>
      </c>
      <c r="F56" s="146">
        <f>('Fed Contracts Grnts-4Yr'!AF50)/('Total E&amp;G-4yr'!AF50)*100</f>
        <v>18.053197700370696</v>
      </c>
      <c r="G56" s="129">
        <f>('Other Contract Grnts-4Yr'!AF50)/('Total E&amp;G-4yr'!AF50)*100</f>
        <v>8.6888859904054865</v>
      </c>
      <c r="H56" s="146">
        <f>('All Other E&amp;G-4Yr'!AF50+'Investment Income-4Yr'!AF50)/('Total E&amp;G-4yr'!AF50)*100</f>
        <v>3.7047954527313589</v>
      </c>
      <c r="I56" s="146">
        <f t="shared" si="23"/>
        <v>10.176575568580866</v>
      </c>
      <c r="J56" s="146">
        <f t="shared" si="24"/>
        <v>6.2927594998026137E-2</v>
      </c>
      <c r="K56" s="129">
        <f t="shared" si="1"/>
        <v>0</v>
      </c>
      <c r="L56" s="146">
        <f t="shared" si="25"/>
        <v>8.66982070661102E-2</v>
      </c>
      <c r="M56" s="129">
        <f t="shared" si="26"/>
        <v>2.5993067454514751</v>
      </c>
      <c r="N56" s="146">
        <f t="shared" si="27"/>
        <v>-12.925508116096479</v>
      </c>
      <c r="O56" s="12"/>
      <c r="P56" s="39">
        <f>('Tuition-4Yr'!AA50/'Total E&amp;G-4yr'!AA50)*100</f>
        <v>30.922879638153823</v>
      </c>
      <c r="Q56" s="40">
        <f>('State Appropriations-4Yr'!AA50/'Total E&amp;G-4yr'!AA50)*100</f>
        <v>28.390738054759744</v>
      </c>
      <c r="R56" s="41">
        <f>IF((('Local Appropriations-4Yr'!AA50/'Total E&amp;G-4yr'!AA50)*100)=0,(('Local Appropriations-4Yr'!AA50/'Total E&amp;G-4yr'!AA50)*100),IF((('Local Appropriations-4Yr'!AA50/'Total E&amp;G-4yr'!AA50)*100)&gt;=0.05,(('Local Appropriations-4Yr'!AA50/'Total E&amp;G-4yr'!AA50)*100),"*"))</f>
        <v>0</v>
      </c>
      <c r="S56" s="42">
        <f>('Fed Contracts Grnts-4Yr'!AA50/'Total E&amp;G-4yr'!AA50)*100</f>
        <v>17.966499493304585</v>
      </c>
      <c r="T56" s="41">
        <f>('Other Contract Grnts-4Yr'!AA50/'Total E&amp;G-4yr'!AA50)*100</f>
        <v>6.0895792449540114</v>
      </c>
      <c r="U56" s="42">
        <f>(('All Other E&amp;G-4Yr'!AA50+'Investment Income-4Yr'!AA50)/('Total E&amp;G-4yr'!AA50))*100</f>
        <v>16.630303568827838</v>
      </c>
      <c r="W56" s="182">
        <f t="shared" si="28"/>
        <v>100</v>
      </c>
      <c r="X56" s="183">
        <f t="shared" si="29"/>
        <v>100</v>
      </c>
      <c r="Y56" s="188">
        <f t="shared" si="2"/>
        <v>28.390738054759744</v>
      </c>
      <c r="Z56" s="189">
        <f t="shared" si="3"/>
        <v>28.45366564975777</v>
      </c>
      <c r="AA56" s="188">
        <f t="shared" si="4"/>
        <v>24.056078738258599</v>
      </c>
      <c r="AB56" s="189">
        <f t="shared" si="5"/>
        <v>26.742083690776184</v>
      </c>
      <c r="AC56" s="43">
        <f t="shared" si="6"/>
        <v>100</v>
      </c>
      <c r="AD56" s="43">
        <f t="shared" si="7"/>
        <v>100</v>
      </c>
      <c r="AE56" s="43"/>
    </row>
    <row r="57" spans="1:31">
      <c r="A57" s="118" t="s">
        <v>140</v>
      </c>
      <c r="B57" s="118"/>
      <c r="C57" s="129">
        <f>('Tuition-4Yr'!AF51/'Total E&amp;G-4yr'!AF51)*100</f>
        <v>33.785876619031249</v>
      </c>
      <c r="D57" s="146">
        <f>('State Appropriations-4Yr'!AF51)/('Total E&amp;G-4yr'!AF51)*100</f>
        <v>20.226569074467101</v>
      </c>
      <c r="E57" s="129">
        <f>IF((('Local Appropriations-4Yr'!AF51/'Total E&amp;G-4yr'!AF51)*100)=0,(('Local Appropriations-4Yr'!AF51/'Total E&amp;G-4yr'!AF51)*100),IF((('Local Appropriations-4Yr'!AF51/'Total E&amp;G-4yr'!AF51)*100)&gt;=0.05,('Local Appropriations-4Yr'!AF51/'Total E&amp;G-4yr'!AF51)*100,"*"))</f>
        <v>0</v>
      </c>
      <c r="F57" s="146">
        <f>('Fed Contracts Grnts-4Yr'!AF51)/('Total E&amp;G-4yr'!AF51)*100</f>
        <v>18.605034841068722</v>
      </c>
      <c r="G57" s="129">
        <f>('Other Contract Grnts-4Yr'!AF51)/('Total E&amp;G-4yr'!AF51)*100</f>
        <v>15.228037030742026</v>
      </c>
      <c r="H57" s="146">
        <f>('All Other E&amp;G-4Yr'!AF51+'Investment Income-4Yr'!AF51)/('Total E&amp;G-4yr'!AF51)*100</f>
        <v>12.154482434690904</v>
      </c>
      <c r="I57" s="146">
        <f t="shared" si="23"/>
        <v>7.275248358806742</v>
      </c>
      <c r="J57" s="146">
        <f t="shared" si="24"/>
        <v>-3.7574388495533277</v>
      </c>
      <c r="K57" s="129">
        <f t="shared" si="1"/>
        <v>-2.3426435903730636</v>
      </c>
      <c r="L57" s="146">
        <f t="shared" si="25"/>
        <v>-0.67128259347182606</v>
      </c>
      <c r="M57" s="129">
        <f t="shared" si="26"/>
        <v>1.9575072039888965</v>
      </c>
      <c r="N57" s="146">
        <f t="shared" si="27"/>
        <v>-2.4613905293974252</v>
      </c>
      <c r="O57" s="12"/>
      <c r="P57" s="39">
        <f>('Tuition-4Yr'!AA51/'Total E&amp;G-4yr'!AA51)*100</f>
        <v>26.510628260224507</v>
      </c>
      <c r="Q57" s="40">
        <f>('State Appropriations-4Yr'!AA51/'Total E&amp;G-4yr'!AA51)*100</f>
        <v>23.984007924020428</v>
      </c>
      <c r="R57" s="41">
        <f>IF((('Local Appropriations-4Yr'!AA51/'Total E&amp;G-4yr'!AA51)*100)=0,(('Local Appropriations-4Yr'!AA51/'Total E&amp;G-4yr'!AA51)*100),IF((('Local Appropriations-4Yr'!AA51/'Total E&amp;G-4yr'!AA51)*100)&gt;=0.05,(('Local Appropriations-4Yr'!AA51/'Total E&amp;G-4yr'!AA51)*100),"*"))</f>
        <v>2.3426435903730636</v>
      </c>
      <c r="S57" s="42">
        <f>('Fed Contracts Grnts-4Yr'!AA51/'Total E&amp;G-4yr'!AA51)*100</f>
        <v>19.276317434540548</v>
      </c>
      <c r="T57" s="41">
        <f>('Other Contract Grnts-4Yr'!AA51/'Total E&amp;G-4yr'!AA51)*100</f>
        <v>13.27052982675313</v>
      </c>
      <c r="U57" s="42">
        <f>(('All Other E&amp;G-4Yr'!AA51+'Investment Income-4Yr'!AA51)/('Total E&amp;G-4yr'!AA51))*100</f>
        <v>14.615872964088329</v>
      </c>
      <c r="W57" s="182">
        <f t="shared" si="28"/>
        <v>100.00000000000001</v>
      </c>
      <c r="X57" s="183">
        <f t="shared" si="29"/>
        <v>100.00000000000001</v>
      </c>
      <c r="Y57" s="188">
        <f t="shared" si="2"/>
        <v>26.326651514393493</v>
      </c>
      <c r="Z57" s="189">
        <f t="shared" si="3"/>
        <v>20.226569074467101</v>
      </c>
      <c r="AA57" s="188">
        <f t="shared" si="4"/>
        <v>32.546847261293678</v>
      </c>
      <c r="AB57" s="189">
        <f t="shared" si="5"/>
        <v>33.833071871810745</v>
      </c>
      <c r="AC57" s="43">
        <f t="shared" si="6"/>
        <v>100</v>
      </c>
      <c r="AD57" s="43">
        <f t="shared" si="7"/>
        <v>100</v>
      </c>
      <c r="AE57" s="43"/>
    </row>
    <row r="58" spans="1:31">
      <c r="A58" s="123" t="s">
        <v>146</v>
      </c>
      <c r="B58" s="123"/>
      <c r="C58" s="134">
        <f>('Tuition-4Yr'!AF52/'Total E&amp;G-4yr'!AF52)*100</f>
        <v>39.707149922539969</v>
      </c>
      <c r="D58" s="150">
        <f>('State Appropriations-4Yr'!AF52)/('Total E&amp;G-4yr'!AF52)*100</f>
        <v>29.680444490523861</v>
      </c>
      <c r="E58" s="134">
        <f>IF((('Local Appropriations-4Yr'!AF52/'Total E&amp;G-4yr'!AF52)*100)=0,(('Local Appropriations-4Yr'!AF52/'Total E&amp;G-4yr'!AF52)*100),IF((('Local Appropriations-4Yr'!AF52/'Total E&amp;G-4yr'!AF52)*100)&gt;=0.05,('Local Appropriations-4Yr'!AF52/'Total E&amp;G-4yr'!AF52)*100,"*"))</f>
        <v>0.38346164516470038</v>
      </c>
      <c r="F58" s="150">
        <f>('Fed Contracts Grnts-4Yr'!AF52)/('Total E&amp;G-4yr'!AF52)*100</f>
        <v>12.852499243288198</v>
      </c>
      <c r="G58" s="134">
        <f>('Other Contract Grnts-4Yr'!AF52)/('Total E&amp;G-4yr'!AF52)*100</f>
        <v>9.9615062099790848</v>
      </c>
      <c r="H58" s="150">
        <f>('All Other E&amp;G-4Yr'!AF52+'Investment Income-4Yr'!AF52)/('Total E&amp;G-4yr'!AF52)*100</f>
        <v>7.4149384885041814</v>
      </c>
      <c r="I58" s="150">
        <f t="shared" si="23"/>
        <v>1.4625831636628277</v>
      </c>
      <c r="J58" s="150">
        <f t="shared" si="24"/>
        <v>-5.3674766862320453</v>
      </c>
      <c r="K58" s="134">
        <f t="shared" si="1"/>
        <v>-8.7877611744461237E-2</v>
      </c>
      <c r="L58" s="150">
        <f t="shared" si="25"/>
        <v>0.31766688455655334</v>
      </c>
      <c r="M58" s="134">
        <f t="shared" si="26"/>
        <v>-0.24039325223812114</v>
      </c>
      <c r="N58" s="150">
        <f t="shared" si="27"/>
        <v>3.9154975019952385</v>
      </c>
      <c r="O58" s="12"/>
      <c r="P58" s="39">
        <f>('Tuition-4Yr'!AA52/'Total E&amp;G-4yr'!AA52)*100</f>
        <v>38.244566758877141</v>
      </c>
      <c r="Q58" s="40">
        <f>('State Appropriations-4Yr'!AA52/'Total E&amp;G-4yr'!AA52)*100</f>
        <v>35.047921176755906</v>
      </c>
      <c r="R58" s="41">
        <f>IF((('Local Appropriations-4Yr'!AA52/'Total E&amp;G-4yr'!AA52)*100)=0,(('Local Appropriations-4Yr'!AA52/'Total E&amp;G-4yr'!AA52)*100),IF((('Local Appropriations-4Yr'!AA52/'Total E&amp;G-4yr'!AA52)*100)&gt;=0.05,(('Local Appropriations-4Yr'!AA52/'Total E&amp;G-4yr'!AA52)*100),"*"))</f>
        <v>0.47133925690916162</v>
      </c>
      <c r="S58" s="42">
        <f>('Fed Contracts Grnts-4Yr'!AA52/'Total E&amp;G-4yr'!AA52)*100</f>
        <v>12.534832358731645</v>
      </c>
      <c r="T58" s="41">
        <f>('Other Contract Grnts-4Yr'!AA52/'Total E&amp;G-4yr'!AA52)*100</f>
        <v>10.201899462217206</v>
      </c>
      <c r="U58" s="42">
        <f>(('All Other E&amp;G-4Yr'!AA52+'Investment Income-4Yr'!AA52)/('Total E&amp;G-4yr'!AA52))*100</f>
        <v>3.4994409865089429</v>
      </c>
      <c r="W58" s="182">
        <f t="shared" si="28"/>
        <v>100</v>
      </c>
      <c r="X58" s="183">
        <f t="shared" si="29"/>
        <v>99.999999999999986</v>
      </c>
      <c r="Y58" s="188">
        <f t="shared" si="2"/>
        <v>35.519260433665067</v>
      </c>
      <c r="Z58" s="189">
        <f t="shared" si="3"/>
        <v>30.063906135688562</v>
      </c>
      <c r="AA58" s="188">
        <f t="shared" si="4"/>
        <v>22.736731820948851</v>
      </c>
      <c r="AB58" s="189">
        <f t="shared" si="5"/>
        <v>22.814005453267285</v>
      </c>
      <c r="AC58" s="43">
        <f t="shared" si="6"/>
        <v>100</v>
      </c>
      <c r="AD58" s="43">
        <f t="shared" si="7"/>
        <v>100</v>
      </c>
      <c r="AE58" s="43"/>
    </row>
    <row r="59" spans="1:31">
      <c r="A59" s="119"/>
      <c r="B59" s="119"/>
      <c r="C59" s="130"/>
      <c r="D59" s="147"/>
      <c r="E59" s="130"/>
      <c r="F59" s="147"/>
      <c r="G59" s="130"/>
      <c r="H59" s="147"/>
      <c r="I59" s="147"/>
      <c r="J59" s="147"/>
      <c r="K59" s="130">
        <f t="shared" si="1"/>
        <v>0</v>
      </c>
      <c r="L59" s="147"/>
      <c r="M59" s="130"/>
      <c r="N59" s="147"/>
      <c r="O59" s="12"/>
      <c r="P59" s="39"/>
      <c r="Q59" s="40"/>
      <c r="R59" s="41"/>
      <c r="S59" s="42"/>
      <c r="T59" s="41"/>
      <c r="U59" s="42"/>
      <c r="W59" s="182"/>
      <c r="X59" s="183"/>
      <c r="Y59" s="188"/>
      <c r="Z59" s="189"/>
      <c r="AA59" s="188"/>
      <c r="AB59" s="189"/>
      <c r="AC59" s="43"/>
      <c r="AD59" s="43"/>
      <c r="AE59" s="43"/>
    </row>
    <row r="60" spans="1:31">
      <c r="A60" s="118" t="s">
        <v>113</v>
      </c>
      <c r="B60" s="118"/>
      <c r="C60" s="129">
        <f>('Tuition-4Yr'!AF54/'Total E&amp;G-4yr'!AF54)*100</f>
        <v>35.728033099588529</v>
      </c>
      <c r="D60" s="146">
        <f>('State Appropriations-4Yr'!AF54)/('Total E&amp;G-4yr'!AF54)*100</f>
        <v>40.44469304975842</v>
      </c>
      <c r="E60" s="129">
        <f>IF((('Local Appropriations-4Yr'!AF54/'Total E&amp;G-4yr'!AF54)*100)=0,(('Local Appropriations-4Yr'!AF54/'Total E&amp;G-4yr'!AF54)*100),IF((('Local Appropriations-4Yr'!AF54/'Total E&amp;G-4yr'!AF54)*100)&gt;=0.05,('Local Appropriations-4Yr'!AF54/'Total E&amp;G-4yr'!AF54)*100,"*"))</f>
        <v>0</v>
      </c>
      <c r="F60" s="146">
        <f>('Fed Contracts Grnts-4Yr'!AF54)/('Total E&amp;G-4yr'!AF54)*100</f>
        <v>10.916478909198773</v>
      </c>
      <c r="G60" s="129">
        <f>('Other Contract Grnts-4Yr'!AF54)/('Total E&amp;G-4yr'!AF54)*100</f>
        <v>5.5875349108417618</v>
      </c>
      <c r="H60" s="146">
        <f>('All Other E&amp;G-4Yr'!AF54+'Investment Income-4Yr'!AF54)/('Total E&amp;G-4yr'!AF54)*100</f>
        <v>7.3232600306125262</v>
      </c>
      <c r="I60" s="146">
        <f t="shared" ref="I60:I69" si="30">IF((C60-P60)=0,(C60-P60),IF((C60-P60)&gt;=0.05,(C60-P60),IF((C60-P60&lt;=-0.05),(C60-P60),"*")))</f>
        <v>4.0685514117982393</v>
      </c>
      <c r="J60" s="146">
        <f t="shared" ref="J60:J69" si="31">IF((D60-Q60)=0,(D60-Q60),IF((D60-Q60)&gt;=0.05,(D60-Q60),IF((D60-Q60&lt;=-0.05),(D60-Q60),"*")))</f>
        <v>-1.8172554023205691</v>
      </c>
      <c r="K60" s="129">
        <f t="shared" si="1"/>
        <v>0</v>
      </c>
      <c r="L60" s="146">
        <f t="shared" ref="L60:L69" si="32">IF((F60-S60)=0,(F60-S60),IF((F60-S60)&gt;=0.05,(F60-S60),IF((F60-S60&lt;=-0.05),(F60-S60),"*")))</f>
        <v>0.64457711474073953</v>
      </c>
      <c r="M60" s="129">
        <f t="shared" ref="M60:M69" si="33">IF((G60-T60)=0,(G60-T60),IF((G60-T60)&gt;=0.05,(G60-T60),IF((G60-T60&lt;=-0.05),(G60-T60),"*")))</f>
        <v>-0.4451663377731796</v>
      </c>
      <c r="N60" s="146">
        <f t="shared" ref="N60:N69" si="34">IF((H60-U60)=0,(H60-U60),IF((H60-U60)&gt;=0.05,(H60-U60),IF((H60-U60&lt;=-0.05),(H60-U60),"*")))</f>
        <v>-2.450706786445223</v>
      </c>
      <c r="O60" s="12"/>
      <c r="P60" s="39">
        <f>('Tuition-4Yr'!AA54/'Total E&amp;G-4yr'!AA54)*100</f>
        <v>31.65948168779029</v>
      </c>
      <c r="Q60" s="40">
        <f>('State Appropriations-4Yr'!AA54/'Total E&amp;G-4yr'!AA54)*100</f>
        <v>42.26194845207899</v>
      </c>
      <c r="R60" s="41">
        <f>IF((('Local Appropriations-4Yr'!AA54/'Total E&amp;G-4yr'!AA54)*100)=0,(('Local Appropriations-4Yr'!AA54/'Total E&amp;G-4yr'!AA54)*100),IF((('Local Appropriations-4Yr'!AA54/'Total E&amp;G-4yr'!AA54)*100)&gt;=0.05,(('Local Appropriations-4Yr'!AA54/'Total E&amp;G-4yr'!AA54)*100),"*"))</f>
        <v>0</v>
      </c>
      <c r="S60" s="42">
        <f>('Fed Contracts Grnts-4Yr'!AA54/'Total E&amp;G-4yr'!AA54)*100</f>
        <v>10.271901794458033</v>
      </c>
      <c r="T60" s="41">
        <f>('Other Contract Grnts-4Yr'!AA54/'Total E&amp;G-4yr'!AA54)*100</f>
        <v>6.0327012486149414</v>
      </c>
      <c r="U60" s="42">
        <f>(('All Other E&amp;G-4Yr'!AA54+'Investment Income-4Yr'!AA54)/('Total E&amp;G-4yr'!AA54))*100</f>
        <v>9.7739668170577492</v>
      </c>
      <c r="W60" s="182">
        <f t="shared" ref="W60:W69" si="35">SUM(P60:U60)</f>
        <v>100</v>
      </c>
      <c r="X60" s="183">
        <f t="shared" ref="X60:X69" si="36">SUM(C60:H60)</f>
        <v>100.00000000000001</v>
      </c>
      <c r="Y60" s="188">
        <f t="shared" si="2"/>
        <v>42.26194845207899</v>
      </c>
      <c r="Z60" s="189">
        <f t="shared" si="3"/>
        <v>40.44469304975842</v>
      </c>
      <c r="AA60" s="188">
        <f t="shared" si="4"/>
        <v>16.304603043072973</v>
      </c>
      <c r="AB60" s="189">
        <f t="shared" si="5"/>
        <v>16.504013820040534</v>
      </c>
      <c r="AC60" s="43">
        <f t="shared" si="6"/>
        <v>100</v>
      </c>
      <c r="AD60" s="43">
        <f t="shared" si="7"/>
        <v>100.00000000000001</v>
      </c>
      <c r="AE60" s="43"/>
    </row>
    <row r="61" spans="1:31">
      <c r="A61" s="118" t="s">
        <v>120</v>
      </c>
      <c r="B61" s="118"/>
      <c r="C61" s="129">
        <f>('Tuition-4Yr'!AF55/'Total E&amp;G-4yr'!AF55)*100</f>
        <v>42.834571641395463</v>
      </c>
      <c r="D61" s="146">
        <f>('State Appropriations-4Yr'!AF55)/('Total E&amp;G-4yr'!AF55)*100</f>
        <v>28.264062517852672</v>
      </c>
      <c r="E61" s="129">
        <f>IF((('Local Appropriations-4Yr'!AF55/'Total E&amp;G-4yr'!AF55)*100)=0,(('Local Appropriations-4Yr'!AF55/'Total E&amp;G-4yr'!AF55)*100),IF((('Local Appropriations-4Yr'!AF55/'Total E&amp;G-4yr'!AF55)*100)&gt;=0.05,('Local Appropriations-4Yr'!AF55/'Total E&amp;G-4yr'!AF55)*100,"*"))</f>
        <v>0</v>
      </c>
      <c r="F61" s="146">
        <f>('Fed Contracts Grnts-4Yr'!AF55)/('Total E&amp;G-4yr'!AF55)*100</f>
        <v>14.93160493690913</v>
      </c>
      <c r="G61" s="129">
        <f>('Other Contract Grnts-4Yr'!AF55)/('Total E&amp;G-4yr'!AF55)*100</f>
        <v>7.5336357889137853</v>
      </c>
      <c r="H61" s="146">
        <f>('All Other E&amp;G-4Yr'!AF55+'Investment Income-4Yr'!AF55)/('Total E&amp;G-4yr'!AF55)*100</f>
        <v>6.4361251149289362</v>
      </c>
      <c r="I61" s="146">
        <f t="shared" si="30"/>
        <v>3.4135526962725251</v>
      </c>
      <c r="J61" s="146">
        <f t="shared" si="31"/>
        <v>-1.3753701040401367</v>
      </c>
      <c r="K61" s="129">
        <f t="shared" si="1"/>
        <v>0</v>
      </c>
      <c r="L61" s="146">
        <f t="shared" si="32"/>
        <v>1.8105152456177169</v>
      </c>
      <c r="M61" s="129">
        <f t="shared" si="33"/>
        <v>-4.5440692426672387</v>
      </c>
      <c r="N61" s="146">
        <f t="shared" si="34"/>
        <v>0.69537140481712356</v>
      </c>
      <c r="O61" s="12"/>
      <c r="P61" s="39">
        <f>('Tuition-4Yr'!AA55/'Total E&amp;G-4yr'!AA55)*100</f>
        <v>39.421018945122938</v>
      </c>
      <c r="Q61" s="40">
        <f>('State Appropriations-4Yr'!AA55/'Total E&amp;G-4yr'!AA55)*100</f>
        <v>29.639432621892809</v>
      </c>
      <c r="R61" s="41">
        <f>IF((('Local Appropriations-4Yr'!AA55/'Total E&amp;G-4yr'!AA55)*100)=0,(('Local Appropriations-4Yr'!AA55/'Total E&amp;G-4yr'!AA55)*100),IF((('Local Appropriations-4Yr'!AA55/'Total E&amp;G-4yr'!AA55)*100)&gt;=0.05,(('Local Appropriations-4Yr'!AA55/'Total E&amp;G-4yr'!AA55)*100),"*"))</f>
        <v>0</v>
      </c>
      <c r="S61" s="42">
        <f>('Fed Contracts Grnts-4Yr'!AA55/'Total E&amp;G-4yr'!AA55)*100</f>
        <v>13.121089691291413</v>
      </c>
      <c r="T61" s="41">
        <f>('Other Contract Grnts-4Yr'!AA55/'Total E&amp;G-4yr'!AA55)*100</f>
        <v>12.077705031581024</v>
      </c>
      <c r="U61" s="42">
        <f>(('All Other E&amp;G-4Yr'!AA55+'Investment Income-4Yr'!AA55)/('Total E&amp;G-4yr'!AA55))*100</f>
        <v>5.7407537101118127</v>
      </c>
      <c r="W61" s="182">
        <f t="shared" si="35"/>
        <v>100</v>
      </c>
      <c r="X61" s="183">
        <f t="shared" si="36"/>
        <v>99.999999999999986</v>
      </c>
      <c r="Y61" s="188">
        <f t="shared" si="2"/>
        <v>29.639432621892809</v>
      </c>
      <c r="Z61" s="189">
        <f t="shared" si="3"/>
        <v>28.264062517852672</v>
      </c>
      <c r="AA61" s="188">
        <f t="shared" si="4"/>
        <v>25.198794722872435</v>
      </c>
      <c r="AB61" s="189">
        <f t="shared" si="5"/>
        <v>22.465240725822916</v>
      </c>
      <c r="AC61" s="43">
        <f t="shared" si="6"/>
        <v>100</v>
      </c>
      <c r="AD61" s="43">
        <f t="shared" si="7"/>
        <v>99.999999999999986</v>
      </c>
      <c r="AE61" s="43"/>
    </row>
    <row r="62" spans="1:31">
      <c r="A62" s="118" t="s">
        <v>121</v>
      </c>
      <c r="B62" s="118"/>
      <c r="C62" s="129">
        <f>('Tuition-4Yr'!AF56/'Total E&amp;G-4yr'!AF56)*100</f>
        <v>37.485893207691731</v>
      </c>
      <c r="D62" s="146">
        <f>('State Appropriations-4Yr'!AF56)/('Total E&amp;G-4yr'!AF56)*100</f>
        <v>24.167311049209879</v>
      </c>
      <c r="E62" s="129">
        <f>IF((('Local Appropriations-4Yr'!AF56/'Total E&amp;G-4yr'!AF56)*100)=0,(('Local Appropriations-4Yr'!AF56/'Total E&amp;G-4yr'!AF56)*100),IF((('Local Appropriations-4Yr'!AF56/'Total E&amp;G-4yr'!AF56)*100)&gt;=0.05,('Local Appropriations-4Yr'!AF56/'Total E&amp;G-4yr'!AF56)*100,"*"))</f>
        <v>0</v>
      </c>
      <c r="F62" s="146">
        <f>('Fed Contracts Grnts-4Yr'!AF56)/('Total E&amp;G-4yr'!AF56)*100</f>
        <v>13.051746100523909</v>
      </c>
      <c r="G62" s="129">
        <f>('Other Contract Grnts-4Yr'!AF56)/('Total E&amp;G-4yr'!AF56)*100</f>
        <v>6.7737674046940226</v>
      </c>
      <c r="H62" s="146">
        <f>('All Other E&amp;G-4Yr'!AF56+'Investment Income-4Yr'!AF56)/('Total E&amp;G-4yr'!AF56)*100</f>
        <v>18.521282237880467</v>
      </c>
      <c r="I62" s="146">
        <f t="shared" si="30"/>
        <v>-5.2199856379534282</v>
      </c>
      <c r="J62" s="146">
        <f t="shared" si="31"/>
        <v>-11.422458559019269</v>
      </c>
      <c r="K62" s="129">
        <f t="shared" si="1"/>
        <v>0</v>
      </c>
      <c r="L62" s="146">
        <f t="shared" si="32"/>
        <v>1.8952801002434452</v>
      </c>
      <c r="M62" s="129">
        <f t="shared" si="33"/>
        <v>0.20467478588932053</v>
      </c>
      <c r="N62" s="146">
        <f t="shared" si="34"/>
        <v>14.542489310839946</v>
      </c>
      <c r="O62" s="12"/>
      <c r="P62" s="39">
        <f>('Tuition-4Yr'!AA56/'Total E&amp;G-4yr'!AA56)*100</f>
        <v>42.705878845645159</v>
      </c>
      <c r="Q62" s="40">
        <f>('State Appropriations-4Yr'!AA56/'Total E&amp;G-4yr'!AA56)*100</f>
        <v>35.589769608229147</v>
      </c>
      <c r="R62" s="41">
        <f>IF((('Local Appropriations-4Yr'!AA56/'Total E&amp;G-4yr'!AA56)*100)=0,(('Local Appropriations-4Yr'!AA56/'Total E&amp;G-4yr'!AA56)*100),IF((('Local Appropriations-4Yr'!AA56/'Total E&amp;G-4yr'!AA56)*100)&gt;=0.05,(('Local Appropriations-4Yr'!AA56/'Total E&amp;G-4yr'!AA56)*100),"*"))</f>
        <v>0</v>
      </c>
      <c r="S62" s="42">
        <f>('Fed Contracts Grnts-4Yr'!AA56/'Total E&amp;G-4yr'!AA56)*100</f>
        <v>11.156466000280464</v>
      </c>
      <c r="T62" s="41">
        <f>('Other Contract Grnts-4Yr'!AA56/'Total E&amp;G-4yr'!AA56)*100</f>
        <v>6.5690926188047021</v>
      </c>
      <c r="U62" s="42">
        <f>(('All Other E&amp;G-4Yr'!AA56+'Investment Income-4Yr'!AA56)/('Total E&amp;G-4yr'!AA56))*100</f>
        <v>3.9787929270405207</v>
      </c>
      <c r="W62" s="182">
        <f t="shared" si="35"/>
        <v>99.999999999999986</v>
      </c>
      <c r="X62" s="183">
        <f t="shared" si="36"/>
        <v>100.00000000000001</v>
      </c>
      <c r="Y62" s="188">
        <f t="shared" si="2"/>
        <v>35.589769608229147</v>
      </c>
      <c r="Z62" s="189">
        <f t="shared" si="3"/>
        <v>24.167311049209879</v>
      </c>
      <c r="AA62" s="188">
        <f t="shared" si="4"/>
        <v>17.725558619085167</v>
      </c>
      <c r="AB62" s="189">
        <f t="shared" si="5"/>
        <v>19.825513505217931</v>
      </c>
      <c r="AC62" s="43">
        <f t="shared" si="6"/>
        <v>100</v>
      </c>
      <c r="AD62" s="43">
        <f t="shared" si="7"/>
        <v>100.00000000000001</v>
      </c>
      <c r="AE62" s="43"/>
    </row>
    <row r="63" spans="1:31">
      <c r="A63" s="118" t="s">
        <v>127</v>
      </c>
      <c r="B63" s="118"/>
      <c r="C63" s="129">
        <f>('Tuition-4Yr'!AF57/'Total E&amp;G-4yr'!AF57)*100</f>
        <v>61.165750073561242</v>
      </c>
      <c r="D63" s="146">
        <f>('State Appropriations-4Yr'!AF57)/('Total E&amp;G-4yr'!AF57)*100</f>
        <v>9.2845103990048621</v>
      </c>
      <c r="E63" s="129">
        <f>IF((('Local Appropriations-4Yr'!AF57/'Total E&amp;G-4yr'!AF57)*100)=0,(('Local Appropriations-4Yr'!AF57/'Total E&amp;G-4yr'!AF57)*100),IF((('Local Appropriations-4Yr'!AF57/'Total E&amp;G-4yr'!AF57)*100)&gt;=0.05,('Local Appropriations-4Yr'!AF57/'Total E&amp;G-4yr'!AF57)*100,"*"))</f>
        <v>0</v>
      </c>
      <c r="F63" s="146">
        <f>('Fed Contracts Grnts-4Yr'!AF57)/('Total E&amp;G-4yr'!AF57)*100</f>
        <v>13.613898589127821</v>
      </c>
      <c r="G63" s="129">
        <f>('Other Contract Grnts-4Yr'!AF57)/('Total E&amp;G-4yr'!AF57)*100</f>
        <v>7.8552824709688345</v>
      </c>
      <c r="H63" s="146">
        <f>('All Other E&amp;G-4Yr'!AF57+'Investment Income-4Yr'!AF57)/('Total E&amp;G-4yr'!AF57)*100</f>
        <v>8.0805584673372444</v>
      </c>
      <c r="I63" s="146">
        <f t="shared" si="30"/>
        <v>-1.1306989996511447</v>
      </c>
      <c r="J63" s="146">
        <f t="shared" si="31"/>
        <v>-8.5373339876837591</v>
      </c>
      <c r="K63" s="129">
        <f t="shared" si="1"/>
        <v>0</v>
      </c>
      <c r="L63" s="146">
        <f t="shared" si="32"/>
        <v>-2.2844157642319391</v>
      </c>
      <c r="M63" s="129">
        <f t="shared" si="33"/>
        <v>-1.6560122611492609</v>
      </c>
      <c r="N63" s="146">
        <f t="shared" si="34"/>
        <v>13.608461012716113</v>
      </c>
      <c r="O63" s="12"/>
      <c r="P63" s="39">
        <f>('Tuition-4Yr'!AA57/'Total E&amp;G-4yr'!AA57)*100</f>
        <v>62.296449073212386</v>
      </c>
      <c r="Q63" s="40">
        <f>('State Appropriations-4Yr'!AA57/'Total E&amp;G-4yr'!AA57)*100</f>
        <v>17.821844386688621</v>
      </c>
      <c r="R63" s="41">
        <f>IF((('Local Appropriations-4Yr'!AA57/'Total E&amp;G-4yr'!AA57)*100)=0,(('Local Appropriations-4Yr'!AA57/'Total E&amp;G-4yr'!AA57)*100),IF((('Local Appropriations-4Yr'!AA57/'Total E&amp;G-4yr'!AA57)*100)&gt;=0.05,(('Local Appropriations-4Yr'!AA57/'Total E&amp;G-4yr'!AA57)*100),"*"))</f>
        <v>0</v>
      </c>
      <c r="S63" s="42">
        <f>('Fed Contracts Grnts-4Yr'!AA57/'Total E&amp;G-4yr'!AA57)*100</f>
        <v>15.89831435335976</v>
      </c>
      <c r="T63" s="41">
        <f>('Other Contract Grnts-4Yr'!AA57/'Total E&amp;G-4yr'!AA57)*100</f>
        <v>9.5112947321180954</v>
      </c>
      <c r="U63" s="42">
        <f>(('All Other E&amp;G-4Yr'!AA57+'Investment Income-4Yr'!AA57)/('Total E&amp;G-4yr'!AA57))*100</f>
        <v>-5.5279025453788684</v>
      </c>
      <c r="W63" s="182">
        <f t="shared" si="35"/>
        <v>100.00000000000001</v>
      </c>
      <c r="X63" s="183">
        <f t="shared" si="36"/>
        <v>99.999999999999986</v>
      </c>
      <c r="Y63" s="188">
        <f t="shared" si="2"/>
        <v>17.821844386688621</v>
      </c>
      <c r="Z63" s="189">
        <f t="shared" si="3"/>
        <v>9.2845103990048621</v>
      </c>
      <c r="AA63" s="188">
        <f t="shared" si="4"/>
        <v>25.409609085477854</v>
      </c>
      <c r="AB63" s="189">
        <f t="shared" si="5"/>
        <v>21.469181060096656</v>
      </c>
      <c r="AC63" s="43">
        <f t="shared" si="6"/>
        <v>100</v>
      </c>
      <c r="AD63" s="43">
        <f t="shared" si="7"/>
        <v>100</v>
      </c>
      <c r="AE63" s="43"/>
    </row>
    <row r="64" spans="1:31">
      <c r="A64" s="119" t="s">
        <v>128</v>
      </c>
      <c r="B64" s="119"/>
      <c r="C64" s="128">
        <f>('Tuition-4Yr'!AF58/'Total E&amp;G-4yr'!AF58)*100</f>
        <v>42.009252164515523</v>
      </c>
      <c r="D64" s="145">
        <f>('State Appropriations-4Yr'!AF58)/('Total E&amp;G-4yr'!AF58)*100</f>
        <v>27.141864743750361</v>
      </c>
      <c r="E64" s="128">
        <f>IF((('Local Appropriations-4Yr'!AF58/'Total E&amp;G-4yr'!AF58)*100)=0,(('Local Appropriations-4Yr'!AF58/'Total E&amp;G-4yr'!AF58)*100),IF((('Local Appropriations-4Yr'!AF58/'Total E&amp;G-4yr'!AF58)*100)&gt;=0.05,('Local Appropriations-4Yr'!AF58/'Total E&amp;G-4yr'!AF58)*100,"*"))</f>
        <v>0</v>
      </c>
      <c r="F64" s="145">
        <f>('Fed Contracts Grnts-4Yr'!AF58)/('Total E&amp;G-4yr'!AF58)*100</f>
        <v>11.619521842521015</v>
      </c>
      <c r="G64" s="128">
        <f>('Other Contract Grnts-4Yr'!AF58)/('Total E&amp;G-4yr'!AF58)*100</f>
        <v>11.240339419940925</v>
      </c>
      <c r="H64" s="145">
        <f>('All Other E&amp;G-4Yr'!AF58+'Investment Income-4Yr'!AF58)/('Total E&amp;G-4yr'!AF58)*100</f>
        <v>7.9890218292721915</v>
      </c>
      <c r="I64" s="147">
        <f t="shared" si="30"/>
        <v>-2.2373958389786139</v>
      </c>
      <c r="J64" s="147">
        <f t="shared" si="31"/>
        <v>-1.1436263402311013</v>
      </c>
      <c r="K64" s="130">
        <f t="shared" si="1"/>
        <v>0</v>
      </c>
      <c r="L64" s="147">
        <f t="shared" si="32"/>
        <v>0.56539308243388042</v>
      </c>
      <c r="M64" s="130">
        <f t="shared" si="33"/>
        <v>5.7183403143779898E-2</v>
      </c>
      <c r="N64" s="147">
        <f t="shared" si="34"/>
        <v>2.75844569363207</v>
      </c>
      <c r="O64" s="12"/>
      <c r="P64" s="39">
        <f>('Tuition-4Yr'!AA58/'Total E&amp;G-4yr'!AA58)*100</f>
        <v>44.246648003494137</v>
      </c>
      <c r="Q64" s="40">
        <f>('State Appropriations-4Yr'!AA58/'Total E&amp;G-4yr'!AA58)*100</f>
        <v>28.285491083981462</v>
      </c>
      <c r="R64" s="41">
        <f>IF((('Local Appropriations-4Yr'!AA58/'Total E&amp;G-4yr'!AA58)*100)=0,(('Local Appropriations-4Yr'!AA58/'Total E&amp;G-4yr'!AA58)*100),IF((('Local Appropriations-4Yr'!AA58/'Total E&amp;G-4yr'!AA58)*100)&gt;=0.05,(('Local Appropriations-4Yr'!AA58/'Total E&amp;G-4yr'!AA58)*100),"*"))</f>
        <v>0</v>
      </c>
      <c r="S64" s="42">
        <f>('Fed Contracts Grnts-4Yr'!AA58/'Total E&amp;G-4yr'!AA58)*100</f>
        <v>11.054128760087135</v>
      </c>
      <c r="T64" s="41">
        <f>('Other Contract Grnts-4Yr'!AA58/'Total E&amp;G-4yr'!AA58)*100</f>
        <v>11.183156016797145</v>
      </c>
      <c r="U64" s="42">
        <f>(('All Other E&amp;G-4Yr'!AA58+'Investment Income-4Yr'!AA58)/('Total E&amp;G-4yr'!AA58))*100</f>
        <v>5.2305761356401215</v>
      </c>
      <c r="W64" s="182">
        <f t="shared" si="35"/>
        <v>100</v>
      </c>
      <c r="X64" s="183">
        <f t="shared" si="36"/>
        <v>100.00000000000001</v>
      </c>
      <c r="Y64" s="188">
        <f t="shared" si="2"/>
        <v>28.285491083981462</v>
      </c>
      <c r="Z64" s="189">
        <f t="shared" si="3"/>
        <v>27.141864743750361</v>
      </c>
      <c r="AA64" s="188">
        <f t="shared" si="4"/>
        <v>22.23728477688428</v>
      </c>
      <c r="AB64" s="189">
        <f t="shared" si="5"/>
        <v>22.859861262461941</v>
      </c>
      <c r="AC64" s="43">
        <f t="shared" si="6"/>
        <v>100</v>
      </c>
      <c r="AD64" s="43">
        <f t="shared" si="7"/>
        <v>100.00000000000001</v>
      </c>
      <c r="AE64" s="43"/>
    </row>
    <row r="65" spans="1:31">
      <c r="A65" s="119" t="s">
        <v>130</v>
      </c>
      <c r="B65" s="119"/>
      <c r="C65" s="128">
        <f>('Tuition-4Yr'!AF59/'Total E&amp;G-4yr'!AF59)*100</f>
        <v>31.996720677284362</v>
      </c>
      <c r="D65" s="145">
        <f>('State Appropriations-4Yr'!AF59)/('Total E&amp;G-4yr'!AF59)*100</f>
        <v>36.95772243767172</v>
      </c>
      <c r="E65" s="128">
        <f>IF((('Local Appropriations-4Yr'!AF59/'Total E&amp;G-4yr'!AF59)*100)=0,(('Local Appropriations-4Yr'!AF59/'Total E&amp;G-4yr'!AF59)*100),IF((('Local Appropriations-4Yr'!AF59/'Total E&amp;G-4yr'!AF59)*100)&gt;=0.05,('Local Appropriations-4Yr'!AF59/'Total E&amp;G-4yr'!AF59)*100,"*"))</f>
        <v>1.0649283054330234</v>
      </c>
      <c r="F65" s="145">
        <f>('Fed Contracts Grnts-4Yr'!AF59)/('Total E&amp;G-4yr'!AF59)*100</f>
        <v>13.618593830913692</v>
      </c>
      <c r="G65" s="128">
        <f>('Other Contract Grnts-4Yr'!AF59)/('Total E&amp;G-4yr'!AF59)*100</f>
        <v>12.532685443879233</v>
      </c>
      <c r="H65" s="145">
        <f>('All Other E&amp;G-4Yr'!AF59+'Investment Income-4Yr'!AF59)/('Total E&amp;G-4yr'!AF59)*100</f>
        <v>3.8293493048179457</v>
      </c>
      <c r="I65" s="147">
        <f t="shared" si="30"/>
        <v>3.8593030309601914</v>
      </c>
      <c r="J65" s="147">
        <f t="shared" si="31"/>
        <v>-5.0511289752312081</v>
      </c>
      <c r="K65" s="130">
        <f t="shared" si="1"/>
        <v>-0.15245211143712112</v>
      </c>
      <c r="L65" s="147">
        <f t="shared" si="32"/>
        <v>-0.14281937280400392</v>
      </c>
      <c r="M65" s="130">
        <f t="shared" si="33"/>
        <v>7.8567464869401249E-2</v>
      </c>
      <c r="N65" s="147">
        <f t="shared" si="34"/>
        <v>1.4085299636427031</v>
      </c>
      <c r="O65" s="12"/>
      <c r="P65" s="39">
        <f>('Tuition-4Yr'!AA59/'Total E&amp;G-4yr'!AA59)*100</f>
        <v>28.13741764632417</v>
      </c>
      <c r="Q65" s="40">
        <f>('State Appropriations-4Yr'!AA59/'Total E&amp;G-4yr'!AA59)*100</f>
        <v>42.008851412902928</v>
      </c>
      <c r="R65" s="41">
        <f>IF((('Local Appropriations-4Yr'!AA59/'Total E&amp;G-4yr'!AA59)*100)=0,(('Local Appropriations-4Yr'!AA59/'Total E&amp;G-4yr'!AA59)*100),IF((('Local Appropriations-4Yr'!AA59/'Total E&amp;G-4yr'!AA59)*100)&gt;=0.05,(('Local Appropriations-4Yr'!AA59/'Total E&amp;G-4yr'!AA59)*100),"*"))</f>
        <v>1.2173804168701445</v>
      </c>
      <c r="S65" s="42">
        <f>('Fed Contracts Grnts-4Yr'!AA59/'Total E&amp;G-4yr'!AA59)*100</f>
        <v>13.761413203717696</v>
      </c>
      <c r="T65" s="41">
        <f>('Other Contract Grnts-4Yr'!AA59/'Total E&amp;G-4yr'!AA59)*100</f>
        <v>12.454117979009832</v>
      </c>
      <c r="U65" s="42">
        <f>(('All Other E&amp;G-4Yr'!AA59+'Investment Income-4Yr'!AA59)/('Total E&amp;G-4yr'!AA59))*100</f>
        <v>2.4208193411752426</v>
      </c>
      <c r="W65" s="182">
        <f t="shared" si="35"/>
        <v>100.00000000000001</v>
      </c>
      <c r="X65" s="183">
        <f t="shared" si="36"/>
        <v>99.999999999999972</v>
      </c>
      <c r="Y65" s="188">
        <f t="shared" si="2"/>
        <v>43.22623182977307</v>
      </c>
      <c r="Z65" s="189">
        <f t="shared" si="3"/>
        <v>38.022650743104741</v>
      </c>
      <c r="AA65" s="188">
        <f t="shared" si="4"/>
        <v>26.215531182727528</v>
      </c>
      <c r="AB65" s="189">
        <f t="shared" si="5"/>
        <v>26.151279274792927</v>
      </c>
      <c r="AC65" s="43">
        <f t="shared" si="6"/>
        <v>100.00000000000001</v>
      </c>
      <c r="AD65" s="43">
        <f t="shared" si="7"/>
        <v>99.999999999999986</v>
      </c>
      <c r="AE65" s="43"/>
    </row>
    <row r="66" spans="1:31">
      <c r="A66" s="119" t="s">
        <v>134</v>
      </c>
      <c r="B66" s="119"/>
      <c r="C66" s="128">
        <f>('Tuition-4Yr'!AF60/'Total E&amp;G-4yr'!AF60)*100</f>
        <v>57.188122415284106</v>
      </c>
      <c r="D66" s="145">
        <f>('State Appropriations-4Yr'!AF60)/('Total E&amp;G-4yr'!AF60)*100</f>
        <v>22.668795033955334</v>
      </c>
      <c r="E66" s="128">
        <f>IF((('Local Appropriations-4Yr'!AF60/'Total E&amp;G-4yr'!AF60)*100)=0,(('Local Appropriations-4Yr'!AF60/'Total E&amp;G-4yr'!AF60)*100),IF((('Local Appropriations-4Yr'!AF60/'Total E&amp;G-4yr'!AF60)*100)&gt;=0.05,('Local Appropriations-4Yr'!AF60/'Total E&amp;G-4yr'!AF60)*100,"*"))</f>
        <v>0</v>
      </c>
      <c r="F66" s="145">
        <f>('Fed Contracts Grnts-4Yr'!AF60)/('Total E&amp;G-4yr'!AF60)*100</f>
        <v>9.8793398466070688</v>
      </c>
      <c r="G66" s="128">
        <f>('Other Contract Grnts-4Yr'!AF60)/('Total E&amp;G-4yr'!AF60)*100</f>
        <v>8.0227022828376828</v>
      </c>
      <c r="H66" s="145">
        <f>('All Other E&amp;G-4Yr'!AF60+'Investment Income-4Yr'!AF60)/('Total E&amp;G-4yr'!AF60)*100</f>
        <v>2.2410404213157982</v>
      </c>
      <c r="I66" s="147">
        <f t="shared" si="30"/>
        <v>7.7385295547901691</v>
      </c>
      <c r="J66" s="147">
        <f t="shared" si="31"/>
        <v>-7.463552453888326</v>
      </c>
      <c r="K66" s="130">
        <f t="shared" si="1"/>
        <v>0</v>
      </c>
      <c r="L66" s="147">
        <f t="shared" si="32"/>
        <v>1.7841497746216568</v>
      </c>
      <c r="M66" s="130">
        <f t="shared" si="33"/>
        <v>-6.1302504604030972E-2</v>
      </c>
      <c r="N66" s="147">
        <f t="shared" si="34"/>
        <v>-1.9978243709194921</v>
      </c>
      <c r="O66" s="12"/>
      <c r="P66" s="39">
        <f>('Tuition-4Yr'!AA60/'Total E&amp;G-4yr'!AA60)*100</f>
        <v>49.449592860493937</v>
      </c>
      <c r="Q66" s="40">
        <f>('State Appropriations-4Yr'!AA60/'Total E&amp;G-4yr'!AA60)*100</f>
        <v>30.13234748784366</v>
      </c>
      <c r="R66" s="41">
        <f>IF((('Local Appropriations-4Yr'!AA60/'Total E&amp;G-4yr'!AA60)*100)=0,(('Local Appropriations-4Yr'!AA60/'Total E&amp;G-4yr'!AA60)*100),IF((('Local Appropriations-4Yr'!AA60/'Total E&amp;G-4yr'!AA60)*100)&gt;=0.05,(('Local Appropriations-4Yr'!AA60/'Total E&amp;G-4yr'!AA60)*100),"*"))</f>
        <v>0</v>
      </c>
      <c r="S66" s="42">
        <f>('Fed Contracts Grnts-4Yr'!AA60/'Total E&amp;G-4yr'!AA60)*100</f>
        <v>8.095190071985412</v>
      </c>
      <c r="T66" s="41">
        <f>('Other Contract Grnts-4Yr'!AA60/'Total E&amp;G-4yr'!AA60)*100</f>
        <v>8.0840047874417138</v>
      </c>
      <c r="U66" s="42">
        <f>(('All Other E&amp;G-4Yr'!AA60+'Investment Income-4Yr'!AA60)/('Total E&amp;G-4yr'!AA60))*100</f>
        <v>4.2388647922352902</v>
      </c>
      <c r="W66" s="182">
        <f t="shared" si="35"/>
        <v>100.00000000000001</v>
      </c>
      <c r="X66" s="183">
        <f t="shared" si="36"/>
        <v>99.999999999999986</v>
      </c>
      <c r="Y66" s="188">
        <f t="shared" si="2"/>
        <v>30.13234748784366</v>
      </c>
      <c r="Z66" s="189">
        <f t="shared" si="3"/>
        <v>22.668795033955334</v>
      </c>
      <c r="AA66" s="188">
        <f t="shared" si="4"/>
        <v>16.179194859427128</v>
      </c>
      <c r="AB66" s="189">
        <f t="shared" si="5"/>
        <v>17.902042129444752</v>
      </c>
      <c r="AC66" s="43">
        <f t="shared" si="6"/>
        <v>100.00000000000001</v>
      </c>
      <c r="AD66" s="43">
        <f t="shared" si="7"/>
        <v>100</v>
      </c>
      <c r="AE66" s="43"/>
    </row>
    <row r="67" spans="1:31">
      <c r="A67" s="119" t="s">
        <v>135</v>
      </c>
      <c r="B67" s="119"/>
      <c r="C67" s="128">
        <f>('Tuition-4Yr'!AF61/'Total E&amp;G-4yr'!AF61)*100</f>
        <v>58.143610065854091</v>
      </c>
      <c r="D67" s="145">
        <f>('State Appropriations-4Yr'!AF61)/('Total E&amp;G-4yr'!AF61)*100</f>
        <v>18.191700410483278</v>
      </c>
      <c r="E67" s="128">
        <f>IF((('Local Appropriations-4Yr'!AF61/'Total E&amp;G-4yr'!AF61)*100)=0,(('Local Appropriations-4Yr'!AF61/'Total E&amp;G-4yr'!AF61)*100),IF((('Local Appropriations-4Yr'!AF61/'Total E&amp;G-4yr'!AF61)*100)&gt;=0.05,('Local Appropriations-4Yr'!AF61/'Total E&amp;G-4yr'!AF61)*100,"*"))</f>
        <v>0</v>
      </c>
      <c r="F67" s="145">
        <f>('Fed Contracts Grnts-4Yr'!AF61)/('Total E&amp;G-4yr'!AF61)*100</f>
        <v>17.625939675079664</v>
      </c>
      <c r="G67" s="128">
        <f>('Other Contract Grnts-4Yr'!AF61)/('Total E&amp;G-4yr'!AF61)*100</f>
        <v>5.8389806656911736</v>
      </c>
      <c r="H67" s="145">
        <f>('All Other E&amp;G-4Yr'!AF61+'Investment Income-4Yr'!AF61)/('Total E&amp;G-4yr'!AF61)*100</f>
        <v>0.19976918289178405</v>
      </c>
      <c r="I67" s="147">
        <f t="shared" si="30"/>
        <v>3.4892108286924781</v>
      </c>
      <c r="J67" s="147">
        <f t="shared" si="31"/>
        <v>-3.5697913782854265</v>
      </c>
      <c r="K67" s="130">
        <f t="shared" si="1"/>
        <v>0</v>
      </c>
      <c r="L67" s="147">
        <f t="shared" si="32"/>
        <v>0.95964771356847578</v>
      </c>
      <c r="M67" s="130">
        <f t="shared" si="33"/>
        <v>-0.70882841857460299</v>
      </c>
      <c r="N67" s="147">
        <f t="shared" si="34"/>
        <v>-0.1702387454009244</v>
      </c>
      <c r="O67" s="12"/>
      <c r="P67" s="39">
        <f>('Tuition-4Yr'!AA61/'Total E&amp;G-4yr'!AA61)*100</f>
        <v>54.654399237161613</v>
      </c>
      <c r="Q67" s="40">
        <f>('State Appropriations-4Yr'!AA61/'Total E&amp;G-4yr'!AA61)*100</f>
        <v>21.761491788768705</v>
      </c>
      <c r="R67" s="41">
        <f>IF((('Local Appropriations-4Yr'!AA61/'Total E&amp;G-4yr'!AA61)*100)=0,(('Local Appropriations-4Yr'!AA61/'Total E&amp;G-4yr'!AA61)*100),IF((('Local Appropriations-4Yr'!AA61/'Total E&amp;G-4yr'!AA61)*100)&gt;=0.05,(('Local Appropriations-4Yr'!AA61/'Total E&amp;G-4yr'!AA61)*100),"*"))</f>
        <v>0</v>
      </c>
      <c r="S67" s="42">
        <f>('Fed Contracts Grnts-4Yr'!AA61/'Total E&amp;G-4yr'!AA61)*100</f>
        <v>16.666291961511188</v>
      </c>
      <c r="T67" s="41">
        <f>('Other Contract Grnts-4Yr'!AA61/'Total E&amp;G-4yr'!AA61)*100</f>
        <v>6.5478090842657766</v>
      </c>
      <c r="U67" s="42">
        <f>(('All Other E&amp;G-4Yr'!AA61+'Investment Income-4Yr'!AA61)/('Total E&amp;G-4yr'!AA61))*100</f>
        <v>0.37000792829270845</v>
      </c>
      <c r="W67" s="182">
        <f t="shared" si="35"/>
        <v>100</v>
      </c>
      <c r="X67" s="183">
        <f t="shared" si="36"/>
        <v>99.999999999999986</v>
      </c>
      <c r="Y67" s="188">
        <f t="shared" si="2"/>
        <v>21.761491788768705</v>
      </c>
      <c r="Z67" s="189">
        <f t="shared" si="3"/>
        <v>18.191700410483278</v>
      </c>
      <c r="AA67" s="188">
        <f t="shared" si="4"/>
        <v>23.214101045776964</v>
      </c>
      <c r="AB67" s="189">
        <f t="shared" si="5"/>
        <v>23.464920340770838</v>
      </c>
      <c r="AC67" s="43">
        <f t="shared" si="6"/>
        <v>99.999999999999986</v>
      </c>
      <c r="AD67" s="43">
        <f t="shared" si="7"/>
        <v>100</v>
      </c>
      <c r="AE67" s="43"/>
    </row>
    <row r="68" spans="1:31">
      <c r="A68" s="116" t="s">
        <v>138</v>
      </c>
      <c r="B68" s="116"/>
      <c r="C68" s="197">
        <f>('Tuition-4Yr'!AF62/'Total E&amp;G-4yr'!AF62)*100</f>
        <v>53.781293129917614</v>
      </c>
      <c r="D68" s="144">
        <f>('State Appropriations-4Yr'!AF62)/('Total E&amp;G-4yr'!AF62)*100</f>
        <v>7.5351048981424196</v>
      </c>
      <c r="E68" s="197">
        <f>IF((('Local Appropriations-4Yr'!AF62/'Total E&amp;G-4yr'!AF62)*100)=0,(('Local Appropriations-4Yr'!AF62/'Total E&amp;G-4yr'!AF62)*100),IF((('Local Appropriations-4Yr'!AF62/'Total E&amp;G-4yr'!AF62)*100)&gt;=0.05,('Local Appropriations-4Yr'!AF62/'Total E&amp;G-4yr'!AF62)*100,"*"))</f>
        <v>0</v>
      </c>
      <c r="F68" s="144">
        <f>('Fed Contracts Grnts-4Yr'!AF62)/('Total E&amp;G-4yr'!AF62)*100</f>
        <v>17.834909220089312</v>
      </c>
      <c r="G68" s="197">
        <f>('Other Contract Grnts-4Yr'!AF62)/('Total E&amp;G-4yr'!AF62)*100</f>
        <v>10.242841707389115</v>
      </c>
      <c r="H68" s="199">
        <f>('All Other E&amp;G-4Yr'!AF62+'Investment Income-4Yr'!AF62)/('Total E&amp;G-4yr'!AF62)*100</f>
        <v>10.605851044461541</v>
      </c>
      <c r="I68" s="144">
        <f t="shared" si="30"/>
        <v>-10.144376927299888</v>
      </c>
      <c r="J68" s="144">
        <f t="shared" si="31"/>
        <v>-3.502345400881719</v>
      </c>
      <c r="K68" s="135">
        <f t="shared" si="1"/>
        <v>0</v>
      </c>
      <c r="L68" s="144">
        <f t="shared" si="32"/>
        <v>-7.1231966174666255</v>
      </c>
      <c r="M68" s="135" t="str">
        <f t="shared" si="33"/>
        <v>*</v>
      </c>
      <c r="N68" s="144">
        <f t="shared" si="34"/>
        <v>20.769831728297095</v>
      </c>
      <c r="O68" s="12"/>
      <c r="P68" s="39">
        <f>('Tuition-4Yr'!AA62/'Total E&amp;G-4yr'!AA62)*100</f>
        <v>63.925670057217502</v>
      </c>
      <c r="Q68" s="40">
        <f>('State Appropriations-4Yr'!AA62/'Total E&amp;G-4yr'!AA62)*100</f>
        <v>11.037450299024139</v>
      </c>
      <c r="R68" s="41">
        <f>IF((('Local Appropriations-4Yr'!AA62/'Total E&amp;G-4yr'!AA62)*100)=0,(('Local Appropriations-4Yr'!AA62/'Total E&amp;G-4yr'!AA62)*100),IF((('Local Appropriations-4Yr'!AA62/'Total E&amp;G-4yr'!AA62)*100)&gt;=0.05,(('Local Appropriations-4Yr'!AA62/'Total E&amp;G-4yr'!AA62)*100),"*"))</f>
        <v>0</v>
      </c>
      <c r="S68" s="42">
        <f>('Fed Contracts Grnts-4Yr'!AA62/'Total E&amp;G-4yr'!AA62)*100</f>
        <v>24.958105837555937</v>
      </c>
      <c r="T68" s="41">
        <f>('Other Contract Grnts-4Yr'!AA62/'Total E&amp;G-4yr'!AA62)*100</f>
        <v>10.242754490037985</v>
      </c>
      <c r="U68" s="42">
        <f>(('All Other E&amp;G-4Yr'!AA62+'Investment Income-4Yr'!AA62)/('Total E&amp;G-4yr'!AA62))*100</f>
        <v>-10.163980683835554</v>
      </c>
      <c r="W68" s="182">
        <f t="shared" si="35"/>
        <v>100</v>
      </c>
      <c r="X68" s="183">
        <f t="shared" si="36"/>
        <v>100.00000000000001</v>
      </c>
      <c r="Y68" s="188">
        <f t="shared" si="2"/>
        <v>11.037450299024139</v>
      </c>
      <c r="Z68" s="189">
        <f t="shared" si="3"/>
        <v>7.5351048981424196</v>
      </c>
      <c r="AA68" s="188">
        <f t="shared" si="4"/>
        <v>35.200860327593922</v>
      </c>
      <c r="AB68" s="189">
        <f t="shared" si="5"/>
        <v>28.077750927478426</v>
      </c>
      <c r="AC68" s="43">
        <f t="shared" si="6"/>
        <v>100</v>
      </c>
      <c r="AD68" s="43">
        <f t="shared" si="7"/>
        <v>100</v>
      </c>
      <c r="AE68" s="43"/>
    </row>
    <row r="69" spans="1:31">
      <c r="A69" s="124" t="s">
        <v>114</v>
      </c>
      <c r="B69" s="116"/>
      <c r="C69" s="135">
        <f>('Tuition-4Yr'!AF63/'Total E&amp;G-4yr'!AF63)*100</f>
        <v>23.316586672052551</v>
      </c>
      <c r="D69" s="144">
        <f>('State Appropriations-4Yr'!AF63)/('Total E&amp;G-4yr'!AF63)*100</f>
        <v>48.395905801035362</v>
      </c>
      <c r="E69" s="197">
        <f>IF((('Local Appropriations-4Yr'!AF63/'Total E&amp;G-4yr'!AF63)*100)=0,(('Local Appropriations-4Yr'!AF63/'Total E&amp;G-4yr'!AF63)*100),IF((('Local Appropriations-4Yr'!AF63/'Total E&amp;G-4yr'!AF63)*100)&gt;=0.05,('Local Appropriations-4Yr'!AF63/'Total E&amp;G-4yr'!AF63)*100,"*"))</f>
        <v>0</v>
      </c>
      <c r="F69" s="144">
        <f>('Fed Contracts Grnts-4Yr'!AF63)/('Total E&amp;G-4yr'!AF63)*100</f>
        <v>16.477498899618393</v>
      </c>
      <c r="G69" s="197">
        <f>('Other Contract Grnts-4Yr'!AF63)/('Total E&amp;G-4yr'!AF63)*100</f>
        <v>6.2534809859413416</v>
      </c>
      <c r="H69" s="199">
        <f>('All Other E&amp;G-4Yr'!AF63+'Investment Income-4Yr'!AF63)/('Total E&amp;G-4yr'!AF63)*100</f>
        <v>5.5565276413523579</v>
      </c>
      <c r="I69" s="144">
        <f t="shared" si="30"/>
        <v>6.9993035896595259</v>
      </c>
      <c r="J69" s="144">
        <f t="shared" si="31"/>
        <v>48.395905801035362</v>
      </c>
      <c r="K69" s="135">
        <f t="shared" si="1"/>
        <v>-51.178233503992587</v>
      </c>
      <c r="L69" s="144">
        <f t="shared" si="32"/>
        <v>-3.5079014105957462</v>
      </c>
      <c r="M69" s="135">
        <f t="shared" si="33"/>
        <v>-3.524296560969586</v>
      </c>
      <c r="N69" s="144">
        <f t="shared" si="34"/>
        <v>2.8152220848630281</v>
      </c>
      <c r="O69" s="12"/>
      <c r="P69" s="39">
        <f>('Tuition-4Yr'!AA63/'Total E&amp;G-4yr'!AA63)*100</f>
        <v>16.317283082393025</v>
      </c>
      <c r="Q69" s="40">
        <f>('State Appropriations-4Yr'!AA63/'Total E&amp;G-4yr'!AA63)*100</f>
        <v>0</v>
      </c>
      <c r="R69" s="41">
        <f>IF((('Local Appropriations-4Yr'!AA63/'Total E&amp;G-4yr'!AA63)*100)=0,(('Local Appropriations-4Yr'!AA63/'Total E&amp;G-4yr'!AA63)*100),IF((('Local Appropriations-4Yr'!AA63/'Total E&amp;G-4yr'!AA63)*100)&gt;=0.05,(('Local Appropriations-4Yr'!AA63/'Total E&amp;G-4yr'!AA63)*100),"*"))</f>
        <v>51.178233503992587</v>
      </c>
      <c r="S69" s="42">
        <f>('Fed Contracts Grnts-4Yr'!AA63/'Total E&amp;G-4yr'!AA63)*100</f>
        <v>19.985400310214139</v>
      </c>
      <c r="T69" s="41">
        <f>('Other Contract Grnts-4Yr'!AA63/'Total E&amp;G-4yr'!AA63)*100</f>
        <v>9.7777775469109276</v>
      </c>
      <c r="U69" s="42">
        <f>(('All Other E&amp;G-4Yr'!AA63+'Investment Income-4Yr'!AA63)/('Total E&amp;G-4yr'!AA63))*100</f>
        <v>2.7413055564893298</v>
      </c>
      <c r="W69" s="184">
        <f t="shared" si="35"/>
        <v>100</v>
      </c>
      <c r="X69" s="185">
        <f t="shared" si="36"/>
        <v>100</v>
      </c>
      <c r="Y69" s="190">
        <f t="shared" si="2"/>
        <v>51.178233503992587</v>
      </c>
      <c r="Z69" s="191">
        <f t="shared" si="3"/>
        <v>48.395905801035362</v>
      </c>
      <c r="AA69" s="190">
        <f t="shared" si="4"/>
        <v>29.763177857125065</v>
      </c>
      <c r="AB69" s="191">
        <f t="shared" si="5"/>
        <v>22.730979885559734</v>
      </c>
      <c r="AC69" s="43">
        <f t="shared" si="6"/>
        <v>100</v>
      </c>
      <c r="AD69" s="43">
        <f t="shared" si="7"/>
        <v>100.00000000000001</v>
      </c>
      <c r="AE69" s="43"/>
    </row>
    <row r="70" spans="1:31" ht="18" customHeight="1">
      <c r="A70" s="151" t="s">
        <v>104</v>
      </c>
      <c r="B70" s="57"/>
      <c r="C70" s="152"/>
      <c r="D70" s="153"/>
      <c r="E70" s="154"/>
      <c r="F70" s="153"/>
      <c r="G70" s="153"/>
      <c r="H70" s="153"/>
      <c r="K70" s="12"/>
      <c r="L70" s="12"/>
      <c r="M70" s="12"/>
      <c r="N70" s="12"/>
      <c r="O70" s="12"/>
      <c r="P70" s="20"/>
      <c r="Q70" s="12"/>
      <c r="R70" s="13"/>
      <c r="S70" s="13"/>
      <c r="T70" s="13"/>
    </row>
    <row r="71" spans="1:31" ht="125.25" customHeight="1">
      <c r="A71" s="226" t="s">
        <v>154</v>
      </c>
      <c r="B71" s="227"/>
      <c r="C71" s="227"/>
      <c r="D71" s="227"/>
      <c r="E71" s="227"/>
      <c r="F71" s="227"/>
      <c r="G71" s="227"/>
      <c r="H71" s="227"/>
      <c r="I71" s="173"/>
      <c r="J71" s="173"/>
      <c r="K71" s="173"/>
      <c r="L71" s="173"/>
      <c r="M71" s="173"/>
      <c r="N71" s="173"/>
      <c r="O71" s="12"/>
      <c r="P71" s="20"/>
      <c r="Q71" s="12"/>
      <c r="R71" s="13"/>
      <c r="S71" s="13"/>
      <c r="T71" s="13"/>
    </row>
    <row r="72" spans="1:31" ht="37.5" customHeight="1">
      <c r="A72" s="226" t="s">
        <v>158</v>
      </c>
      <c r="B72" s="227"/>
      <c r="C72" s="227"/>
      <c r="D72" s="227"/>
      <c r="E72" s="227"/>
      <c r="F72" s="227"/>
      <c r="G72" s="227"/>
      <c r="H72" s="227"/>
      <c r="O72" s="79"/>
    </row>
    <row r="73" spans="1:31" ht="51" customHeight="1">
      <c r="A73" s="226" t="s">
        <v>156</v>
      </c>
      <c r="B73" s="227"/>
      <c r="C73" s="227"/>
      <c r="D73" s="227"/>
      <c r="E73" s="227"/>
      <c r="F73" s="227"/>
      <c r="G73" s="227"/>
      <c r="H73" s="227"/>
      <c r="N73" s="166"/>
    </row>
    <row r="74" spans="1:31" ht="12.75" customHeight="1">
      <c r="A74" s="228" t="s">
        <v>157</v>
      </c>
      <c r="B74" s="229"/>
      <c r="C74" s="229"/>
      <c r="D74" s="229"/>
      <c r="E74" s="229"/>
      <c r="F74" s="229"/>
      <c r="G74" s="229"/>
      <c r="H74" s="229"/>
      <c r="I74" s="229"/>
      <c r="J74" s="229"/>
      <c r="K74" s="229"/>
      <c r="L74" s="229"/>
      <c r="M74" s="229"/>
      <c r="N74" s="229"/>
    </row>
    <row r="75" spans="1:31">
      <c r="N75" s="204" t="s">
        <v>160</v>
      </c>
    </row>
    <row r="77" spans="1:31">
      <c r="A77" s="54"/>
      <c r="B77" s="54"/>
    </row>
  </sheetData>
  <mergeCells count="4">
    <mergeCell ref="A73:H73"/>
    <mergeCell ref="A71:H71"/>
    <mergeCell ref="A72:H72"/>
    <mergeCell ref="A74:N74"/>
  </mergeCells>
  <phoneticPr fontId="9" type="noConversion"/>
  <pageMargins left="1" right="1" top="1" bottom="0.55000000000000004" header="0.5" footer="0.4"/>
  <pageSetup scale="58" orientation="portrait" verticalDpi="300" r:id="rId1"/>
  <headerFooter alignWithMargins="0">
    <oddFooter>&amp;L&amp;"Arial,Regular"SREB Fact Book &amp;R&amp;"Arial,Regular"&amp;D</oddFooter>
  </headerFooter>
  <colBreaks count="1" manualBreakCount="1">
    <brk id="16" max="34" man="1"/>
  </colBreaks>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9">
    <tabColor indexed="62"/>
  </sheetPr>
  <dimension ref="A1:HB92"/>
  <sheetViews>
    <sheetView showZeros="0" zoomScaleNormal="100" workbookViewId="0">
      <pane xSplit="1" ySplit="3" topLeftCell="AB4" activePane="bottomRight" state="frozen"/>
      <selection activeCell="M5" sqref="M5:M6"/>
      <selection pane="topRight" activeCell="M5" sqref="M5:M6"/>
      <selection pane="bottomLeft" activeCell="M5" sqref="M5:M6"/>
      <selection pane="bottomRight" activeCell="AH7" sqref="AH7"/>
    </sheetView>
  </sheetViews>
  <sheetFormatPr defaultColWidth="9.7109375" defaultRowHeight="12.75"/>
  <cols>
    <col min="1" max="1" width="19.5703125" style="13" bestFit="1" customWidth="1"/>
    <col min="2" max="2" width="10.7109375" style="13" customWidth="1"/>
    <col min="3" max="3" width="8.85546875" style="13" customWidth="1"/>
    <col min="4" max="4" width="7.85546875" style="13" customWidth="1"/>
    <col min="5" max="19" width="13.85546875" style="13" customWidth="1"/>
    <col min="20" max="20" width="13.85546875" style="65" customWidth="1"/>
    <col min="21" max="22" width="13.85546875" style="13" customWidth="1"/>
    <col min="23" max="29" width="13.85546875" style="53" customWidth="1"/>
    <col min="30" max="31" width="9.710937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62"/>
      <c r="C1" s="62"/>
      <c r="D1" s="62"/>
      <c r="E1" s="16"/>
      <c r="F1" s="16"/>
      <c r="G1" s="16"/>
      <c r="H1" s="16"/>
      <c r="I1" s="108"/>
      <c r="J1" s="108"/>
      <c r="K1" s="16"/>
      <c r="L1" s="16"/>
      <c r="M1" s="12"/>
      <c r="N1" s="12"/>
      <c r="O1" s="12"/>
      <c r="P1" s="12"/>
      <c r="Q1" s="12"/>
      <c r="R1" s="12"/>
      <c r="S1" s="12"/>
      <c r="T1" s="20"/>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95</v>
      </c>
      <c r="B2" s="12"/>
      <c r="C2" s="12"/>
      <c r="D2" s="12"/>
      <c r="E2" s="16"/>
      <c r="F2" s="16"/>
      <c r="G2" s="16"/>
      <c r="H2" s="16"/>
      <c r="I2" s="16"/>
      <c r="J2" s="16"/>
      <c r="K2" s="16"/>
      <c r="L2" s="16"/>
      <c r="M2" s="12"/>
      <c r="N2" s="12"/>
      <c r="O2" s="12"/>
      <c r="P2" s="12"/>
      <c r="Q2" s="12"/>
      <c r="R2" s="12"/>
      <c r="S2" s="12"/>
      <c r="T2" s="20"/>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5">
        <f>211931+90528</f>
        <v>302459</v>
      </c>
      <c r="C4" s="85">
        <f>232992+96997</f>
        <v>329989</v>
      </c>
      <c r="D4" s="85">
        <f>280429+104437</f>
        <v>384866</v>
      </c>
      <c r="E4" s="86"/>
      <c r="F4" s="86"/>
      <c r="G4" s="86"/>
      <c r="H4" s="86"/>
      <c r="I4" s="86">
        <v>415884.60600000003</v>
      </c>
      <c r="J4" s="100">
        <f>+J5+J23+J38+J52+J63</f>
        <v>486196.58700000006</v>
      </c>
      <c r="K4" s="86">
        <v>652054.33700000006</v>
      </c>
      <c r="L4" s="86">
        <v>621737.46699999995</v>
      </c>
      <c r="M4" s="100">
        <f>+M5+M23+M38+M52+M63</f>
        <v>559327.06200000003</v>
      </c>
      <c r="N4" s="110">
        <v>697490.99100000004</v>
      </c>
      <c r="O4" s="100">
        <f>+O5+O23+O38+O52+O63</f>
        <v>766693.32297999994</v>
      </c>
      <c r="P4" s="86"/>
      <c r="Q4" s="86"/>
      <c r="R4" s="100">
        <f t="shared" ref="R4:AA4" si="0">+R5+R23+R38+R52+R63</f>
        <v>1078957.203</v>
      </c>
      <c r="S4" s="100">
        <f t="shared" si="0"/>
        <v>1195918.3870000001</v>
      </c>
      <c r="T4" s="111">
        <f t="shared" si="0"/>
        <v>914564.77399999986</v>
      </c>
      <c r="U4" s="100">
        <f t="shared" si="0"/>
        <v>2791197.7929999996</v>
      </c>
      <c r="V4" s="100">
        <f t="shared" si="0"/>
        <v>4567206.1560000004</v>
      </c>
      <c r="W4" s="100">
        <f t="shared" si="0"/>
        <v>5094989.051</v>
      </c>
      <c r="X4" s="100">
        <f t="shared" si="0"/>
        <v>5849523.5909999991</v>
      </c>
      <c r="Y4" s="100">
        <f t="shared" si="0"/>
        <v>9746433.8840000015</v>
      </c>
      <c r="Z4" s="100">
        <f t="shared" si="0"/>
        <v>2469668.4760000003</v>
      </c>
      <c r="AA4" s="100">
        <f t="shared" si="0"/>
        <v>-6616273.068</v>
      </c>
      <c r="AB4" s="100">
        <f t="shared" ref="AB4:AC4" si="1">+AB5+AB23+AB38+AB52+AB63</f>
        <v>6324915.7210000008</v>
      </c>
      <c r="AC4" s="100">
        <f t="shared" si="1"/>
        <v>8918239</v>
      </c>
      <c r="AD4" s="100">
        <f t="shared" ref="AD4:AE4" si="2">+AD5+AD23+AD38+AD52+AD63</f>
        <v>2495802.469</v>
      </c>
      <c r="AE4" s="100">
        <f t="shared" si="2"/>
        <v>6274044.2750000013</v>
      </c>
      <c r="AF4" s="100">
        <f t="shared" ref="AF4:AG4" si="3">+AF5+AF23+AF38+AF52+AF63</f>
        <v>9928203.0569999982</v>
      </c>
      <c r="AG4" s="100">
        <f t="shared" si="3"/>
        <v>2978508.34</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9">
        <f>SUM(B7:B22)</f>
        <v>94685</v>
      </c>
      <c r="C5" s="109">
        <f>SUM(C7:C22)</f>
        <v>99134</v>
      </c>
      <c r="D5" s="109">
        <f>SUM(D7:D22)</f>
        <v>139610</v>
      </c>
      <c r="I5" s="109">
        <f t="shared" ref="I5:L5" si="4">SUM(I7:I22)</f>
        <v>154627.19700000001</v>
      </c>
      <c r="J5" s="109">
        <f t="shared" si="4"/>
        <v>245335.747</v>
      </c>
      <c r="K5" s="109">
        <f t="shared" si="4"/>
        <v>264685.52899999998</v>
      </c>
      <c r="L5" s="109">
        <f t="shared" si="4"/>
        <v>238594.41700000002</v>
      </c>
      <c r="M5" s="109">
        <f t="shared" ref="M5" si="5">SUM(M7:M22)</f>
        <v>268387.71100000001</v>
      </c>
      <c r="N5" s="12"/>
      <c r="O5" s="109">
        <f t="shared" ref="O5" si="6">SUM(O7:O22)</f>
        <v>324451.54599999997</v>
      </c>
      <c r="P5" s="12"/>
      <c r="Q5" s="12"/>
      <c r="R5" s="109">
        <f t="shared" ref="R5:AA5" si="7">SUM(R7:R22)</f>
        <v>511780.82999999996</v>
      </c>
      <c r="S5" s="109">
        <f t="shared" si="7"/>
        <v>536979.304</v>
      </c>
      <c r="T5" s="112">
        <f t="shared" si="7"/>
        <v>252269.03599999999</v>
      </c>
      <c r="U5" s="109">
        <f t="shared" si="7"/>
        <v>1450153.7429999998</v>
      </c>
      <c r="V5" s="109">
        <f t="shared" si="7"/>
        <v>1908047.716</v>
      </c>
      <c r="W5" s="109">
        <f t="shared" si="7"/>
        <v>2299614.3650000002</v>
      </c>
      <c r="X5" s="109">
        <f t="shared" si="7"/>
        <v>2467093.6709999996</v>
      </c>
      <c r="Y5" s="109">
        <f t="shared" si="7"/>
        <v>4077755.7829999998</v>
      </c>
      <c r="Z5" s="109">
        <f t="shared" si="7"/>
        <v>909166.16499999992</v>
      </c>
      <c r="AA5" s="109">
        <f t="shared" si="7"/>
        <v>-2421437.6579999998</v>
      </c>
      <c r="AB5" s="109">
        <f t="shared" ref="AB5:AC5" si="8">SUM(AB7:AB22)</f>
        <v>2629227.693</v>
      </c>
      <c r="AC5" s="109">
        <f t="shared" si="8"/>
        <v>3378523</v>
      </c>
      <c r="AD5" s="109">
        <f t="shared" ref="AD5:AE5" si="9">SUM(AD7:AD22)</f>
        <v>1272927.348</v>
      </c>
      <c r="AE5" s="109">
        <f t="shared" si="9"/>
        <v>2393249.122</v>
      </c>
      <c r="AF5" s="109">
        <f t="shared" ref="AF5:AG5" si="10">SUM(AF7:AF22)</f>
        <v>3776008.4820000003</v>
      </c>
      <c r="AG5" s="109">
        <f t="shared" si="10"/>
        <v>1011682.64</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B6" s="84"/>
      <c r="C6" s="84"/>
      <c r="D6" s="84"/>
      <c r="I6" s="32"/>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4">
        <f>4238+2661</f>
        <v>6899</v>
      </c>
      <c r="C7" s="14">
        <f>4289+1966</f>
        <v>6255</v>
      </c>
      <c r="D7" s="14">
        <f>4252+2066</f>
        <v>6318</v>
      </c>
      <c r="E7" s="12"/>
      <c r="F7" s="12"/>
      <c r="G7" s="12"/>
      <c r="H7" s="12"/>
      <c r="I7" s="32">
        <v>13692.001</v>
      </c>
      <c r="J7" s="32">
        <v>14467.376</v>
      </c>
      <c r="K7" s="12">
        <v>17381.906999999999</v>
      </c>
      <c r="L7" s="12">
        <v>18644.71</v>
      </c>
      <c r="M7" s="12">
        <v>20007.667000000001</v>
      </c>
      <c r="N7" s="12">
        <v>22226.282999999999</v>
      </c>
      <c r="O7" s="12">
        <v>21818.612000000001</v>
      </c>
      <c r="P7" s="12"/>
      <c r="Q7" s="12"/>
      <c r="R7" s="44">
        <v>31623.611000000001</v>
      </c>
      <c r="S7" s="12">
        <v>29820.521000000001</v>
      </c>
      <c r="T7" s="82">
        <v>-14863.278</v>
      </c>
      <c r="U7" s="12">
        <v>247213.39</v>
      </c>
      <c r="V7" s="12">
        <v>202720.73</v>
      </c>
      <c r="W7" s="32">
        <v>208784.649</v>
      </c>
      <c r="X7" s="32">
        <v>200630.75599999999</v>
      </c>
      <c r="Y7" s="32">
        <v>365202.902</v>
      </c>
      <c r="Z7" s="32">
        <v>-215661.46</v>
      </c>
      <c r="AA7" s="32">
        <v>69092.111000000004</v>
      </c>
      <c r="AB7" s="32">
        <v>248191.701</v>
      </c>
      <c r="AC7" s="32">
        <v>10631</v>
      </c>
      <c r="AD7" s="12">
        <v>279836.299</v>
      </c>
      <c r="AE7" s="12">
        <v>204010.95199999999</v>
      </c>
      <c r="AF7" s="12">
        <v>201073.81099999999</v>
      </c>
      <c r="AG7" s="12">
        <v>-82415.051000000007</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4">
        <f>227+443</f>
        <v>670</v>
      </c>
      <c r="C8" s="14">
        <f>428+290</f>
        <v>718</v>
      </c>
      <c r="D8" s="14">
        <f>552+1347</f>
        <v>1899</v>
      </c>
      <c r="E8" s="12"/>
      <c r="F8" s="12"/>
      <c r="G8" s="12"/>
      <c r="H8" s="12"/>
      <c r="I8" s="32">
        <v>1805.5450000000001</v>
      </c>
      <c r="J8" s="32">
        <v>1700.49</v>
      </c>
      <c r="K8" s="12">
        <v>1328.992</v>
      </c>
      <c r="L8" s="12">
        <v>1931.165</v>
      </c>
      <c r="M8" s="12">
        <v>1495.9870000000001</v>
      </c>
      <c r="N8" s="12">
        <v>1774.4929999999999</v>
      </c>
      <c r="O8" s="12">
        <v>1619.5150000000001</v>
      </c>
      <c r="P8" s="12"/>
      <c r="Q8" s="12"/>
      <c r="R8" s="63">
        <v>4951.3860000000004</v>
      </c>
      <c r="S8" s="12">
        <v>6465.027</v>
      </c>
      <c r="T8" s="82">
        <v>-10058.474</v>
      </c>
      <c r="U8" s="12">
        <v>69047.676999999996</v>
      </c>
      <c r="V8" s="12">
        <v>20346.940999999999</v>
      </c>
      <c r="W8" s="32">
        <v>27744.536</v>
      </c>
      <c r="X8" s="32">
        <v>34631.307000000001</v>
      </c>
      <c r="Y8" s="32">
        <v>56576.044000000002</v>
      </c>
      <c r="Z8" s="32">
        <v>20440.661</v>
      </c>
      <c r="AA8" s="32">
        <v>-14688.097</v>
      </c>
      <c r="AB8" s="32">
        <v>39641.203000000001</v>
      </c>
      <c r="AC8" s="32">
        <v>38715</v>
      </c>
      <c r="AD8" s="12">
        <v>16328.895</v>
      </c>
      <c r="AE8" s="12">
        <v>27204.228999999999</v>
      </c>
      <c r="AF8" s="12">
        <v>44239.106</v>
      </c>
      <c r="AG8" s="12">
        <v>15031.763000000001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4"/>
      <c r="C9" s="14"/>
      <c r="D9" s="14">
        <v>15245</v>
      </c>
      <c r="E9" s="12"/>
      <c r="F9" s="12"/>
      <c r="G9" s="12"/>
      <c r="H9" s="12"/>
      <c r="I9" s="32">
        <v>22354.686000000002</v>
      </c>
      <c r="J9" s="32">
        <v>22133.331999999999</v>
      </c>
      <c r="K9" s="12"/>
      <c r="L9" s="12"/>
      <c r="M9" s="12">
        <v>19593.962</v>
      </c>
      <c r="N9" s="12">
        <v>20897.343000000001</v>
      </c>
      <c r="O9" s="12">
        <v>22392.058000000001</v>
      </c>
      <c r="P9" s="12"/>
      <c r="Q9" s="12"/>
      <c r="R9" s="63">
        <v>33831.161</v>
      </c>
      <c r="S9" s="61">
        <v>26821</v>
      </c>
      <c r="T9" s="83">
        <v>-30738.312999999998</v>
      </c>
      <c r="U9" s="61">
        <v>37248.946000000004</v>
      </c>
      <c r="V9" s="61">
        <v>161660.08199999999</v>
      </c>
      <c r="W9" s="32">
        <f>485.066+113425.255</f>
        <v>113910.32100000001</v>
      </c>
      <c r="X9" s="32">
        <v>171099.84</v>
      </c>
      <c r="Y9" s="32">
        <v>229948.236</v>
      </c>
      <c r="Z9" s="32">
        <v>-28202.212</v>
      </c>
      <c r="AA9" s="32">
        <v>-286830.19099999999</v>
      </c>
      <c r="AB9" s="32">
        <v>100150.852</v>
      </c>
      <c r="AC9" s="32">
        <v>230283</v>
      </c>
      <c r="AD9" s="12">
        <v>-38408.841999999997</v>
      </c>
      <c r="AE9" s="12">
        <v>157142.79800000001</v>
      </c>
      <c r="AF9" s="12">
        <v>201899.94099999999</v>
      </c>
      <c r="AG9" s="12">
        <v>77076.278000000006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4">
        <v>174</v>
      </c>
      <c r="C10" s="14">
        <f>0+223</f>
        <v>223</v>
      </c>
      <c r="D10" s="14">
        <f>0+361</f>
        <v>361</v>
      </c>
      <c r="E10" s="12"/>
      <c r="F10" s="12"/>
      <c r="G10" s="12"/>
      <c r="H10" s="12"/>
      <c r="I10" s="32">
        <v>30.413</v>
      </c>
      <c r="J10" s="32">
        <v>26.792000000000002</v>
      </c>
      <c r="K10" s="12">
        <v>39267.040000000001</v>
      </c>
      <c r="L10" s="12">
        <v>248.06200000000001</v>
      </c>
      <c r="M10" s="12">
        <v>169.011</v>
      </c>
      <c r="N10" s="12">
        <v>0</v>
      </c>
      <c r="O10" s="12">
        <v>0</v>
      </c>
      <c r="P10" s="12"/>
      <c r="Q10" s="12"/>
      <c r="R10" s="63">
        <v>0</v>
      </c>
      <c r="S10" s="12">
        <v>0</v>
      </c>
      <c r="T10" s="82">
        <v>52141.275000000001</v>
      </c>
      <c r="U10" s="12">
        <v>114279.216</v>
      </c>
      <c r="V10" s="12">
        <v>29265.728999999999</v>
      </c>
      <c r="W10" s="32">
        <v>78718.784</v>
      </c>
      <c r="X10" s="32">
        <v>56696.472999999998</v>
      </c>
      <c r="Y10" s="32">
        <v>130830.166</v>
      </c>
      <c r="Z10" s="32">
        <v>129035.86199999999</v>
      </c>
      <c r="AA10" s="32">
        <v>54735.565000000002</v>
      </c>
      <c r="AB10" s="32">
        <v>177268.67199999999</v>
      </c>
      <c r="AC10" s="32">
        <v>141006</v>
      </c>
      <c r="AD10" s="12">
        <v>87825.607999999993</v>
      </c>
      <c r="AE10" s="12">
        <v>67151.679999999993</v>
      </c>
      <c r="AF10" s="12">
        <v>159285.57800000001</v>
      </c>
      <c r="AG10" s="12">
        <v>56493.275999999998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4">
        <f>696+1346</f>
        <v>2042</v>
      </c>
      <c r="C11" s="14">
        <f>835+969</f>
        <v>1804</v>
      </c>
      <c r="D11" s="14">
        <f>963+789</f>
        <v>1752</v>
      </c>
      <c r="E11" s="12"/>
      <c r="F11" s="12"/>
      <c r="G11" s="12"/>
      <c r="H11" s="12"/>
      <c r="I11" s="32">
        <v>2754.5430000000001</v>
      </c>
      <c r="J11" s="32">
        <v>3541.8470000000002</v>
      </c>
      <c r="K11" s="12">
        <v>4303.3879999999999</v>
      </c>
      <c r="L11" s="12">
        <v>6996.0079999999998</v>
      </c>
      <c r="M11" s="12">
        <v>3326.6579999999999</v>
      </c>
      <c r="N11" s="12">
        <v>3262.6489999999999</v>
      </c>
      <c r="O11" s="12">
        <v>2810.989</v>
      </c>
      <c r="P11" s="12"/>
      <c r="Q11" s="12"/>
      <c r="R11" s="63">
        <v>4369.759</v>
      </c>
      <c r="S11" s="12">
        <v>4962.2910000000002</v>
      </c>
      <c r="T11" s="82">
        <v>17730.011999999999</v>
      </c>
      <c r="U11" s="12">
        <v>15423.502</v>
      </c>
      <c r="V11" s="12">
        <v>-1617.9490000000001</v>
      </c>
      <c r="W11" s="32">
        <v>21691.261999999999</v>
      </c>
      <c r="X11" s="32">
        <v>35360.343000000001</v>
      </c>
      <c r="Y11" s="32">
        <v>53588.711000000003</v>
      </c>
      <c r="Z11" s="32">
        <v>37293.292000000001</v>
      </c>
      <c r="AA11" s="32">
        <v>16941.823</v>
      </c>
      <c r="AB11" s="32">
        <v>25069.916000000001</v>
      </c>
      <c r="AC11" s="32">
        <v>28393</v>
      </c>
      <c r="AD11" s="12">
        <v>19752.233</v>
      </c>
      <c r="AE11" s="12">
        <v>24722.455000000002</v>
      </c>
      <c r="AF11" s="12">
        <v>33591.487000000001</v>
      </c>
      <c r="AG11" s="12">
        <v>21169.028999999999</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4">
        <v>2028</v>
      </c>
      <c r="C12" s="14">
        <f>3057+9</f>
        <v>3066</v>
      </c>
      <c r="D12" s="14">
        <f>5037+10</f>
        <v>5047</v>
      </c>
      <c r="E12" s="12"/>
      <c r="F12" s="12"/>
      <c r="G12" s="12"/>
      <c r="H12" s="12"/>
      <c r="I12" s="32">
        <v>8683.2900000000009</v>
      </c>
      <c r="J12" s="32">
        <v>6128.3829999999998</v>
      </c>
      <c r="K12" s="12">
        <v>5893.5219999999999</v>
      </c>
      <c r="L12" s="12">
        <v>5088.335</v>
      </c>
      <c r="M12" s="12">
        <v>10235.907999999999</v>
      </c>
      <c r="N12" s="12">
        <v>12130.831</v>
      </c>
      <c r="O12" s="12">
        <v>13587.120999999999</v>
      </c>
      <c r="P12" s="12"/>
      <c r="Q12" s="12"/>
      <c r="R12" s="34">
        <v>21116.92</v>
      </c>
      <c r="S12" s="12">
        <v>22523.148000000001</v>
      </c>
      <c r="T12" s="82">
        <v>9289.7389999999996</v>
      </c>
      <c r="U12" s="12">
        <v>45312.266000000003</v>
      </c>
      <c r="V12" s="12">
        <v>90745.760999999999</v>
      </c>
      <c r="W12" s="32">
        <v>73167.163</v>
      </c>
      <c r="X12" s="32">
        <v>138425.00399999999</v>
      </c>
      <c r="Y12" s="32">
        <v>195412.75599999999</v>
      </c>
      <c r="Z12" s="32">
        <v>-25351.438999999998</v>
      </c>
      <c r="AA12" s="32">
        <v>-160304.66399999999</v>
      </c>
      <c r="AB12" s="32">
        <v>114543.66499999999</v>
      </c>
      <c r="AC12" s="32">
        <v>166331</v>
      </c>
      <c r="AD12" s="12">
        <v>9609.7790000000005</v>
      </c>
      <c r="AE12" s="12">
        <v>112360.041</v>
      </c>
      <c r="AF12" s="12">
        <v>166985.49299999999</v>
      </c>
      <c r="AG12" s="12">
        <v>48364.932999999997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4">
        <f>78+718</f>
        <v>796</v>
      </c>
      <c r="C13" s="14">
        <f>72+157</f>
        <v>229</v>
      </c>
      <c r="D13" s="14">
        <f>173+224</f>
        <v>397</v>
      </c>
      <c r="E13" s="12"/>
      <c r="F13" s="12"/>
      <c r="G13" s="12"/>
      <c r="H13" s="12"/>
      <c r="I13" s="32">
        <v>646.91499999999996</v>
      </c>
      <c r="J13" s="32">
        <v>524.51700000000005</v>
      </c>
      <c r="K13" s="12">
        <v>999.88599999999997</v>
      </c>
      <c r="L13" s="12">
        <v>1339.3050000000001</v>
      </c>
      <c r="M13" s="12">
        <v>3787.4929999999999</v>
      </c>
      <c r="N13" s="12">
        <v>4500.6620000000003</v>
      </c>
      <c r="O13" s="12">
        <v>6334.3209999999999</v>
      </c>
      <c r="P13" s="12"/>
      <c r="Q13" s="12"/>
      <c r="R13" s="34">
        <v>9099.3269999999993</v>
      </c>
      <c r="S13" s="12">
        <v>7633.7179999999998</v>
      </c>
      <c r="T13" s="82">
        <v>22792.867999999999</v>
      </c>
      <c r="U13" s="12">
        <v>14320.629000000001</v>
      </c>
      <c r="V13" s="12">
        <v>16594.723999999998</v>
      </c>
      <c r="W13" s="32">
        <v>28696.697</v>
      </c>
      <c r="X13" s="32">
        <v>35028.919000000002</v>
      </c>
      <c r="Y13" s="32">
        <v>66797.623999999996</v>
      </c>
      <c r="Z13" s="32">
        <v>42081.866999999998</v>
      </c>
      <c r="AA13" s="32">
        <v>-780.26400000000001</v>
      </c>
      <c r="AB13" s="32">
        <v>35379.627</v>
      </c>
      <c r="AC13" s="32">
        <v>47789</v>
      </c>
      <c r="AD13" s="12">
        <v>48572.633999999998</v>
      </c>
      <c r="AE13" s="12">
        <v>25669.708999999999</v>
      </c>
      <c r="AF13" s="12">
        <v>67037.490999999995</v>
      </c>
      <c r="AG13" s="12">
        <v>21876.131000000001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4">
        <v>1196</v>
      </c>
      <c r="C14" s="14">
        <f>0+1073</f>
        <v>1073</v>
      </c>
      <c r="D14" s="14">
        <f>0+1247</f>
        <v>1247</v>
      </c>
      <c r="E14" s="12"/>
      <c r="F14" s="12"/>
      <c r="G14" s="12"/>
      <c r="H14" s="12"/>
      <c r="I14" s="32">
        <v>4677.2169999999996</v>
      </c>
      <c r="J14" s="32">
        <v>7960.5510000000004</v>
      </c>
      <c r="K14" s="12">
        <v>3889.9650000000001</v>
      </c>
      <c r="L14" s="12">
        <v>3431.9969999999998</v>
      </c>
      <c r="M14" s="12">
        <v>5286.5190000000002</v>
      </c>
      <c r="N14" s="12">
        <v>6615.7950000000001</v>
      </c>
      <c r="O14" s="12">
        <v>8268.3369999999995</v>
      </c>
      <c r="P14" s="12"/>
      <c r="Q14" s="12"/>
      <c r="R14" s="34">
        <v>11456.727000000001</v>
      </c>
      <c r="S14" s="12">
        <v>18142.266</v>
      </c>
      <c r="T14" s="82">
        <v>-868.15599999999995</v>
      </c>
      <c r="U14" s="12">
        <v>21391.424999999999</v>
      </c>
      <c r="V14" s="12">
        <v>68328.849000000002</v>
      </c>
      <c r="W14" s="32">
        <v>73633.991999999998</v>
      </c>
      <c r="X14" s="32">
        <v>98424.642000000007</v>
      </c>
      <c r="Y14" s="32">
        <v>151829.98199999999</v>
      </c>
      <c r="Z14" s="32">
        <v>56073.743999999999</v>
      </c>
      <c r="AA14" s="32">
        <v>-83976.57</v>
      </c>
      <c r="AB14" s="32">
        <v>48241.212</v>
      </c>
      <c r="AC14" s="32">
        <v>62741</v>
      </c>
      <c r="AD14" s="12">
        <v>22044.251</v>
      </c>
      <c r="AE14" s="12">
        <v>32597.167000000001</v>
      </c>
      <c r="AF14" s="12">
        <v>46771.353000000003</v>
      </c>
      <c r="AG14" s="12">
        <v>31632.616999999998</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4">
        <f>44+500</f>
        <v>544</v>
      </c>
      <c r="C15" s="14">
        <f>194+438</f>
        <v>632</v>
      </c>
      <c r="D15" s="14">
        <f>496+436</f>
        <v>932</v>
      </c>
      <c r="E15" s="12"/>
      <c r="F15" s="12"/>
      <c r="G15" s="12"/>
      <c r="H15" s="12"/>
      <c r="I15" s="32">
        <v>1113.8240000000001</v>
      </c>
      <c r="J15" s="32">
        <v>1106.366</v>
      </c>
      <c r="K15" s="12">
        <v>955.78700000000003</v>
      </c>
      <c r="L15" s="12">
        <v>867.255</v>
      </c>
      <c r="M15" s="12">
        <v>857.43700000000001</v>
      </c>
      <c r="N15" s="12">
        <v>1461.4110000000001</v>
      </c>
      <c r="O15" s="12">
        <v>1605.127</v>
      </c>
      <c r="P15" s="12"/>
      <c r="Q15" s="12"/>
      <c r="R15" s="34">
        <v>3856.1840000000002</v>
      </c>
      <c r="S15" s="12">
        <v>4531.4960000000001</v>
      </c>
      <c r="T15" s="82">
        <v>10174.013999999999</v>
      </c>
      <c r="U15" s="12">
        <v>15651.922</v>
      </c>
      <c r="V15" s="12">
        <v>18956.757000000001</v>
      </c>
      <c r="W15" s="32">
        <v>23172.059000000001</v>
      </c>
      <c r="X15" s="32">
        <v>27396.607</v>
      </c>
      <c r="Y15" s="32">
        <v>55096.15</v>
      </c>
      <c r="Z15" s="32">
        <v>19910.112000000001</v>
      </c>
      <c r="AA15" s="32">
        <v>-1083.617</v>
      </c>
      <c r="AB15" s="32">
        <v>29654.614000000001</v>
      </c>
      <c r="AC15" s="32">
        <v>34696</v>
      </c>
      <c r="AD15" s="12">
        <v>6419.7979999999998</v>
      </c>
      <c r="AE15" s="12">
        <v>20719.483</v>
      </c>
      <c r="AF15" s="12">
        <v>33726.307999999997</v>
      </c>
      <c r="AG15" s="12">
        <v>12777.79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14">
        <f>3889+2330</f>
        <v>6219</v>
      </c>
      <c r="C16" s="14">
        <f>3530+2102</f>
        <v>5632</v>
      </c>
      <c r="D16" s="14">
        <f>3953+2199</f>
        <v>6152</v>
      </c>
      <c r="E16" s="20"/>
      <c r="F16" s="20"/>
      <c r="G16" s="20"/>
      <c r="H16" s="20"/>
      <c r="I16" s="33">
        <v>9511.31</v>
      </c>
      <c r="J16" s="33">
        <v>10866.977000000001</v>
      </c>
      <c r="K16" s="20">
        <v>11984.725</v>
      </c>
      <c r="L16" s="20">
        <v>15059.013000000001</v>
      </c>
      <c r="M16" s="20">
        <v>18055.973000000002</v>
      </c>
      <c r="N16" s="20">
        <v>18871.141</v>
      </c>
      <c r="O16" s="20">
        <v>21260.315999999999</v>
      </c>
      <c r="P16" s="20"/>
      <c r="Q16" s="20"/>
      <c r="R16" s="66">
        <v>33179.298000000003</v>
      </c>
      <c r="S16" s="20">
        <v>21156.828000000001</v>
      </c>
      <c r="T16" s="82">
        <v>56693.010999999999</v>
      </c>
      <c r="U16" s="20">
        <v>73205.267999999996</v>
      </c>
      <c r="V16" s="20">
        <v>214347.766</v>
      </c>
      <c r="W16" s="33">
        <v>215318.54500000001</v>
      </c>
      <c r="X16" s="33">
        <v>284509.56599999999</v>
      </c>
      <c r="Y16" s="33">
        <v>450872.89899999998</v>
      </c>
      <c r="Z16" s="33">
        <v>191801.902</v>
      </c>
      <c r="AA16" s="33">
        <v>-365543.24099999998</v>
      </c>
      <c r="AB16" s="33">
        <v>174659.571</v>
      </c>
      <c r="AC16" s="33">
        <v>324198</v>
      </c>
      <c r="AD16" s="20">
        <v>51273.35</v>
      </c>
      <c r="AE16" s="20">
        <v>284712.16399999999</v>
      </c>
      <c r="AF16" s="20">
        <v>391985.24599999998</v>
      </c>
      <c r="AG16" s="20">
        <v>261854.11600000001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14">
        <v>0</v>
      </c>
      <c r="C17" s="14">
        <f>0+0</f>
        <v>0</v>
      </c>
      <c r="D17" s="14">
        <f>0+0</f>
        <v>0</v>
      </c>
      <c r="E17" s="20"/>
      <c r="F17" s="20"/>
      <c r="G17" s="20"/>
      <c r="H17" s="20"/>
      <c r="I17" s="33">
        <v>649.12800000000004</v>
      </c>
      <c r="J17" s="33">
        <v>1308.0409999999999</v>
      </c>
      <c r="K17" s="20">
        <v>1451.912</v>
      </c>
      <c r="L17" s="20">
        <v>2066.09</v>
      </c>
      <c r="M17" s="20">
        <v>2453.9789999999998</v>
      </c>
      <c r="N17" s="20">
        <v>3197.3359999999998</v>
      </c>
      <c r="O17" s="20">
        <v>4625.55</v>
      </c>
      <c r="P17" s="20"/>
      <c r="Q17" s="20"/>
      <c r="R17" s="66">
        <v>13481.684999999999</v>
      </c>
      <c r="S17" s="20">
        <v>15155.145</v>
      </c>
      <c r="T17" s="82">
        <v>9277.0849999999991</v>
      </c>
      <c r="U17" s="20">
        <v>9141.7739999999994</v>
      </c>
      <c r="V17" s="20">
        <v>9178.0650000000005</v>
      </c>
      <c r="W17" s="33">
        <v>15306.637000000001</v>
      </c>
      <c r="X17" s="33">
        <v>22672.473999999998</v>
      </c>
      <c r="Y17" s="33">
        <v>45448.940999999999</v>
      </c>
      <c r="Z17" s="33">
        <v>30506.15</v>
      </c>
      <c r="AA17" s="33">
        <v>-655.08199999999999</v>
      </c>
      <c r="AB17" s="33">
        <v>37120.705000000002</v>
      </c>
      <c r="AC17" s="33">
        <v>35930</v>
      </c>
      <c r="AD17" s="20">
        <v>16794.09</v>
      </c>
      <c r="AE17" s="20">
        <v>22753.867999999999</v>
      </c>
      <c r="AF17" s="20">
        <v>31015.387999999999</v>
      </c>
      <c r="AG17" s="20">
        <v>20357.131000000001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14">
        <f>274+128</f>
        <v>402</v>
      </c>
      <c r="C18" s="14">
        <f>712+66</f>
        <v>778</v>
      </c>
      <c r="D18" s="14">
        <f>1254+299</f>
        <v>1553</v>
      </c>
      <c r="E18" s="20"/>
      <c r="F18" s="20"/>
      <c r="G18" s="20"/>
      <c r="H18" s="20"/>
      <c r="I18" s="33">
        <v>2043.47</v>
      </c>
      <c r="J18" s="33">
        <v>2348.3739999999998</v>
      </c>
      <c r="K18" s="20">
        <v>2144.828</v>
      </c>
      <c r="L18" s="20">
        <v>2536.2469999999998</v>
      </c>
      <c r="M18" s="20">
        <v>2656.4070000000002</v>
      </c>
      <c r="N18" s="20">
        <v>2465.8490000000002</v>
      </c>
      <c r="O18" s="20">
        <v>2434.623</v>
      </c>
      <c r="P18" s="20"/>
      <c r="Q18" s="20"/>
      <c r="R18" s="66">
        <v>3105.4850000000001</v>
      </c>
      <c r="S18" s="20">
        <v>3501.43</v>
      </c>
      <c r="T18" s="82">
        <v>18885.650000000001</v>
      </c>
      <c r="U18" s="20">
        <v>23901.422999999999</v>
      </c>
      <c r="V18" s="20">
        <v>18286.401999999998</v>
      </c>
      <c r="W18" s="33">
        <v>22276.805</v>
      </c>
      <c r="X18" s="33">
        <v>22485.194</v>
      </c>
      <c r="Y18" s="33">
        <v>47553.095999999998</v>
      </c>
      <c r="Z18" s="33">
        <v>24565.863000000001</v>
      </c>
      <c r="AA18" s="33">
        <v>15408.787</v>
      </c>
      <c r="AB18" s="33">
        <v>57441.430999999997</v>
      </c>
      <c r="AC18" s="33">
        <v>56965</v>
      </c>
      <c r="AD18" s="20">
        <v>22738.055</v>
      </c>
      <c r="AE18" s="20">
        <v>32570.541000000001</v>
      </c>
      <c r="AF18" s="20">
        <v>50060.646000000001</v>
      </c>
      <c r="AG18" s="20">
        <v>15638.359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14">
        <f>1472+1735</f>
        <v>3207</v>
      </c>
      <c r="C19" s="14">
        <f>1891+1832</f>
        <v>3723</v>
      </c>
      <c r="D19" s="14">
        <f>1544+2154</f>
        <v>3698</v>
      </c>
      <c r="E19" s="20"/>
      <c r="F19" s="20"/>
      <c r="G19" s="20"/>
      <c r="H19" s="20"/>
      <c r="I19" s="33">
        <v>13299.925999999999</v>
      </c>
      <c r="J19" s="33">
        <v>13643.16</v>
      </c>
      <c r="K19" s="20">
        <v>15298.074000000001</v>
      </c>
      <c r="L19" s="20">
        <v>14186.434999999999</v>
      </c>
      <c r="M19" s="20">
        <v>14087.257</v>
      </c>
      <c r="N19" s="20">
        <v>14811.873</v>
      </c>
      <c r="O19" s="20">
        <v>17574.7</v>
      </c>
      <c r="P19" s="20"/>
      <c r="Q19" s="20"/>
      <c r="R19" s="90">
        <v>21471.502</v>
      </c>
      <c r="S19" s="20">
        <v>29233.386999999999</v>
      </c>
      <c r="T19" s="82">
        <v>45736.228999999999</v>
      </c>
      <c r="U19" s="20">
        <v>48890.413999999997</v>
      </c>
      <c r="V19" s="20">
        <v>91753.934999999998</v>
      </c>
      <c r="W19" s="33">
        <v>100408.053</v>
      </c>
      <c r="X19" s="33">
        <v>127072.598</v>
      </c>
      <c r="Y19" s="33">
        <v>198471.31400000001</v>
      </c>
      <c r="Z19" s="33">
        <v>38032.756999999998</v>
      </c>
      <c r="AA19" s="33">
        <v>-94768.520999999993</v>
      </c>
      <c r="AB19" s="33">
        <v>125225.067</v>
      </c>
      <c r="AC19" s="33">
        <v>136694</v>
      </c>
      <c r="AD19" s="20">
        <v>19793.878000000001</v>
      </c>
      <c r="AE19" s="20">
        <v>113836.538</v>
      </c>
      <c r="AF19" s="20">
        <v>145811.29999999999</v>
      </c>
      <c r="AG19" s="20">
        <v>37517.964999999997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14">
        <f>49625+9433</f>
        <v>59058</v>
      </c>
      <c r="C20" s="14">
        <f>50847+10539</f>
        <v>61386</v>
      </c>
      <c r="D20" s="14">
        <f>69127+11271</f>
        <v>80398</v>
      </c>
      <c r="E20" s="20"/>
      <c r="F20" s="20"/>
      <c r="G20" s="20"/>
      <c r="H20" s="20"/>
      <c r="I20" s="33">
        <v>46469.612000000001</v>
      </c>
      <c r="J20" s="33">
        <v>133101.978</v>
      </c>
      <c r="K20" s="20">
        <v>130949.083</v>
      </c>
      <c r="L20" s="20">
        <v>137600.90700000001</v>
      </c>
      <c r="M20" s="20">
        <v>136204.834</v>
      </c>
      <c r="N20" s="20">
        <v>159136.91500000001</v>
      </c>
      <c r="O20" s="20">
        <v>163348.21100000001</v>
      </c>
      <c r="P20" s="20"/>
      <c r="Q20" s="20"/>
      <c r="R20" s="66">
        <v>269934.84899999999</v>
      </c>
      <c r="S20" s="20">
        <v>289265.03600000002</v>
      </c>
      <c r="T20" s="82">
        <v>23732.833999999999</v>
      </c>
      <c r="U20" s="20">
        <v>501506.50199999998</v>
      </c>
      <c r="V20" s="20">
        <v>682088.97499999998</v>
      </c>
      <c r="W20" s="33">
        <v>931704.20900000003</v>
      </c>
      <c r="X20" s="33">
        <v>794524.70900000003</v>
      </c>
      <c r="Y20" s="33">
        <v>1214789.2379999999</v>
      </c>
      <c r="Z20" s="33">
        <v>275668.42800000001</v>
      </c>
      <c r="AA20" s="33">
        <v>-714339.69499999995</v>
      </c>
      <c r="AB20" s="33">
        <v>908871.49100000004</v>
      </c>
      <c r="AC20" s="33">
        <v>1174618</v>
      </c>
      <c r="AD20" s="20">
        <v>484451.20600000001</v>
      </c>
      <c r="AE20" s="20">
        <v>656628.38899999997</v>
      </c>
      <c r="AF20" s="20">
        <v>1246531.682</v>
      </c>
      <c r="AG20" s="20">
        <v>23167.275000000001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14">
        <f>9825+1589</f>
        <v>11414</v>
      </c>
      <c r="C21" s="14">
        <f>11350+2262</f>
        <v>13612</v>
      </c>
      <c r="D21" s="14">
        <f>11921+2597</f>
        <v>14518</v>
      </c>
      <c r="E21" s="20"/>
      <c r="F21" s="20"/>
      <c r="G21" s="20"/>
      <c r="H21" s="20"/>
      <c r="I21" s="33">
        <v>26233.966</v>
      </c>
      <c r="J21" s="33">
        <v>26477.562999999998</v>
      </c>
      <c r="K21" s="20">
        <v>28836.42</v>
      </c>
      <c r="L21" s="20">
        <v>28598.887999999999</v>
      </c>
      <c r="M21" s="20">
        <v>30168.618999999999</v>
      </c>
      <c r="N21" s="20">
        <v>34572.682000000001</v>
      </c>
      <c r="O21" s="20">
        <v>36772.065999999999</v>
      </c>
      <c r="P21" s="20"/>
      <c r="Q21" s="20"/>
      <c r="R21" s="66">
        <v>50302.936000000002</v>
      </c>
      <c r="S21" s="20">
        <v>57768.010999999999</v>
      </c>
      <c r="T21" s="82">
        <v>32319.274000000001</v>
      </c>
      <c r="U21" s="20">
        <v>206693.90100000001</v>
      </c>
      <c r="V21" s="20">
        <v>281743.47600000002</v>
      </c>
      <c r="W21" s="33">
        <v>355035.07799999998</v>
      </c>
      <c r="X21" s="33">
        <v>403136.74699999997</v>
      </c>
      <c r="Y21" s="33">
        <v>793847.71200000006</v>
      </c>
      <c r="Z21" s="33">
        <v>300351.89299999998</v>
      </c>
      <c r="AA21" s="33">
        <v>-850444.76399999997</v>
      </c>
      <c r="AB21" s="33">
        <v>498270.859</v>
      </c>
      <c r="AC21" s="33">
        <v>878346</v>
      </c>
      <c r="AD21" s="20">
        <v>221866.723</v>
      </c>
      <c r="AE21" s="20">
        <v>596409.23800000001</v>
      </c>
      <c r="AF21" s="20">
        <v>933265.24199999997</v>
      </c>
      <c r="AG21" s="20">
        <v>445646.587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93">
        <f>30+6</f>
        <v>36</v>
      </c>
      <c r="C22" s="93">
        <f>0+3</f>
        <v>3</v>
      </c>
      <c r="D22" s="93">
        <f>84+9</f>
        <v>93</v>
      </c>
      <c r="E22" s="51"/>
      <c r="F22" s="51"/>
      <c r="G22" s="51"/>
      <c r="H22" s="51"/>
      <c r="I22" s="50">
        <v>661.351</v>
      </c>
      <c r="J22" s="50">
        <v>0</v>
      </c>
      <c r="K22" s="51">
        <v>0</v>
      </c>
      <c r="L22" s="51">
        <v>0</v>
      </c>
      <c r="M22" s="51">
        <v>0</v>
      </c>
      <c r="N22" s="51">
        <v>0</v>
      </c>
      <c r="O22" s="51">
        <v>0</v>
      </c>
      <c r="P22" s="51"/>
      <c r="Q22" s="51"/>
      <c r="R22" s="51">
        <v>0</v>
      </c>
      <c r="S22" s="51">
        <v>0</v>
      </c>
      <c r="T22" s="113">
        <v>10025.266</v>
      </c>
      <c r="U22" s="51">
        <v>6925.4880000000003</v>
      </c>
      <c r="V22" s="51">
        <v>3647.473</v>
      </c>
      <c r="W22" s="50">
        <v>10045.575000000001</v>
      </c>
      <c r="X22" s="50">
        <v>14998.492</v>
      </c>
      <c r="Y22" s="50">
        <v>21490.011999999999</v>
      </c>
      <c r="Z22" s="50">
        <v>12618.745000000001</v>
      </c>
      <c r="AA22" s="50">
        <v>-4201.2380000000003</v>
      </c>
      <c r="AB22" s="50">
        <v>9497.107</v>
      </c>
      <c r="AC22" s="50">
        <v>11187</v>
      </c>
      <c r="AD22" s="51">
        <v>4029.3910000000001</v>
      </c>
      <c r="AE22" s="51">
        <v>14759.87</v>
      </c>
      <c r="AF22" s="51">
        <v>22728.41</v>
      </c>
      <c r="AG22" s="51">
        <v>5494.4409999999998</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84"/>
      <c r="C23" s="84"/>
      <c r="D23" s="84"/>
      <c r="I23" s="104"/>
      <c r="J23" s="104">
        <f>SUM(J25:J37)</f>
        <v>51993.947</v>
      </c>
      <c r="M23" s="104">
        <f>SUM(M25:M37)</f>
        <v>63311.246000000006</v>
      </c>
      <c r="O23" s="104">
        <f>SUM(O25:O37)</f>
        <v>164369.07276000004</v>
      </c>
      <c r="R23" s="104">
        <f t="shared" ref="R23:AG23" si="11">SUM(R25:R37)</f>
        <v>192403.712</v>
      </c>
      <c r="S23" s="104">
        <f t="shared" si="11"/>
        <v>205695.83499999996</v>
      </c>
      <c r="T23" s="114">
        <f t="shared" si="11"/>
        <v>203919.40900000001</v>
      </c>
      <c r="U23" s="104">
        <f t="shared" si="11"/>
        <v>378173.95099999994</v>
      </c>
      <c r="V23" s="104">
        <f t="shared" si="11"/>
        <v>591539.59399999992</v>
      </c>
      <c r="W23" s="104">
        <f t="shared" si="11"/>
        <v>613784.65499999991</v>
      </c>
      <c r="X23" s="104">
        <f t="shared" si="11"/>
        <v>804958.7570000001</v>
      </c>
      <c r="Y23" s="104">
        <f t="shared" si="11"/>
        <v>1349183.7480000001</v>
      </c>
      <c r="Z23" s="104">
        <f t="shared" si="11"/>
        <v>474265.88100000005</v>
      </c>
      <c r="AA23" s="104">
        <f t="shared" si="11"/>
        <v>-523907.43299999996</v>
      </c>
      <c r="AB23" s="104">
        <f t="shared" si="11"/>
        <v>1112271.531</v>
      </c>
      <c r="AC23" s="104">
        <f t="shared" si="11"/>
        <v>1349076</v>
      </c>
      <c r="AD23" s="104">
        <f t="shared" si="11"/>
        <v>634399.5560000001</v>
      </c>
      <c r="AE23" s="104">
        <f t="shared" si="11"/>
        <v>1173933.2949999999</v>
      </c>
      <c r="AF23" s="104">
        <f t="shared" si="11"/>
        <v>1540914.1760000002</v>
      </c>
      <c r="AG23" s="104">
        <f t="shared" si="11"/>
        <v>811575.09899999993</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B24" s="84"/>
      <c r="C24" s="84"/>
      <c r="D24" s="84"/>
      <c r="T24" s="115"/>
      <c r="W24" s="91"/>
      <c r="X24" s="91"/>
      <c r="Y24" s="91"/>
      <c r="Z24" s="91"/>
      <c r="AA24" s="91">
        <v>0</v>
      </c>
      <c r="AB24" s="91"/>
      <c r="AC24" s="91"/>
      <c r="AD24" s="65">
        <v>0</v>
      </c>
      <c r="AF24" s="20">
        <v>0</v>
      </c>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B25" s="23"/>
      <c r="C25" s="23"/>
      <c r="D25" s="23"/>
      <c r="I25" s="33"/>
      <c r="J25" s="33">
        <v>706.76499999999999</v>
      </c>
      <c r="K25" s="20"/>
      <c r="L25" s="20"/>
      <c r="M25" s="20">
        <v>639.44500000000005</v>
      </c>
      <c r="N25" s="20"/>
      <c r="O25" s="20">
        <v>5013.5910000000003</v>
      </c>
      <c r="P25" s="20"/>
      <c r="Q25" s="20"/>
      <c r="R25" s="66">
        <v>941.84199999999998</v>
      </c>
      <c r="S25" s="20">
        <v>558.149</v>
      </c>
      <c r="T25" s="82">
        <v>1252.518</v>
      </c>
      <c r="U25" s="20">
        <v>2955.4560000000001</v>
      </c>
      <c r="V25" s="20">
        <v>2370.8290000000002</v>
      </c>
      <c r="W25" s="33">
        <v>2625.6970000000001</v>
      </c>
      <c r="X25" s="33">
        <v>4236.3469999999998</v>
      </c>
      <c r="Y25" s="33">
        <v>830.94500000000005</v>
      </c>
      <c r="Z25" s="33">
        <v>497.39699999999999</v>
      </c>
      <c r="AA25" s="33">
        <v>-4500.6620000000003</v>
      </c>
      <c r="AB25" s="33">
        <v>150.179</v>
      </c>
      <c r="AC25" s="33">
        <v>-7</v>
      </c>
      <c r="AD25" s="20">
        <v>10.397</v>
      </c>
      <c r="AE25" s="20">
        <v>1241.2650000000001</v>
      </c>
      <c r="AF25" s="20">
        <v>-727.91399999999999</v>
      </c>
      <c r="AG25" s="20">
        <v>-747.99199999999996</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B26" s="23"/>
      <c r="C26" s="23"/>
      <c r="D26" s="23"/>
      <c r="I26" s="33"/>
      <c r="J26" s="33">
        <v>9596.4850000000006</v>
      </c>
      <c r="K26" s="20"/>
      <c r="L26" s="20"/>
      <c r="M26" s="20">
        <v>4674.7929999999997</v>
      </c>
      <c r="N26" s="20"/>
      <c r="O26" s="20">
        <v>5140.6779999999999</v>
      </c>
      <c r="P26" s="20"/>
      <c r="Q26" s="20"/>
      <c r="R26" s="66">
        <v>7358.64</v>
      </c>
      <c r="S26" s="20">
        <v>9958.35</v>
      </c>
      <c r="T26" s="82">
        <v>5240.8580000000002</v>
      </c>
      <c r="U26" s="20">
        <v>18506.949000000001</v>
      </c>
      <c r="V26" s="20">
        <v>33913.220999999998</v>
      </c>
      <c r="W26" s="33">
        <v>41839.572</v>
      </c>
      <c r="X26" s="33">
        <v>52938.911</v>
      </c>
      <c r="Y26" s="33">
        <v>79795.573999999993</v>
      </c>
      <c r="Z26" s="33">
        <v>20263.238000000001</v>
      </c>
      <c r="AA26" s="33">
        <v>-31871.191999999999</v>
      </c>
      <c r="AB26" s="33">
        <v>29821.233</v>
      </c>
      <c r="AC26" s="33">
        <v>48800</v>
      </c>
      <c r="AD26" s="20">
        <v>4434.9769999999999</v>
      </c>
      <c r="AE26" s="20">
        <v>33286.694000000003</v>
      </c>
      <c r="AF26" s="20">
        <v>69194.338000000003</v>
      </c>
      <c r="AG26" s="20">
        <v>13541.716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B27" s="23"/>
      <c r="C27" s="23"/>
      <c r="D27" s="23"/>
      <c r="I27" s="33"/>
      <c r="J27" s="33">
        <v>4358.4009999999998</v>
      </c>
      <c r="K27" s="20"/>
      <c r="L27" s="20"/>
      <c r="M27" s="20">
        <v>2074.6019999999999</v>
      </c>
      <c r="N27" s="20"/>
      <c r="O27" s="20">
        <v>89765.104000000007</v>
      </c>
      <c r="P27" s="20"/>
      <c r="Q27" s="20"/>
      <c r="R27" s="66">
        <v>92470.998999999996</v>
      </c>
      <c r="S27" s="20">
        <v>99696.622000000003</v>
      </c>
      <c r="T27" s="82">
        <v>38924.089999999997</v>
      </c>
      <c r="U27" s="20">
        <v>38244.419000000002</v>
      </c>
      <c r="V27" s="20">
        <v>15993.311</v>
      </c>
      <c r="W27" s="33">
        <v>31854.962</v>
      </c>
      <c r="X27" s="33">
        <v>66216.447</v>
      </c>
      <c r="Y27" s="33">
        <v>104794.84299999999</v>
      </c>
      <c r="Z27" s="33">
        <v>101358.10400000001</v>
      </c>
      <c r="AA27" s="33">
        <v>121310.321</v>
      </c>
      <c r="AB27" s="33">
        <v>346920.78899999999</v>
      </c>
      <c r="AC27" s="33">
        <v>364054</v>
      </c>
      <c r="AD27" s="20">
        <v>399957.71</v>
      </c>
      <c r="AE27" s="20">
        <v>411266.43</v>
      </c>
      <c r="AF27" s="20">
        <v>356974.43199999997</v>
      </c>
      <c r="AG27" s="20">
        <v>364444.91700000002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B28" s="23"/>
      <c r="C28" s="23"/>
      <c r="D28" s="23"/>
      <c r="I28" s="33"/>
      <c r="J28" s="33">
        <v>321.76400000000001</v>
      </c>
      <c r="K28" s="20"/>
      <c r="L28" s="20"/>
      <c r="M28" s="20">
        <v>7549.7120000000004</v>
      </c>
      <c r="N28" s="20"/>
      <c r="O28" s="20">
        <v>7588.6918499999992</v>
      </c>
      <c r="P28" s="20"/>
      <c r="Q28" s="20"/>
      <c r="R28" s="66">
        <v>18248.172999999999</v>
      </c>
      <c r="S28" s="20">
        <v>13595.571</v>
      </c>
      <c r="T28" s="82">
        <v>32169.273000000001</v>
      </c>
      <c r="U28" s="20">
        <v>29191.126</v>
      </c>
      <c r="V28" s="20">
        <v>5018.9219999999996</v>
      </c>
      <c r="W28" s="33">
        <v>15233.498</v>
      </c>
      <c r="X28" s="33">
        <v>23186.017</v>
      </c>
      <c r="Y28" s="33">
        <v>40399.894</v>
      </c>
      <c r="Z28" s="33">
        <v>40512.25</v>
      </c>
      <c r="AA28" s="33">
        <v>30077.528999999999</v>
      </c>
      <c r="AB28" s="33">
        <v>39756.694000000003</v>
      </c>
      <c r="AC28" s="33">
        <v>29201</v>
      </c>
      <c r="AD28" s="20">
        <v>22925.363000000001</v>
      </c>
      <c r="AE28" s="20">
        <v>15595.802</v>
      </c>
      <c r="AF28" s="20">
        <v>50045.364999999998</v>
      </c>
      <c r="AG28" s="20">
        <v>20633.8</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B29" s="23"/>
      <c r="C29" s="23"/>
      <c r="D29" s="23"/>
      <c r="I29" s="33"/>
      <c r="J29" s="33">
        <v>1630.529</v>
      </c>
      <c r="K29" s="20"/>
      <c r="L29" s="20"/>
      <c r="M29" s="20">
        <v>1855.5519999999999</v>
      </c>
      <c r="N29" s="20"/>
      <c r="O29" s="20">
        <v>1899.4369999999999</v>
      </c>
      <c r="P29" s="20"/>
      <c r="Q29" s="20"/>
      <c r="R29" s="66">
        <v>2422.395</v>
      </c>
      <c r="S29" s="20">
        <v>2651.192</v>
      </c>
      <c r="T29" s="82">
        <v>5026.0720000000001</v>
      </c>
      <c r="U29" s="20">
        <v>11465.476000000001</v>
      </c>
      <c r="V29" s="20">
        <v>9270.7369999999992</v>
      </c>
      <c r="W29" s="33">
        <v>7786.9620000000004</v>
      </c>
      <c r="X29" s="33">
        <v>6540.2659999999996</v>
      </c>
      <c r="Y29" s="33">
        <v>13563.102999999999</v>
      </c>
      <c r="Z29" s="33">
        <v>10507.754000000001</v>
      </c>
      <c r="AA29" s="33">
        <v>6667.3950000000004</v>
      </c>
      <c r="AB29" s="33">
        <v>10393.541999999999</v>
      </c>
      <c r="AC29" s="33">
        <v>11098</v>
      </c>
      <c r="AD29" s="20">
        <v>1568.7909999999999</v>
      </c>
      <c r="AE29" s="20">
        <v>7389.2349999999997</v>
      </c>
      <c r="AF29" s="20">
        <v>5669.7560000000003</v>
      </c>
      <c r="AG29" s="20">
        <v>1859.9929999999999</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B30" s="23"/>
      <c r="C30" s="23"/>
      <c r="D30" s="23"/>
      <c r="I30" s="33"/>
      <c r="J30" s="33">
        <v>7790.1270000000004</v>
      </c>
      <c r="K30" s="20"/>
      <c r="L30" s="20"/>
      <c r="M30" s="20">
        <v>8525.8189999999995</v>
      </c>
      <c r="N30" s="20"/>
      <c r="O30" s="20">
        <v>10487.773999999999</v>
      </c>
      <c r="P30" s="20"/>
      <c r="Q30" s="20"/>
      <c r="R30" s="66">
        <v>12720.572</v>
      </c>
      <c r="S30" s="20">
        <v>14082.683000000001</v>
      </c>
      <c r="T30" s="82">
        <v>12577.671</v>
      </c>
      <c r="U30" s="20">
        <v>12963.575999999999</v>
      </c>
      <c r="V30" s="20">
        <v>8010.4949999999999</v>
      </c>
      <c r="W30" s="33">
        <v>6333.5290000000005</v>
      </c>
      <c r="X30" s="33">
        <v>9555.3909999999996</v>
      </c>
      <c r="Y30" s="33">
        <v>19947.081999999999</v>
      </c>
      <c r="Z30" s="33">
        <v>16028.253000000001</v>
      </c>
      <c r="AA30" s="33">
        <v>8219.4470000000001</v>
      </c>
      <c r="AB30" s="33">
        <v>5049.3810000000003</v>
      </c>
      <c r="AC30" s="33">
        <v>2667</v>
      </c>
      <c r="AD30" s="20">
        <v>47.945</v>
      </c>
      <c r="AE30" s="20">
        <v>5657.5690000000004</v>
      </c>
      <c r="AF30" s="20">
        <v>2408.6010000000001</v>
      </c>
      <c r="AG30" s="20">
        <v>2451.0700000000002</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B31" s="23"/>
      <c r="C31" s="23"/>
      <c r="D31" s="23"/>
      <c r="I31" s="33"/>
      <c r="J31" s="33">
        <v>215.41200000000001</v>
      </c>
      <c r="K31" s="20"/>
      <c r="L31" s="20"/>
      <c r="M31" s="20">
        <v>118.625</v>
      </c>
      <c r="N31" s="20"/>
      <c r="O31" s="20">
        <v>176.68199999999999</v>
      </c>
      <c r="P31" s="20"/>
      <c r="Q31" s="20"/>
      <c r="R31" s="90">
        <v>168.22</v>
      </c>
      <c r="S31" s="20">
        <v>213.69</v>
      </c>
      <c r="T31" s="82">
        <v>2779.3519999999999</v>
      </c>
      <c r="U31" s="20">
        <v>3563.0819999999999</v>
      </c>
      <c r="V31" s="20">
        <v>2641.9659999999999</v>
      </c>
      <c r="W31" s="33">
        <v>7727.3040000000001</v>
      </c>
      <c r="X31" s="33">
        <v>13133.290999999999</v>
      </c>
      <c r="Y31" s="33">
        <v>18114.341</v>
      </c>
      <c r="Z31" s="33">
        <v>9846.4339999999993</v>
      </c>
      <c r="AA31" s="33">
        <v>1980.7380000000001</v>
      </c>
      <c r="AB31" s="33">
        <v>6415.6729999999998</v>
      </c>
      <c r="AC31" s="33">
        <v>9394</v>
      </c>
      <c r="AD31" s="20">
        <v>5839.0240000000003</v>
      </c>
      <c r="AE31" s="20">
        <v>5123.3119999999999</v>
      </c>
      <c r="AF31" s="20">
        <v>10624.316000000001</v>
      </c>
      <c r="AG31" s="20">
        <v>5554.5950000000003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B32" s="23"/>
      <c r="C32" s="23"/>
      <c r="D32" s="23"/>
      <c r="I32" s="33"/>
      <c r="J32" s="33">
        <v>1778.8610000000001</v>
      </c>
      <c r="K32" s="20"/>
      <c r="L32" s="20"/>
      <c r="M32" s="20">
        <v>1328.2180000000001</v>
      </c>
      <c r="N32" s="20"/>
      <c r="O32" s="20">
        <v>2404.444</v>
      </c>
      <c r="P32" s="20"/>
      <c r="Q32" s="20"/>
      <c r="R32" s="92">
        <v>4278.143</v>
      </c>
      <c r="S32" s="20">
        <v>4116.3220000000001</v>
      </c>
      <c r="T32" s="82">
        <v>-3648.9920000000002</v>
      </c>
      <c r="U32" s="20">
        <v>11164.697</v>
      </c>
      <c r="V32" s="20">
        <v>38640.01</v>
      </c>
      <c r="W32" s="33">
        <v>37383.546999999999</v>
      </c>
      <c r="X32" s="33">
        <v>46694.904999999999</v>
      </c>
      <c r="Y32" s="33">
        <v>75979.282000000007</v>
      </c>
      <c r="Z32" s="33">
        <v>4253.95</v>
      </c>
      <c r="AA32" s="33">
        <v>-63664.116999999998</v>
      </c>
      <c r="AB32" s="33">
        <v>45929.620999999999</v>
      </c>
      <c r="AC32" s="33">
        <v>65673</v>
      </c>
      <c r="AD32" s="20">
        <v>11599.784</v>
      </c>
      <c r="AE32" s="20">
        <v>53723.696000000004</v>
      </c>
      <c r="AF32" s="20">
        <v>79585.714000000007</v>
      </c>
      <c r="AG32" s="20">
        <v>2683.723</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B33" s="23"/>
      <c r="C33" s="23"/>
      <c r="D33" s="23"/>
      <c r="I33" s="33"/>
      <c r="J33" s="33">
        <v>2253.125</v>
      </c>
      <c r="K33" s="20"/>
      <c r="L33" s="20"/>
      <c r="M33" s="20">
        <v>7296.5510000000004</v>
      </c>
      <c r="N33" s="20"/>
      <c r="O33" s="20">
        <v>9416.064910000001</v>
      </c>
      <c r="P33" s="20"/>
      <c r="Q33" s="20"/>
      <c r="R33" s="92">
        <v>9834.1820000000007</v>
      </c>
      <c r="S33" s="20">
        <v>10672.11</v>
      </c>
      <c r="T33" s="82">
        <v>4401.8209999999999</v>
      </c>
      <c r="U33" s="20">
        <v>22514.911</v>
      </c>
      <c r="V33" s="20">
        <v>49445.487000000001</v>
      </c>
      <c r="W33" s="33">
        <v>40841.214</v>
      </c>
      <c r="X33" s="33">
        <v>57193.574999999997</v>
      </c>
      <c r="Y33" s="33">
        <v>102353.58100000001</v>
      </c>
      <c r="Z33" s="33">
        <v>23859.212</v>
      </c>
      <c r="AA33" s="33">
        <v>-81399.807000000001</v>
      </c>
      <c r="AB33" s="33">
        <v>59684.258000000002</v>
      </c>
      <c r="AC33" s="33">
        <v>79484</v>
      </c>
      <c r="AD33" s="20">
        <v>15982.378000000001</v>
      </c>
      <c r="AE33" s="20">
        <v>58487.167999999998</v>
      </c>
      <c r="AF33" s="20">
        <v>85625.728000000003</v>
      </c>
      <c r="AG33" s="20">
        <v>13649.481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B34" s="23"/>
      <c r="C34" s="23"/>
      <c r="D34" s="23"/>
      <c r="I34" s="33"/>
      <c r="J34" s="33">
        <v>5624.8230000000003</v>
      </c>
      <c r="K34" s="20"/>
      <c r="L34" s="20"/>
      <c r="M34" s="20">
        <v>5146.9279999999999</v>
      </c>
      <c r="N34" s="20"/>
      <c r="O34" s="20">
        <v>3661.12</v>
      </c>
      <c r="P34" s="20"/>
      <c r="Q34" s="20"/>
      <c r="R34" s="66">
        <v>4309.1469999999999</v>
      </c>
      <c r="S34" s="20">
        <v>4521.3630000000003</v>
      </c>
      <c r="T34" s="82">
        <v>10082.364</v>
      </c>
      <c r="U34" s="20">
        <v>35688.231</v>
      </c>
      <c r="V34" s="20">
        <v>55877.114999999998</v>
      </c>
      <c r="W34" s="33">
        <v>62144.428999999996</v>
      </c>
      <c r="X34" s="33">
        <v>75237.076000000001</v>
      </c>
      <c r="Y34" s="33">
        <v>110895.80899999999</v>
      </c>
      <c r="Z34" s="33">
        <v>40301.118999999999</v>
      </c>
      <c r="AA34" s="33">
        <v>8301.5540000000001</v>
      </c>
      <c r="AB34" s="33">
        <v>80250.899000000005</v>
      </c>
      <c r="AC34" s="33">
        <v>112346</v>
      </c>
      <c r="AD34" s="20">
        <v>38946.803999999996</v>
      </c>
      <c r="AE34" s="20">
        <v>86810.081000000006</v>
      </c>
      <c r="AF34" s="20">
        <v>135500.193</v>
      </c>
      <c r="AG34" s="20">
        <v>36258.095000000001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B35" s="23"/>
      <c r="C35" s="23"/>
      <c r="D35" s="23"/>
      <c r="I35" s="33"/>
      <c r="J35" s="33">
        <v>9116.8819999999996</v>
      </c>
      <c r="K35" s="20"/>
      <c r="L35" s="20"/>
      <c r="M35" s="20">
        <v>9780.634</v>
      </c>
      <c r="N35" s="20"/>
      <c r="O35" s="20">
        <v>13611.245999999999</v>
      </c>
      <c r="P35" s="20"/>
      <c r="Q35" s="20"/>
      <c r="R35" s="66">
        <v>15098.885</v>
      </c>
      <c r="S35" s="20">
        <v>17986.205999999998</v>
      </c>
      <c r="T35" s="82">
        <v>-2366.4110000000001</v>
      </c>
      <c r="U35" s="20">
        <v>36857.300999999999</v>
      </c>
      <c r="V35" s="20">
        <v>76698.032999999996</v>
      </c>
      <c r="W35" s="33">
        <v>71199.543000000005</v>
      </c>
      <c r="X35" s="33">
        <v>87797.445999999996</v>
      </c>
      <c r="Y35" s="33">
        <v>171209.22700000001</v>
      </c>
      <c r="Z35" s="33">
        <v>36936.008000000002</v>
      </c>
      <c r="AA35" s="33">
        <v>-56328.224000000002</v>
      </c>
      <c r="AB35" s="33">
        <v>90812.788</v>
      </c>
      <c r="AC35" s="33">
        <v>138054</v>
      </c>
      <c r="AD35" s="20">
        <v>38480.42</v>
      </c>
      <c r="AE35" s="20">
        <v>76688.031000000003</v>
      </c>
      <c r="AF35" s="20">
        <v>146427.87100000001</v>
      </c>
      <c r="AG35" s="20">
        <v>60300.434999999998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B36" s="23"/>
      <c r="C36" s="23"/>
      <c r="D36" s="23"/>
      <c r="I36" s="33"/>
      <c r="J36" s="33">
        <v>5611.0290000000005</v>
      </c>
      <c r="K36" s="20"/>
      <c r="L36" s="20"/>
      <c r="M36" s="20">
        <v>11602.298000000001</v>
      </c>
      <c r="N36" s="20"/>
      <c r="O36" s="20">
        <v>12710.632</v>
      </c>
      <c r="P36" s="20"/>
      <c r="Q36" s="20"/>
      <c r="R36" s="66">
        <v>21512.09</v>
      </c>
      <c r="S36" s="20">
        <v>24861.598000000002</v>
      </c>
      <c r="T36" s="82">
        <v>95743.312999999995</v>
      </c>
      <c r="U36" s="20">
        <v>148794.4</v>
      </c>
      <c r="V36" s="20">
        <v>281255.99300000002</v>
      </c>
      <c r="W36" s="33">
        <v>278085.73700000002</v>
      </c>
      <c r="X36" s="33">
        <v>341009.85100000002</v>
      </c>
      <c r="Y36" s="33">
        <v>586887.027</v>
      </c>
      <c r="Z36" s="33">
        <v>164726.42499999999</v>
      </c>
      <c r="AA36" s="33">
        <v>-436963.75699999998</v>
      </c>
      <c r="AB36" s="33">
        <v>380531.951</v>
      </c>
      <c r="AC36" s="33">
        <v>457600</v>
      </c>
      <c r="AD36" s="20">
        <v>92660.172999999995</v>
      </c>
      <c r="AE36" s="20">
        <v>398838.10800000001</v>
      </c>
      <c r="AF36" s="20">
        <v>570124.67200000002</v>
      </c>
      <c r="AG36" s="20">
        <v>284877.25300000003</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94"/>
      <c r="C37" s="94"/>
      <c r="D37" s="94"/>
      <c r="E37" s="64"/>
      <c r="F37" s="64"/>
      <c r="G37" s="64"/>
      <c r="H37" s="64"/>
      <c r="I37" s="50"/>
      <c r="J37" s="50">
        <v>2989.7440000000001</v>
      </c>
      <c r="K37" s="51"/>
      <c r="L37" s="51"/>
      <c r="M37" s="51">
        <v>2718.069</v>
      </c>
      <c r="N37" s="51"/>
      <c r="O37" s="51">
        <v>2493.6080000000002</v>
      </c>
      <c r="P37" s="51"/>
      <c r="Q37" s="51"/>
      <c r="R37" s="67">
        <v>3040.424</v>
      </c>
      <c r="S37" s="51">
        <v>2781.9789999999998</v>
      </c>
      <c r="T37" s="113">
        <v>1737.48</v>
      </c>
      <c r="U37" s="51">
        <v>6264.3270000000002</v>
      </c>
      <c r="V37" s="51">
        <v>12403.475</v>
      </c>
      <c r="W37" s="50">
        <v>10728.661</v>
      </c>
      <c r="X37" s="50">
        <v>21219.234</v>
      </c>
      <c r="Y37" s="50">
        <v>24413.040000000001</v>
      </c>
      <c r="Z37" s="50">
        <v>5175.7370000000001</v>
      </c>
      <c r="AA37" s="50">
        <v>-25736.657999999999</v>
      </c>
      <c r="AB37" s="50">
        <v>16554.523000000001</v>
      </c>
      <c r="AC37" s="50">
        <v>30712</v>
      </c>
      <c r="AD37" s="51">
        <v>1945.79</v>
      </c>
      <c r="AE37" s="51">
        <v>19825.903999999999</v>
      </c>
      <c r="AF37" s="51">
        <v>29461.103999999999</v>
      </c>
      <c r="AG37" s="51">
        <v>6068.0129999999999</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84"/>
      <c r="C38" s="84"/>
      <c r="D38" s="84"/>
      <c r="I38" s="104"/>
      <c r="J38" s="104">
        <f>SUM(J40:J51)</f>
        <v>134004.451</v>
      </c>
      <c r="M38" s="104">
        <f>SUM(M40:M51)</f>
        <v>159966.16700000002</v>
      </c>
      <c r="O38" s="104">
        <f>SUM(O40:O51)</f>
        <v>191643.57227999999</v>
      </c>
      <c r="R38" s="104">
        <f t="shared" ref="R38:AG38" si="12">SUM(R40:R51)</f>
        <v>269691.75099999999</v>
      </c>
      <c r="S38" s="104">
        <f t="shared" si="12"/>
        <v>328745.60000000003</v>
      </c>
      <c r="T38" s="114">
        <f t="shared" si="12"/>
        <v>327710.39399999997</v>
      </c>
      <c r="U38" s="104">
        <f t="shared" si="12"/>
        <v>802509.03299999994</v>
      </c>
      <c r="V38" s="104">
        <f t="shared" si="12"/>
        <v>1878305.7210000004</v>
      </c>
      <c r="W38" s="104">
        <f t="shared" si="12"/>
        <v>1922293.5459999996</v>
      </c>
      <c r="X38" s="104">
        <f t="shared" si="12"/>
        <v>2268021.1799999997</v>
      </c>
      <c r="Y38" s="104">
        <f t="shared" si="12"/>
        <v>3823988.2759999996</v>
      </c>
      <c r="Z38" s="104">
        <f t="shared" si="12"/>
        <v>816256.98199999996</v>
      </c>
      <c r="AA38" s="104">
        <f t="shared" si="12"/>
        <v>-3636329.6120000002</v>
      </c>
      <c r="AB38" s="104">
        <f t="shared" si="12"/>
        <v>2378594.8909999998</v>
      </c>
      <c r="AC38" s="104">
        <f t="shared" si="12"/>
        <v>3921179</v>
      </c>
      <c r="AD38" s="104">
        <f t="shared" si="12"/>
        <v>500120.48500000004</v>
      </c>
      <c r="AE38" s="104">
        <f t="shared" si="12"/>
        <v>2443374.0690000006</v>
      </c>
      <c r="AF38" s="104">
        <f t="shared" si="12"/>
        <v>4225587.8739999989</v>
      </c>
      <c r="AG38" s="104">
        <f t="shared" si="12"/>
        <v>1046747.1410000001</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B39" s="84"/>
      <c r="C39" s="84"/>
      <c r="D39" s="84"/>
      <c r="T39" s="115"/>
      <c r="W39" s="91"/>
      <c r="X39" s="91"/>
      <c r="Y39" s="91"/>
      <c r="Z39" s="91"/>
      <c r="AA39" s="91">
        <v>0</v>
      </c>
      <c r="AB39" s="91"/>
      <c r="AC39" s="91"/>
      <c r="AD39" s="65">
        <v>0</v>
      </c>
      <c r="AF39" s="20">
        <v>0</v>
      </c>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B40" s="23"/>
      <c r="C40" s="23"/>
      <c r="D40" s="23"/>
      <c r="I40" s="33"/>
      <c r="J40" s="33">
        <v>2996.2060000000001</v>
      </c>
      <c r="K40" s="20"/>
      <c r="L40" s="20"/>
      <c r="M40" s="20">
        <v>3842.8270000000002</v>
      </c>
      <c r="N40" s="20"/>
      <c r="O40" s="20">
        <v>5054.7</v>
      </c>
      <c r="P40" s="20"/>
      <c r="Q40" s="20"/>
      <c r="R40" s="66">
        <v>5709.8770000000004</v>
      </c>
      <c r="S40" s="20">
        <v>7045.5110000000004</v>
      </c>
      <c r="T40" s="82">
        <v>30671.96</v>
      </c>
      <c r="U40" s="20">
        <v>30939.067999999999</v>
      </c>
      <c r="V40" s="20">
        <v>11816.462</v>
      </c>
      <c r="W40" s="33">
        <v>31743.874</v>
      </c>
      <c r="X40" s="33">
        <v>43014.684999999998</v>
      </c>
      <c r="Y40" s="33">
        <v>105086.77099999999</v>
      </c>
      <c r="Z40" s="33">
        <v>29656.751</v>
      </c>
      <c r="AA40" s="33">
        <v>4539.8950000000004</v>
      </c>
      <c r="AB40" s="33">
        <v>53169.470999999998</v>
      </c>
      <c r="AC40" s="33">
        <v>18802</v>
      </c>
      <c r="AD40" s="20">
        <v>23456.606</v>
      </c>
      <c r="AE40" s="20">
        <v>38203.584999999999</v>
      </c>
      <c r="AF40" s="20">
        <v>27976.273000000001</v>
      </c>
      <c r="AG40" s="20">
        <v>44511.775999999998</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B41" s="23"/>
      <c r="C41" s="23"/>
      <c r="D41" s="23"/>
      <c r="I41" s="33"/>
      <c r="J41" s="33">
        <v>7864.44</v>
      </c>
      <c r="K41" s="20"/>
      <c r="L41" s="20"/>
      <c r="M41" s="20">
        <v>7385.9539999999997</v>
      </c>
      <c r="N41" s="20"/>
      <c r="O41" s="20">
        <v>8564.6630000000005</v>
      </c>
      <c r="P41" s="20"/>
      <c r="Q41" s="20"/>
      <c r="R41" s="66">
        <v>12968.828</v>
      </c>
      <c r="S41" s="20">
        <v>16266.966</v>
      </c>
      <c r="T41" s="82">
        <v>27480.964</v>
      </c>
      <c r="U41" s="20">
        <v>94023.695000000007</v>
      </c>
      <c r="V41" s="20">
        <v>142450.47500000001</v>
      </c>
      <c r="W41" s="33">
        <v>176571.74600000001</v>
      </c>
      <c r="X41" s="33">
        <v>164715.731</v>
      </c>
      <c r="Y41" s="33">
        <v>332054.22700000001</v>
      </c>
      <c r="Z41" s="33">
        <v>105414.694</v>
      </c>
      <c r="AA41" s="33">
        <v>-160912.492</v>
      </c>
      <c r="AB41" s="33">
        <v>334088.73200000002</v>
      </c>
      <c r="AC41" s="33">
        <v>369343</v>
      </c>
      <c r="AD41" s="20">
        <v>103986.61500000001</v>
      </c>
      <c r="AE41" s="20">
        <v>199377.166</v>
      </c>
      <c r="AF41" s="20">
        <v>386992.38199999998</v>
      </c>
      <c r="AG41" s="20">
        <v>87636.178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B42" s="23"/>
      <c r="C42" s="23"/>
      <c r="D42" s="23"/>
      <c r="I42" s="33"/>
      <c r="J42" s="33">
        <v>1232.8440000000001</v>
      </c>
      <c r="K42" s="20"/>
      <c r="L42" s="20"/>
      <c r="M42" s="20">
        <v>1182.4570000000001</v>
      </c>
      <c r="N42" s="20"/>
      <c r="O42" s="20">
        <v>3658.97</v>
      </c>
      <c r="P42" s="20"/>
      <c r="Q42" s="20"/>
      <c r="R42" s="66">
        <v>8134.5789999999997</v>
      </c>
      <c r="S42" s="20">
        <v>6690.6360000000004</v>
      </c>
      <c r="T42" s="82">
        <v>13088.691000000001</v>
      </c>
      <c r="U42" s="20">
        <v>48925.773000000001</v>
      </c>
      <c r="V42" s="20">
        <v>46998.483999999997</v>
      </c>
      <c r="W42" s="33">
        <v>49265.667999999998</v>
      </c>
      <c r="X42" s="33">
        <v>58213.103000000003</v>
      </c>
      <c r="Y42" s="33">
        <v>115850.647</v>
      </c>
      <c r="Z42" s="33">
        <v>24641.458999999999</v>
      </c>
      <c r="AA42" s="33">
        <v>-61644.608999999997</v>
      </c>
      <c r="AB42" s="33">
        <v>97517.964000000007</v>
      </c>
      <c r="AC42" s="33">
        <v>140608</v>
      </c>
      <c r="AD42" s="20">
        <v>75612.92</v>
      </c>
      <c r="AE42" s="20">
        <v>92287.365000000005</v>
      </c>
      <c r="AF42" s="20">
        <v>166022.39799999999</v>
      </c>
      <c r="AG42" s="20">
        <v>24290.473000000002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B43" s="23"/>
      <c r="C43" s="23"/>
      <c r="D43" s="23"/>
      <c r="I43" s="33"/>
      <c r="J43" s="33">
        <v>29425.762999999999</v>
      </c>
      <c r="K43" s="20"/>
      <c r="L43" s="20"/>
      <c r="M43" s="20">
        <v>32961.574000000001</v>
      </c>
      <c r="N43" s="20"/>
      <c r="O43" s="20">
        <v>34879.567999999999</v>
      </c>
      <c r="P43" s="20"/>
      <c r="Q43" s="20"/>
      <c r="R43" s="66">
        <v>52753.868999999999</v>
      </c>
      <c r="S43" s="20">
        <v>59785.449000000001</v>
      </c>
      <c r="T43" s="82">
        <v>7936.8689999999997</v>
      </c>
      <c r="U43" s="20">
        <v>5012.4390000000003</v>
      </c>
      <c r="V43" s="20">
        <v>14177.573</v>
      </c>
      <c r="W43" s="33">
        <v>14858.594999999999</v>
      </c>
      <c r="X43" s="33">
        <v>26777.463</v>
      </c>
      <c r="Y43" s="33">
        <v>37467.870999999999</v>
      </c>
      <c r="Z43" s="33">
        <v>15547.541999999999</v>
      </c>
      <c r="AA43" s="33">
        <v>-10339.413</v>
      </c>
      <c r="AB43" s="33">
        <v>31285.554</v>
      </c>
      <c r="AC43" s="33">
        <v>35661</v>
      </c>
      <c r="AD43" s="20">
        <v>5042.87</v>
      </c>
      <c r="AE43" s="20">
        <v>23186.288</v>
      </c>
      <c r="AF43" s="20">
        <v>28054.965</v>
      </c>
      <c r="AG43" s="20">
        <v>5034.7730000000001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B44" s="23"/>
      <c r="C44" s="23"/>
      <c r="D44" s="23"/>
      <c r="I44" s="33"/>
      <c r="J44" s="33">
        <v>23942.951000000001</v>
      </c>
      <c r="K44" s="20"/>
      <c r="L44" s="20"/>
      <c r="M44" s="20">
        <v>29642.994999999999</v>
      </c>
      <c r="N44" s="20"/>
      <c r="O44" s="20">
        <v>46425.470999999998</v>
      </c>
      <c r="P44" s="20"/>
      <c r="Q44" s="20"/>
      <c r="R44" s="66">
        <v>55283.298999999999</v>
      </c>
      <c r="S44" s="20">
        <v>96982.104000000007</v>
      </c>
      <c r="T44" s="82">
        <v>308062.94</v>
      </c>
      <c r="U44" s="20">
        <v>362804.98800000001</v>
      </c>
      <c r="V44" s="20">
        <v>917430.86</v>
      </c>
      <c r="W44" s="33">
        <v>1098159.9029999999</v>
      </c>
      <c r="X44" s="33">
        <v>1198735.2439999999</v>
      </c>
      <c r="Y44" s="33">
        <v>1973811.074</v>
      </c>
      <c r="Z44" s="33">
        <v>676742.25899999996</v>
      </c>
      <c r="AA44" s="33">
        <v>-2130926.6090000002</v>
      </c>
      <c r="AB44" s="33">
        <v>1069294.334</v>
      </c>
      <c r="AC44" s="33">
        <v>2049145</v>
      </c>
      <c r="AD44" s="20">
        <v>122119.02099999999</v>
      </c>
      <c r="AE44" s="20">
        <v>1125220.469</v>
      </c>
      <c r="AF44" s="20">
        <v>2131258.6439999999</v>
      </c>
      <c r="AG44" s="20">
        <v>478250.68</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B45" s="23"/>
      <c r="C45" s="23"/>
      <c r="D45" s="23"/>
      <c r="I45" s="33"/>
      <c r="J45" s="33">
        <v>11603.161</v>
      </c>
      <c r="K45" s="20"/>
      <c r="L45" s="20"/>
      <c r="M45" s="20">
        <v>10967.191000000001</v>
      </c>
      <c r="N45" s="20"/>
      <c r="O45" s="20">
        <v>9882.1470000000008</v>
      </c>
      <c r="P45" s="20"/>
      <c r="Q45" s="20"/>
      <c r="R45" s="66">
        <v>15917.772000000001</v>
      </c>
      <c r="S45" s="20">
        <v>16910.490000000002</v>
      </c>
      <c r="T45" s="82">
        <v>-56563.228999999999</v>
      </c>
      <c r="U45" s="20">
        <v>26699.531999999999</v>
      </c>
      <c r="V45" s="20">
        <v>31209.18</v>
      </c>
      <c r="W45" s="33">
        <v>35442.728000000003</v>
      </c>
      <c r="X45" s="33">
        <v>42711.917000000001</v>
      </c>
      <c r="Y45" s="33">
        <v>64347.23</v>
      </c>
      <c r="Z45" s="33">
        <v>47355.106</v>
      </c>
      <c r="AA45" s="33">
        <v>-264547.40299999999</v>
      </c>
      <c r="AB45" s="33">
        <v>58597.262999999999</v>
      </c>
      <c r="AC45" s="33">
        <v>184531</v>
      </c>
      <c r="AD45" s="20">
        <v>39481.39</v>
      </c>
      <c r="AE45" s="20">
        <v>126033.601</v>
      </c>
      <c r="AF45" s="20">
        <v>237975.12100000001</v>
      </c>
      <c r="AG45" s="20">
        <v>85067.748999999996</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B46" s="23"/>
      <c r="C46" s="23"/>
      <c r="D46" s="23"/>
      <c r="I46" s="33"/>
      <c r="J46" s="33">
        <v>8683.1630000000005</v>
      </c>
      <c r="K46" s="20"/>
      <c r="L46" s="20"/>
      <c r="M46" s="20">
        <v>9245.7199999999993</v>
      </c>
      <c r="N46" s="20"/>
      <c r="O46" s="20">
        <v>13829.495999999999</v>
      </c>
      <c r="P46" s="20"/>
      <c r="Q46" s="20"/>
      <c r="R46" s="66">
        <v>20578.955999999998</v>
      </c>
      <c r="S46" s="20">
        <v>37828.298999999999</v>
      </c>
      <c r="T46" s="82">
        <v>45730.834000000003</v>
      </c>
      <c r="U46" s="20">
        <v>53744.025000000001</v>
      </c>
      <c r="V46" s="20">
        <v>99608.985000000001</v>
      </c>
      <c r="W46" s="33">
        <v>77996.237999999998</v>
      </c>
      <c r="X46" s="33">
        <v>109560.732</v>
      </c>
      <c r="Y46" s="33">
        <v>174928.95699999999</v>
      </c>
      <c r="Z46" s="33">
        <v>33890.786</v>
      </c>
      <c r="AA46" s="33">
        <v>-104719.52899999999</v>
      </c>
      <c r="AB46" s="33">
        <v>124860.444</v>
      </c>
      <c r="AC46" s="33">
        <v>187891</v>
      </c>
      <c r="AD46" s="20">
        <v>25865.637999999999</v>
      </c>
      <c r="AE46" s="20">
        <v>136299.43299999999</v>
      </c>
      <c r="AF46" s="20">
        <v>197086.72200000001</v>
      </c>
      <c r="AG46" s="20">
        <v>44376.415999999997</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B47" s="23"/>
      <c r="C47" s="23"/>
      <c r="D47" s="23"/>
      <c r="I47" s="33"/>
      <c r="J47" s="33">
        <v>2717.6</v>
      </c>
      <c r="K47" s="20"/>
      <c r="L47" s="20"/>
      <c r="M47" s="20">
        <v>3192.8029999999999</v>
      </c>
      <c r="N47" s="20"/>
      <c r="O47" s="20">
        <v>3008.174</v>
      </c>
      <c r="P47" s="20"/>
      <c r="Q47" s="20"/>
      <c r="R47" s="92">
        <v>3323.2910000000002</v>
      </c>
      <c r="S47" s="20">
        <v>4124.8339999999998</v>
      </c>
      <c r="T47" s="82">
        <v>14446.695</v>
      </c>
      <c r="U47" s="20">
        <v>3035.0149999999999</v>
      </c>
      <c r="V47" s="20">
        <v>29216.053</v>
      </c>
      <c r="W47" s="33">
        <v>25783.348999999998</v>
      </c>
      <c r="X47" s="33">
        <v>44922.686000000002</v>
      </c>
      <c r="Y47" s="33">
        <v>47578.98</v>
      </c>
      <c r="Z47" s="33">
        <v>40157.535000000003</v>
      </c>
      <c r="AA47" s="33">
        <v>15552.775</v>
      </c>
      <c r="AB47" s="33">
        <v>17200.352999999999</v>
      </c>
      <c r="AC47" s="33">
        <v>30229</v>
      </c>
      <c r="AD47" s="20">
        <v>22474.827000000001</v>
      </c>
      <c r="AE47" s="20">
        <v>25001.433000000001</v>
      </c>
      <c r="AF47" s="20">
        <v>15368.307000000001</v>
      </c>
      <c r="AG47" s="20">
        <v>27968.721000000001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B48" s="23"/>
      <c r="C48" s="23"/>
      <c r="D48" s="23"/>
      <c r="I48" s="33"/>
      <c r="J48" s="33">
        <v>2310.0549999999998</v>
      </c>
      <c r="K48" s="20"/>
      <c r="L48" s="20"/>
      <c r="M48" s="20">
        <v>2388.0010000000002</v>
      </c>
      <c r="N48" s="20"/>
      <c r="O48" s="20">
        <v>2818.183</v>
      </c>
      <c r="P48" s="20"/>
      <c r="Q48" s="20"/>
      <c r="R48" s="66">
        <v>4368.6620000000003</v>
      </c>
      <c r="S48" s="20">
        <v>4311.7870000000003</v>
      </c>
      <c r="T48" s="82">
        <v>5253.6090000000004</v>
      </c>
      <c r="U48" s="20">
        <v>4520.2969999999996</v>
      </c>
      <c r="V48" s="20">
        <v>6596.7520000000004</v>
      </c>
      <c r="W48" s="33">
        <v>5320.7879999999996</v>
      </c>
      <c r="X48" s="33">
        <v>6831.4669999999996</v>
      </c>
      <c r="Y48" s="33">
        <v>13706.415000000001</v>
      </c>
      <c r="Z48" s="33">
        <v>7156.56</v>
      </c>
      <c r="AA48" s="33">
        <v>4297.91</v>
      </c>
      <c r="AB48" s="33">
        <v>8125.91</v>
      </c>
      <c r="AC48" s="33">
        <v>9932</v>
      </c>
      <c r="AD48" s="20">
        <v>3994.511</v>
      </c>
      <c r="AE48" s="20">
        <v>5993.518</v>
      </c>
      <c r="AF48" s="20">
        <v>7452.8429999999998</v>
      </c>
      <c r="AG48" s="20">
        <v>4539.3100000000004</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B49" s="23"/>
      <c r="C49" s="23"/>
      <c r="D49" s="23"/>
      <c r="I49" s="33"/>
      <c r="J49" s="33">
        <v>33611.807000000001</v>
      </c>
      <c r="K49" s="20"/>
      <c r="L49" s="20"/>
      <c r="M49" s="20">
        <v>43153.845999999998</v>
      </c>
      <c r="N49" s="20"/>
      <c r="O49" s="20">
        <v>49948.544000000002</v>
      </c>
      <c r="P49" s="20"/>
      <c r="Q49" s="20"/>
      <c r="R49" s="66">
        <v>77249.558000000005</v>
      </c>
      <c r="S49" s="20">
        <v>64135.502999999997</v>
      </c>
      <c r="T49" s="82">
        <v>-56568.826000000001</v>
      </c>
      <c r="U49" s="20">
        <v>158524.42499999999</v>
      </c>
      <c r="V49" s="20">
        <v>536616.08400000003</v>
      </c>
      <c r="W49" s="33">
        <v>367420.01199999999</v>
      </c>
      <c r="X49" s="33">
        <v>521083.41700000002</v>
      </c>
      <c r="Y49" s="33">
        <v>883951.00600000005</v>
      </c>
      <c r="Z49" s="33">
        <v>-180149.15700000001</v>
      </c>
      <c r="AA49" s="33">
        <v>-888647.69700000004</v>
      </c>
      <c r="AB49" s="33">
        <v>541492.4</v>
      </c>
      <c r="AC49" s="33">
        <v>829207</v>
      </c>
      <c r="AD49" s="20">
        <v>70511.091</v>
      </c>
      <c r="AE49" s="20">
        <v>631533.04700000002</v>
      </c>
      <c r="AF49" s="20">
        <v>966317.68799999997</v>
      </c>
      <c r="AG49" s="20">
        <v>238024.785</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B50" s="23"/>
      <c r="C50" s="23"/>
      <c r="D50" s="23"/>
      <c r="I50" s="33"/>
      <c r="J50" s="33">
        <v>33.061999999999998</v>
      </c>
      <c r="K50" s="20"/>
      <c r="L50" s="20"/>
      <c r="M50" s="20">
        <v>1033.0239999999999</v>
      </c>
      <c r="N50" s="20"/>
      <c r="O50" s="20">
        <v>1147.3382799999999</v>
      </c>
      <c r="P50" s="20"/>
      <c r="Q50" s="20"/>
      <c r="R50" s="66">
        <v>826.61400000000003</v>
      </c>
      <c r="S50" s="20">
        <v>180.45500000000001</v>
      </c>
      <c r="T50" s="82">
        <v>1168.896</v>
      </c>
      <c r="U50" s="20">
        <v>903.89700000000005</v>
      </c>
      <c r="V50" s="20">
        <v>1252.1510000000001</v>
      </c>
      <c r="W50" s="33">
        <v>1753.9949999999999</v>
      </c>
      <c r="X50" s="33">
        <v>1563.383</v>
      </c>
      <c r="Y50" s="33">
        <v>2353.8380000000002</v>
      </c>
      <c r="Z50" s="33">
        <v>2799.6390000000001</v>
      </c>
      <c r="AA50" s="33">
        <v>2754.9780000000001</v>
      </c>
      <c r="AB50" s="33">
        <v>4721.0510000000004</v>
      </c>
      <c r="AC50" s="33">
        <v>3433</v>
      </c>
      <c r="AD50" s="20">
        <v>6595.1549999999997</v>
      </c>
      <c r="AE50" s="20">
        <v>1551.711</v>
      </c>
      <c r="AF50" s="20">
        <v>1014.513</v>
      </c>
      <c r="AG50" s="20">
        <v>1216.0889999999999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94"/>
      <c r="C51" s="94"/>
      <c r="D51" s="94"/>
      <c r="E51" s="64"/>
      <c r="F51" s="64"/>
      <c r="G51" s="64"/>
      <c r="H51" s="64"/>
      <c r="I51" s="50"/>
      <c r="J51" s="50">
        <v>9583.3989999999994</v>
      </c>
      <c r="K51" s="51"/>
      <c r="L51" s="51"/>
      <c r="M51" s="51">
        <v>14969.775</v>
      </c>
      <c r="N51" s="51"/>
      <c r="O51" s="51">
        <v>12426.317999999999</v>
      </c>
      <c r="P51" s="51"/>
      <c r="Q51" s="51"/>
      <c r="R51" s="67">
        <v>12576.446</v>
      </c>
      <c r="S51" s="51">
        <v>14483.566000000001</v>
      </c>
      <c r="T51" s="113">
        <v>-12999.009</v>
      </c>
      <c r="U51" s="51">
        <v>13375.879000000001</v>
      </c>
      <c r="V51" s="51">
        <v>40932.661999999997</v>
      </c>
      <c r="W51" s="50">
        <v>37976.65</v>
      </c>
      <c r="X51" s="50">
        <v>49891.351999999999</v>
      </c>
      <c r="Y51" s="50">
        <v>72851.259999999995</v>
      </c>
      <c r="Z51" s="50">
        <v>13043.808000000001</v>
      </c>
      <c r="AA51" s="50">
        <v>-41737.417999999998</v>
      </c>
      <c r="AB51" s="50">
        <v>38241.415000000001</v>
      </c>
      <c r="AC51" s="50">
        <v>62397</v>
      </c>
      <c r="AD51" s="51">
        <v>979.84100000000001</v>
      </c>
      <c r="AE51" s="51">
        <v>38686.453000000001</v>
      </c>
      <c r="AF51" s="51">
        <v>60068.017999999996</v>
      </c>
      <c r="AG51" s="51">
        <v>5830.1909999999998</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84"/>
      <c r="C52" s="84"/>
      <c r="D52" s="84"/>
      <c r="I52" s="104"/>
      <c r="J52" s="104">
        <f>SUM(J54:J62)</f>
        <v>53621.279999999999</v>
      </c>
      <c r="M52" s="104">
        <f>SUM(M54:M62)</f>
        <v>66916.892999999996</v>
      </c>
      <c r="O52" s="104">
        <f>SUM(O54:O62)</f>
        <v>85401.639999999985</v>
      </c>
      <c r="R52" s="104">
        <f t="shared" ref="R52:AG52" si="13">SUM(R54:R62)</f>
        <v>104529.60999999999</v>
      </c>
      <c r="S52" s="104">
        <f t="shared" si="13"/>
        <v>122963.86499999999</v>
      </c>
      <c r="T52" s="114">
        <f t="shared" si="13"/>
        <v>128984.24899999998</v>
      </c>
      <c r="U52" s="104">
        <f t="shared" si="13"/>
        <v>158343.76699999999</v>
      </c>
      <c r="V52" s="104">
        <f t="shared" si="13"/>
        <v>186895.91800000001</v>
      </c>
      <c r="W52" s="104">
        <f t="shared" si="13"/>
        <v>255298.77200000003</v>
      </c>
      <c r="X52" s="104">
        <f t="shared" si="13"/>
        <v>306009.64600000001</v>
      </c>
      <c r="Y52" s="104">
        <f t="shared" si="13"/>
        <v>488628.52599999995</v>
      </c>
      <c r="Z52" s="104">
        <f t="shared" si="13"/>
        <v>277476.08600000001</v>
      </c>
      <c r="AA52" s="104">
        <f t="shared" si="13"/>
        <v>-35556.926000000007</v>
      </c>
      <c r="AB52" s="104">
        <f t="shared" si="13"/>
        <v>202518.41600000003</v>
      </c>
      <c r="AC52" s="104">
        <f t="shared" si="13"/>
        <v>268526</v>
      </c>
      <c r="AD52" s="104">
        <f t="shared" si="13"/>
        <v>82968.324999999997</v>
      </c>
      <c r="AE52" s="104">
        <f t="shared" si="13"/>
        <v>260772.42300000001</v>
      </c>
      <c r="AF52" s="104">
        <f t="shared" si="13"/>
        <v>381936.75699999998</v>
      </c>
      <c r="AG52" s="104">
        <f t="shared" si="13"/>
        <v>109756.15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B53" s="84"/>
      <c r="C53" s="84"/>
      <c r="D53" s="84"/>
      <c r="T53" s="115"/>
      <c r="W53" s="91"/>
      <c r="X53" s="91"/>
      <c r="Y53" s="91"/>
      <c r="Z53" s="91"/>
      <c r="AA53" s="91">
        <v>0</v>
      </c>
      <c r="AB53" s="91"/>
      <c r="AC53" s="91"/>
      <c r="AD53" s="65">
        <v>0</v>
      </c>
      <c r="AF53" s="20">
        <v>0</v>
      </c>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B54" s="23"/>
      <c r="C54" s="23"/>
      <c r="D54" s="23"/>
      <c r="I54" s="33"/>
      <c r="J54" s="33">
        <v>137.21100000000001</v>
      </c>
      <c r="K54" s="20"/>
      <c r="L54" s="20"/>
      <c r="M54" s="65">
        <v>29.103999999999999</v>
      </c>
      <c r="N54" s="20"/>
      <c r="O54" s="20">
        <v>277.24900000000002</v>
      </c>
      <c r="P54" s="20"/>
      <c r="Q54" s="20"/>
      <c r="R54" s="66">
        <v>1271.5329999999999</v>
      </c>
      <c r="S54" s="20">
        <v>2172.759</v>
      </c>
      <c r="T54" s="82">
        <v>9442.31</v>
      </c>
      <c r="U54" s="20">
        <v>10048.584999999999</v>
      </c>
      <c r="V54" s="20">
        <v>5482.4480000000003</v>
      </c>
      <c r="W54" s="33">
        <v>9520.9069999999992</v>
      </c>
      <c r="X54" s="33">
        <v>21042.727999999999</v>
      </c>
      <c r="Y54" s="33">
        <v>26591.030999999999</v>
      </c>
      <c r="Z54" s="33">
        <v>24241.18</v>
      </c>
      <c r="AA54" s="33">
        <v>12773.999</v>
      </c>
      <c r="AB54" s="33">
        <v>4455.7120000000004</v>
      </c>
      <c r="AC54" s="33">
        <v>1650</v>
      </c>
      <c r="AD54" s="20">
        <v>1314.86</v>
      </c>
      <c r="AE54" s="20">
        <v>1343.6780000000001</v>
      </c>
      <c r="AF54" s="20">
        <v>2109.1419999999998</v>
      </c>
      <c r="AG54" s="20">
        <v>898.58900000000006</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B55" s="23"/>
      <c r="C55" s="23"/>
      <c r="D55" s="23"/>
      <c r="I55" s="33"/>
      <c r="J55" s="33">
        <v>1312.164</v>
      </c>
      <c r="K55" s="20"/>
      <c r="L55" s="20"/>
      <c r="M55" s="20">
        <v>2295.3620000000001</v>
      </c>
      <c r="N55" s="20"/>
      <c r="O55" s="20">
        <v>3026.549</v>
      </c>
      <c r="P55" s="20"/>
      <c r="Q55" s="20"/>
      <c r="R55" s="66">
        <v>4398.8680000000004</v>
      </c>
      <c r="S55" s="20">
        <v>4738.5249999999996</v>
      </c>
      <c r="T55" s="82">
        <v>-5763.9880000000003</v>
      </c>
      <c r="U55" s="20">
        <v>3946.8530000000001</v>
      </c>
      <c r="V55" s="20">
        <v>15217.239</v>
      </c>
      <c r="W55" s="33">
        <v>9347.4179999999997</v>
      </c>
      <c r="X55" s="33">
        <v>12030.3</v>
      </c>
      <c r="Y55" s="33">
        <v>18221.501</v>
      </c>
      <c r="Z55" s="33">
        <v>-596.30100000000004</v>
      </c>
      <c r="AA55" s="33">
        <v>-16371.932000000001</v>
      </c>
      <c r="AB55" s="33">
        <v>11835.406000000001</v>
      </c>
      <c r="AC55" s="33">
        <v>21434</v>
      </c>
      <c r="AD55" s="20">
        <v>-1306.8499999999999</v>
      </c>
      <c r="AE55" s="20">
        <v>14970.575000000001</v>
      </c>
      <c r="AF55" s="20">
        <v>22119.187999999998</v>
      </c>
      <c r="AG55" s="20">
        <v>-220.505</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B56" s="23"/>
      <c r="C56" s="23"/>
      <c r="D56" s="23"/>
      <c r="I56" s="33"/>
      <c r="J56" s="33">
        <v>934.58399999999995</v>
      </c>
      <c r="K56" s="20"/>
      <c r="L56" s="20"/>
      <c r="M56" s="20">
        <v>2290.7640000000001</v>
      </c>
      <c r="N56" s="20"/>
      <c r="O56" s="20">
        <v>1187.873</v>
      </c>
      <c r="P56" s="20"/>
      <c r="Q56" s="20"/>
      <c r="R56" s="66">
        <v>3314.4459999999999</v>
      </c>
      <c r="S56" s="20">
        <v>1587.8779999999999</v>
      </c>
      <c r="T56" s="82">
        <v>28080.887999999999</v>
      </c>
      <c r="U56" s="20">
        <v>24372.544999999998</v>
      </c>
      <c r="V56" s="20">
        <v>28102.21</v>
      </c>
      <c r="W56" s="33">
        <v>36930.212</v>
      </c>
      <c r="X56" s="33">
        <v>45612.281000000003</v>
      </c>
      <c r="Y56" s="33">
        <v>92083.865999999995</v>
      </c>
      <c r="Z56" s="33">
        <v>31699.585999999999</v>
      </c>
      <c r="AA56" s="33">
        <v>6851.0590000000002</v>
      </c>
      <c r="AB56" s="33">
        <v>64874.870999999999</v>
      </c>
      <c r="AC56" s="33">
        <v>84121</v>
      </c>
      <c r="AD56" s="20">
        <v>39402.855000000003</v>
      </c>
      <c r="AE56" s="20">
        <v>66772.36</v>
      </c>
      <c r="AF56" s="20">
        <v>102983.557</v>
      </c>
      <c r="AG56" s="20">
        <v>20179.985000000001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B57" s="23"/>
      <c r="C57" s="23"/>
      <c r="D57" s="23"/>
      <c r="I57" s="33"/>
      <c r="J57" s="33">
        <v>2034.2370000000001</v>
      </c>
      <c r="K57" s="20"/>
      <c r="L57" s="20"/>
      <c r="M57" s="20">
        <v>2177.1999999999998</v>
      </c>
      <c r="N57" s="20"/>
      <c r="O57" s="20">
        <v>2905.3130000000001</v>
      </c>
      <c r="P57" s="20"/>
      <c r="Q57" s="20"/>
      <c r="R57" s="92">
        <v>7297.058</v>
      </c>
      <c r="S57" s="20">
        <v>8724.1450000000004</v>
      </c>
      <c r="T57" s="82">
        <v>8732.5010000000002</v>
      </c>
      <c r="U57" s="20">
        <v>4191.1180000000004</v>
      </c>
      <c r="V57" s="20">
        <v>4168.2330000000002</v>
      </c>
      <c r="W57" s="33">
        <v>4615.6260000000002</v>
      </c>
      <c r="X57" s="33">
        <v>7008.7110000000002</v>
      </c>
      <c r="Y57" s="33">
        <v>4603.8770000000004</v>
      </c>
      <c r="Z57" s="33">
        <v>5075.1120000000001</v>
      </c>
      <c r="AA57" s="33">
        <v>-56560.974999999999</v>
      </c>
      <c r="AB57" s="33">
        <v>4985.8</v>
      </c>
      <c r="AC57" s="33">
        <v>5262</v>
      </c>
      <c r="AD57" s="20">
        <v>-4214.5649999999996</v>
      </c>
      <c r="AE57" s="20">
        <v>5550.1959999999999</v>
      </c>
      <c r="AF57" s="20">
        <v>5873.5339999999997</v>
      </c>
      <c r="AG57" s="20">
        <v>5994.9690000000001</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B58" s="23"/>
      <c r="C58" s="23"/>
      <c r="D58" s="23"/>
      <c r="I58" s="33"/>
      <c r="J58" s="33">
        <v>2035.0730000000001</v>
      </c>
      <c r="K58" s="20"/>
      <c r="L58" s="20"/>
      <c r="M58" s="20">
        <v>1721.9680000000001</v>
      </c>
      <c r="N58" s="20"/>
      <c r="O58" s="20">
        <v>13741.241</v>
      </c>
      <c r="P58" s="20"/>
      <c r="Q58" s="20"/>
      <c r="R58" s="92">
        <v>2899.67</v>
      </c>
      <c r="S58" s="20">
        <v>6175.1260000000002</v>
      </c>
      <c r="T58" s="82">
        <v>42310.813999999998</v>
      </c>
      <c r="U58" s="20">
        <v>44704.394999999997</v>
      </c>
      <c r="V58" s="20">
        <v>28359.68</v>
      </c>
      <c r="W58" s="33">
        <v>55521.052000000003</v>
      </c>
      <c r="X58" s="33">
        <v>78925.417000000001</v>
      </c>
      <c r="Y58" s="33">
        <v>113443.429</v>
      </c>
      <c r="Z58" s="33">
        <v>91430.629000000001</v>
      </c>
      <c r="AA58" s="33">
        <v>25559.041000000001</v>
      </c>
      <c r="AB58" s="33">
        <v>45087.14</v>
      </c>
      <c r="AC58" s="33">
        <v>46064</v>
      </c>
      <c r="AD58" s="20">
        <v>27469.348000000002</v>
      </c>
      <c r="AE58" s="20">
        <v>95350.014999999999</v>
      </c>
      <c r="AF58" s="20">
        <v>155689.51500000001</v>
      </c>
      <c r="AG58" s="20">
        <v>56393.413999999997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B59" s="23"/>
      <c r="C59" s="23"/>
      <c r="D59" s="23"/>
      <c r="I59" s="33"/>
      <c r="J59" s="33">
        <v>14665.453</v>
      </c>
      <c r="K59" s="20"/>
      <c r="L59" s="20"/>
      <c r="M59" s="20">
        <v>15780.050999999999</v>
      </c>
      <c r="N59" s="20"/>
      <c r="O59" s="20">
        <v>15509.546</v>
      </c>
      <c r="P59" s="20"/>
      <c r="Q59" s="20"/>
      <c r="R59" s="92">
        <v>21434.978999999999</v>
      </c>
      <c r="S59" s="20">
        <v>27434.594000000001</v>
      </c>
      <c r="T59" s="82">
        <v>1732.644</v>
      </c>
      <c r="U59" s="20">
        <v>38300.1</v>
      </c>
      <c r="V59" s="20">
        <v>43411.17</v>
      </c>
      <c r="W59" s="33">
        <v>85937.273000000001</v>
      </c>
      <c r="X59" s="33">
        <v>74709.542000000001</v>
      </c>
      <c r="Y59" s="33">
        <v>112834.818</v>
      </c>
      <c r="Z59" s="33">
        <v>80449.171000000002</v>
      </c>
      <c r="AA59" s="33">
        <v>38602.453999999998</v>
      </c>
      <c r="AB59" s="33">
        <v>18985.828000000001</v>
      </c>
      <c r="AC59" s="33">
        <v>18298</v>
      </c>
      <c r="AD59" s="20">
        <v>10335.857</v>
      </c>
      <c r="AE59" s="20">
        <v>9968.6119999999992</v>
      </c>
      <c r="AF59" s="20">
        <v>9020.9269999999997</v>
      </c>
      <c r="AG59" s="20">
        <v>7671.4210000000003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B60" s="23"/>
      <c r="C60" s="23"/>
      <c r="D60" s="23"/>
      <c r="I60" s="33"/>
      <c r="J60" s="33">
        <v>28089.877</v>
      </c>
      <c r="K60" s="20"/>
      <c r="L60" s="20"/>
      <c r="M60" s="20">
        <v>37844.434999999998</v>
      </c>
      <c r="N60" s="20"/>
      <c r="O60" s="20">
        <v>42685.870999999999</v>
      </c>
      <c r="P60" s="20"/>
      <c r="Q60" s="20"/>
      <c r="R60" s="66">
        <v>57322.392999999996</v>
      </c>
      <c r="S60" s="20">
        <v>64043.411</v>
      </c>
      <c r="T60" s="82">
        <v>46812.055</v>
      </c>
      <c r="U60" s="20">
        <v>17535.718000000001</v>
      </c>
      <c r="V60" s="20">
        <v>16698.431</v>
      </c>
      <c r="W60" s="33">
        <v>16984.432000000001</v>
      </c>
      <c r="X60" s="33">
        <v>26062.396000000001</v>
      </c>
      <c r="Y60" s="33">
        <v>41687.873</v>
      </c>
      <c r="Z60" s="33">
        <v>35564.713000000003</v>
      </c>
      <c r="AA60" s="33">
        <v>22165.825000000001</v>
      </c>
      <c r="AB60" s="33">
        <v>20228.637999999999</v>
      </c>
      <c r="AC60" s="33">
        <v>20141</v>
      </c>
      <c r="AD60" s="20">
        <v>14177.098</v>
      </c>
      <c r="AE60" s="20">
        <v>16927.198</v>
      </c>
      <c r="AF60" s="20">
        <v>19767.620999999999</v>
      </c>
      <c r="AG60" s="20">
        <v>13738.294</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B61" s="23"/>
      <c r="C61" s="23"/>
      <c r="D61" s="23"/>
      <c r="I61" s="33"/>
      <c r="J61" s="33">
        <v>0</v>
      </c>
      <c r="K61" s="20"/>
      <c r="L61" s="20"/>
      <c r="M61" s="20">
        <v>0</v>
      </c>
      <c r="N61" s="20"/>
      <c r="O61" s="20">
        <v>0</v>
      </c>
      <c r="P61" s="20"/>
      <c r="Q61" s="20"/>
      <c r="R61" s="66">
        <v>0</v>
      </c>
      <c r="S61" s="20">
        <v>0</v>
      </c>
      <c r="T61" s="82">
        <v>2125.2240000000002</v>
      </c>
      <c r="U61" s="20">
        <v>517.05999999999995</v>
      </c>
      <c r="V61" s="20">
        <v>510.84199999999998</v>
      </c>
      <c r="W61" s="33">
        <v>1281.002</v>
      </c>
      <c r="X61" s="33">
        <v>2167.5880000000002</v>
      </c>
      <c r="Y61" s="33">
        <v>4721.2690000000002</v>
      </c>
      <c r="Z61" s="33">
        <v>4530.0590000000002</v>
      </c>
      <c r="AA61" s="33">
        <v>1737.9369999999999</v>
      </c>
      <c r="AB61" s="33">
        <v>682.92399999999998</v>
      </c>
      <c r="AC61" s="33">
        <v>613</v>
      </c>
      <c r="AD61" s="20">
        <v>381.161</v>
      </c>
      <c r="AE61" s="20">
        <v>360.33100000000002</v>
      </c>
      <c r="AF61" s="20">
        <v>359.85399999999998</v>
      </c>
      <c r="AG61" s="20">
        <v>398.67599999999999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94"/>
      <c r="C62" s="94"/>
      <c r="D62" s="94"/>
      <c r="E62" s="64"/>
      <c r="F62" s="64"/>
      <c r="G62" s="64"/>
      <c r="H62" s="64"/>
      <c r="I62" s="50"/>
      <c r="J62" s="50">
        <v>4412.6809999999996</v>
      </c>
      <c r="K62" s="51"/>
      <c r="L62" s="51"/>
      <c r="M62" s="51">
        <v>4778.009</v>
      </c>
      <c r="N62" s="51"/>
      <c r="O62" s="51">
        <v>6067.9979999999996</v>
      </c>
      <c r="P62" s="51"/>
      <c r="Q62" s="51"/>
      <c r="R62" s="67">
        <v>6590.6629999999996</v>
      </c>
      <c r="S62" s="51">
        <v>8087.4269999999997</v>
      </c>
      <c r="T62" s="113">
        <v>-4488.1989999999996</v>
      </c>
      <c r="U62" s="51">
        <v>14727.393</v>
      </c>
      <c r="V62" s="51">
        <v>44945.665000000001</v>
      </c>
      <c r="W62" s="50">
        <v>35160.85</v>
      </c>
      <c r="X62" s="50">
        <v>38450.682999999997</v>
      </c>
      <c r="Y62" s="50">
        <v>74440.861999999994</v>
      </c>
      <c r="Z62" s="50">
        <v>5081.9369999999999</v>
      </c>
      <c r="AA62" s="50">
        <v>-70314.334000000003</v>
      </c>
      <c r="AB62" s="50">
        <v>31382.097000000002</v>
      </c>
      <c r="AC62" s="50">
        <v>70943</v>
      </c>
      <c r="AD62" s="51">
        <v>-4591.4390000000003</v>
      </c>
      <c r="AE62" s="51">
        <v>49529.457999999999</v>
      </c>
      <c r="AF62" s="51">
        <v>64013.419000000002</v>
      </c>
      <c r="AG62" s="51">
        <v>4701.3069999999998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95"/>
      <c r="C63" s="95"/>
      <c r="D63" s="95"/>
      <c r="E63" s="85"/>
      <c r="F63" s="85"/>
      <c r="G63" s="85"/>
      <c r="H63" s="85"/>
      <c r="I63" s="87"/>
      <c r="J63" s="87">
        <v>1241.162</v>
      </c>
      <c r="K63" s="86"/>
      <c r="L63" s="86"/>
      <c r="M63" s="86">
        <v>745.04499999999996</v>
      </c>
      <c r="N63" s="86"/>
      <c r="O63" s="86">
        <v>827.49194</v>
      </c>
      <c r="P63" s="86"/>
      <c r="Q63" s="86"/>
      <c r="R63" s="88">
        <v>551.29999999999995</v>
      </c>
      <c r="S63" s="86">
        <v>1533.7829999999999</v>
      </c>
      <c r="T63" s="89">
        <v>1681.6859999999999</v>
      </c>
      <c r="U63" s="86">
        <v>2017.299</v>
      </c>
      <c r="V63" s="86">
        <v>2417.2069999999999</v>
      </c>
      <c r="W63" s="87">
        <v>3997.7130000000002</v>
      </c>
      <c r="X63" s="87">
        <v>3440.337</v>
      </c>
      <c r="Y63" s="87">
        <v>6877.5510000000004</v>
      </c>
      <c r="Z63" s="87">
        <v>-7496.6379999999999</v>
      </c>
      <c r="AA63" s="87">
        <v>958.56100000000004</v>
      </c>
      <c r="AB63" s="87">
        <v>2303.19</v>
      </c>
      <c r="AC63" s="87">
        <v>935</v>
      </c>
      <c r="AD63" s="51">
        <v>5386.7550000000001</v>
      </c>
      <c r="AE63" s="51">
        <v>2715.366</v>
      </c>
      <c r="AF63" s="51">
        <v>3755.768</v>
      </c>
      <c r="AG63" s="51">
        <v>-1252.69</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20"/>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20"/>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20"/>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20"/>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20"/>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20"/>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20"/>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20"/>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20"/>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20"/>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20"/>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20"/>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20"/>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I79" s="12"/>
      <c r="J79" s="12"/>
      <c r="K79" s="12"/>
      <c r="L79" s="12"/>
      <c r="M79" s="12"/>
      <c r="N79" s="12"/>
      <c r="O79" s="12"/>
      <c r="P79" s="12"/>
      <c r="Q79" s="12"/>
      <c r="R79" s="12"/>
      <c r="S79" s="12"/>
      <c r="T79" s="20"/>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20"/>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20"/>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20"/>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20"/>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20"/>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20"/>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E86" s="12"/>
      <c r="F86" s="12"/>
      <c r="G86" s="12"/>
      <c r="H86" s="12"/>
      <c r="I86" s="12"/>
      <c r="J86" s="12"/>
      <c r="K86" s="12"/>
      <c r="L86" s="12"/>
      <c r="M86" s="12"/>
      <c r="N86" s="12"/>
      <c r="O86" s="12"/>
      <c r="P86" s="12"/>
      <c r="Q86" s="12"/>
      <c r="R86" s="12"/>
      <c r="S86" s="12"/>
      <c r="T86" s="20"/>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E87" s="12"/>
      <c r="F87" s="12"/>
      <c r="G87" s="12"/>
      <c r="H87" s="12"/>
      <c r="I87" s="12"/>
      <c r="J87" s="12"/>
      <c r="K87" s="12"/>
      <c r="L87" s="12"/>
      <c r="M87" s="12"/>
      <c r="N87" s="12"/>
      <c r="O87" s="12"/>
      <c r="P87" s="12"/>
      <c r="Q87" s="12"/>
      <c r="R87" s="12"/>
      <c r="S87" s="12"/>
      <c r="T87" s="20"/>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E88" s="12"/>
      <c r="F88" s="12"/>
      <c r="G88" s="12"/>
      <c r="H88" s="12"/>
      <c r="I88" s="12"/>
      <c r="J88" s="12"/>
      <c r="K88" s="12"/>
      <c r="L88" s="12"/>
      <c r="M88" s="12"/>
      <c r="N88" s="12"/>
      <c r="O88" s="12"/>
      <c r="P88" s="12"/>
      <c r="Q88" s="12"/>
      <c r="R88" s="12"/>
      <c r="S88" s="12"/>
      <c r="T88" s="20"/>
      <c r="U88" s="12"/>
      <c r="V88" s="12"/>
      <c r="W88" s="15"/>
      <c r="X88" s="15"/>
      <c r="Y88" s="15"/>
      <c r="Z88" s="15"/>
      <c r="AA88" s="15"/>
      <c r="AB88" s="15"/>
      <c r="AC88" s="15"/>
      <c r="AD88" s="12"/>
      <c r="AE88" s="12"/>
    </row>
    <row r="89" spans="1:210">
      <c r="E89" s="12"/>
      <c r="F89" s="12"/>
      <c r="G89" s="12"/>
      <c r="H89" s="12"/>
    </row>
    <row r="90" spans="1:210">
      <c r="E90" s="12"/>
      <c r="F90" s="12"/>
      <c r="G90" s="12"/>
      <c r="H90" s="12"/>
    </row>
    <row r="91" spans="1:210">
      <c r="E91" s="12"/>
      <c r="F91" s="12"/>
      <c r="G91" s="12"/>
      <c r="H91" s="12"/>
    </row>
    <row r="92" spans="1:210">
      <c r="E92" s="18"/>
      <c r="F92" s="18"/>
      <c r="G92" s="18"/>
      <c r="H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0">
    <tabColor indexed="62"/>
  </sheetPr>
  <dimension ref="A1:HB92"/>
  <sheetViews>
    <sheetView showZeros="0" zoomScaleNormal="100" workbookViewId="0">
      <pane xSplit="1" ySplit="3" topLeftCell="AA4" activePane="bottomRight" state="frozen"/>
      <selection activeCell="M5" sqref="M5:M6"/>
      <selection pane="topRight" activeCell="M5" sqref="M5:M6"/>
      <selection pane="bottomLeft" activeCell="M5" sqref="M5:M6"/>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84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217">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266356+697367+482292+64149+874523+535848+583381+21072</f>
        <v>3524988</v>
      </c>
      <c r="C4" s="86">
        <f>328737+758349+528489+67468+950020+619431+692410+38037</f>
        <v>3982941</v>
      </c>
      <c r="D4" s="86">
        <f>345060+837534+610150+72877+993817+701998+736678+64829</f>
        <v>4362943</v>
      </c>
      <c r="E4" s="86"/>
      <c r="F4" s="86"/>
      <c r="G4" s="86"/>
      <c r="H4" s="86"/>
      <c r="I4" s="86">
        <f>488978.473+2620699.752+1965863.646+466081.614</f>
        <v>5541623.4849999994</v>
      </c>
      <c r="J4" s="100">
        <f>+J5+J23+J38+J52+J63</f>
        <v>5519392.654000001</v>
      </c>
      <c r="K4" s="86">
        <f>527691.757+3109663.96+2412742.385+211102.176</f>
        <v>6261200.2779999999</v>
      </c>
      <c r="L4" s="86">
        <f>589721.36+3188604.696+2479043.474+192118.999</f>
        <v>6449488.5289999992</v>
      </c>
      <c r="M4" s="100">
        <f t="shared" ref="M4" si="0">+M5+M23+M38+M52+M63</f>
        <v>6572131.0879999995</v>
      </c>
      <c r="N4" s="107">
        <f>569607.705+3379692.839+3338491.71+240081.66</f>
        <v>7527873.9140000008</v>
      </c>
      <c r="O4" s="100">
        <f>+O5+O23+O38+O52+O63</f>
        <v>8142816.4443600001</v>
      </c>
      <c r="P4" s="86"/>
      <c r="Q4" s="86"/>
      <c r="R4" s="100">
        <f t="shared" ref="R4:AA4" si="1">+R5+R23+R38+R52+R63</f>
        <v>9916298.2279999983</v>
      </c>
      <c r="S4" s="100">
        <f t="shared" si="1"/>
        <v>9575283.6349999998</v>
      </c>
      <c r="T4" s="111">
        <f t="shared" si="1"/>
        <v>10948532.659000002</v>
      </c>
      <c r="U4" s="100">
        <f t="shared" si="1"/>
        <v>11085403.099000001</v>
      </c>
      <c r="V4" s="100">
        <f t="shared" si="1"/>
        <v>12036239.547</v>
      </c>
      <c r="W4" s="100">
        <f t="shared" si="1"/>
        <v>13979123.051999999</v>
      </c>
      <c r="X4" s="100">
        <f t="shared" si="1"/>
        <v>12988254.914999999</v>
      </c>
      <c r="Y4" s="100">
        <f t="shared" si="1"/>
        <v>14639821.884</v>
      </c>
      <c r="Z4" s="100">
        <f t="shared" si="1"/>
        <v>14863096.987000002</v>
      </c>
      <c r="AA4" s="100">
        <f t="shared" si="1"/>
        <v>12771749.829</v>
      </c>
      <c r="AB4" s="100">
        <f t="shared" ref="AB4:AC4" si="2">+AB5+AB23+AB38+AB52+AB63</f>
        <v>19269160.169000003</v>
      </c>
      <c r="AC4" s="100">
        <f t="shared" si="2"/>
        <v>20126659</v>
      </c>
      <c r="AD4" s="100">
        <f t="shared" ref="AD4:AE4" si="3">+AD5+AD23+AD38+AD52+AD63</f>
        <v>19670676.131000001</v>
      </c>
      <c r="AE4" s="100">
        <f t="shared" si="3"/>
        <v>18714592.493999999</v>
      </c>
      <c r="AF4" s="100">
        <f t="shared" ref="AF4:AG4" si="4">+AF5+AF23+AF38+AF52+AF63</f>
        <v>12389490.956999999</v>
      </c>
      <c r="AG4" s="100">
        <f t="shared" si="4"/>
        <v>22756790.218000002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979577</v>
      </c>
      <c r="C5" s="101">
        <f t="shared" ref="C5:D5" si="5">SUM(C7:C22)</f>
        <v>1127072</v>
      </c>
      <c r="D5" s="101">
        <f t="shared" si="5"/>
        <v>1331090</v>
      </c>
      <c r="I5" s="101">
        <f t="shared" ref="I5:O5" si="6">SUM(I7:I22)</f>
        <v>1912914.7439999999</v>
      </c>
      <c r="J5" s="101">
        <f t="shared" si="6"/>
        <v>1952498.4650000001</v>
      </c>
      <c r="K5" s="101">
        <f t="shared" si="6"/>
        <v>2104365.9589999993</v>
      </c>
      <c r="L5" s="101">
        <f t="shared" si="6"/>
        <v>2155203.8360000006</v>
      </c>
      <c r="M5" s="101">
        <f t="shared" si="6"/>
        <v>2416988.2460000003</v>
      </c>
      <c r="N5" s="101">
        <f t="shared" si="6"/>
        <v>2652972.8742999998</v>
      </c>
      <c r="O5" s="101">
        <f t="shared" si="6"/>
        <v>2855168.0561100002</v>
      </c>
      <c r="P5" s="12"/>
      <c r="Q5" s="12"/>
      <c r="R5" s="101">
        <f t="shared" ref="R5:Y5" si="7">SUM(R7:R22)</f>
        <v>3497484.0719999997</v>
      </c>
      <c r="S5" s="101">
        <f t="shared" si="7"/>
        <v>3363436.9529999997</v>
      </c>
      <c r="T5" s="114">
        <f t="shared" si="7"/>
        <v>4660466.4710000008</v>
      </c>
      <c r="U5" s="101">
        <f t="shared" si="7"/>
        <v>4501087.3449999997</v>
      </c>
      <c r="V5" s="101">
        <f t="shared" si="7"/>
        <v>4509832.22</v>
      </c>
      <c r="W5" s="101">
        <f t="shared" si="7"/>
        <v>5228080.2849999992</v>
      </c>
      <c r="X5" s="101">
        <f t="shared" si="7"/>
        <v>4820059.5879999995</v>
      </c>
      <c r="Y5" s="101">
        <f t="shared" si="7"/>
        <v>5705396.9859999996</v>
      </c>
      <c r="Z5" s="101">
        <f>SUM(Z7:Z22)</f>
        <v>5742870.1280000005</v>
      </c>
      <c r="AA5" s="101">
        <f>SUM(AA7:AA22)</f>
        <v>4106890.7949999999</v>
      </c>
      <c r="AB5" s="101">
        <f>SUM(AB7:AB22)</f>
        <v>7763296.415000001</v>
      </c>
      <c r="AC5" s="101">
        <f>SUM(AC7:AC22)</f>
        <v>7487723</v>
      </c>
      <c r="AD5" s="101">
        <f t="shared" ref="AD5:AE5" si="8">SUM(AD7:AD22)</f>
        <v>6721897.0340000009</v>
      </c>
      <c r="AE5" s="101">
        <f t="shared" si="8"/>
        <v>5553018.1260000002</v>
      </c>
      <c r="AF5" s="101">
        <f>SUM(AF7:AF22)</f>
        <v>3551395.1340000001</v>
      </c>
      <c r="AG5" s="101">
        <f t="shared" ref="AG5" si="9">SUM(AG7:AG22)</f>
        <v>6958497.0410000002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11501+9725+11893+10108+18194</f>
        <v>61421</v>
      </c>
      <c r="C7" s="12">
        <f>10739+10162+12517+0+18+9176+20039+0</f>
        <v>62651</v>
      </c>
      <c r="D7" s="12">
        <f>10211+9990+14134+0+18+9794+18644+0</f>
        <v>62791</v>
      </c>
      <c r="E7" s="12"/>
      <c r="F7" s="12"/>
      <c r="G7" s="12"/>
      <c r="H7" s="12"/>
      <c r="I7" s="12">
        <f>17276.56+34933.773+51788.756+0</f>
        <v>103999.08900000001</v>
      </c>
      <c r="J7" s="32">
        <v>105123.63099999999</v>
      </c>
      <c r="K7" s="12">
        <f>17818.728+36116.859+52436.144</f>
        <v>106371.731</v>
      </c>
      <c r="L7" s="12">
        <f>17741.4+40927.962+79308.831</f>
        <v>137978.193</v>
      </c>
      <c r="M7" s="12">
        <v>171002.39300000001</v>
      </c>
      <c r="N7" s="12">
        <f>17961.273+51906.66+90115.869+0</f>
        <v>159983.80200000003</v>
      </c>
      <c r="O7" s="12">
        <v>177061.038</v>
      </c>
      <c r="P7" s="12"/>
      <c r="Q7" s="12"/>
      <c r="R7" s="44">
        <v>183343.77299999999</v>
      </c>
      <c r="S7" s="12">
        <v>212381.095</v>
      </c>
      <c r="T7" s="82">
        <v>404223.04700000002</v>
      </c>
      <c r="U7" s="12">
        <v>163387.60999999999</v>
      </c>
      <c r="V7" s="12">
        <v>270089.09399999998</v>
      </c>
      <c r="W7" s="32">
        <v>161364.79300000001</v>
      </c>
      <c r="X7" s="32">
        <v>225876.47399999999</v>
      </c>
      <c r="Y7" s="32">
        <v>230225.72399999999</v>
      </c>
      <c r="Z7" s="32">
        <v>531303.65399999998</v>
      </c>
      <c r="AA7" s="32">
        <v>472240.04200000002</v>
      </c>
      <c r="AB7" s="32">
        <v>767799.50899999996</v>
      </c>
      <c r="AC7" s="32">
        <v>448105</v>
      </c>
      <c r="AD7" s="12">
        <v>387369.07199999999</v>
      </c>
      <c r="AE7" s="12">
        <v>321546.27299999999</v>
      </c>
      <c r="AF7" s="12">
        <v>208185.91099999999</v>
      </c>
      <c r="AG7" s="12">
        <v>391623.098</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10185+4609+2782+14+2679+3946</f>
        <v>24215</v>
      </c>
      <c r="C8" s="12">
        <f>11181+4930+1872+0+27+2611+5039+0</f>
        <v>25660</v>
      </c>
      <c r="D8" s="12">
        <f>11186+5868+1662+0+14+2982+0+5122</f>
        <v>26834</v>
      </c>
      <c r="E8" s="12"/>
      <c r="F8" s="12"/>
      <c r="G8" s="12"/>
      <c r="H8" s="12"/>
      <c r="I8" s="12">
        <f>11101.507+104238.419+15286.911+0</f>
        <v>130626.837</v>
      </c>
      <c r="J8" s="32">
        <v>50854.430999999997</v>
      </c>
      <c r="K8" s="12">
        <f>12306.174+31878.465+10678.348</f>
        <v>54862.987000000001</v>
      </c>
      <c r="L8" s="12">
        <f>12481.876+30712.87+11737.987</f>
        <v>54932.733</v>
      </c>
      <c r="M8" s="12">
        <v>57474.758000000002</v>
      </c>
      <c r="N8" s="12">
        <f>11053.64+38497.034+18502.913+0</f>
        <v>68053.587</v>
      </c>
      <c r="O8" s="12">
        <v>77379.725000000006</v>
      </c>
      <c r="P8" s="12"/>
      <c r="Q8" s="12"/>
      <c r="R8" s="63">
        <v>78087.713000000003</v>
      </c>
      <c r="S8" s="12">
        <v>90049.153000000006</v>
      </c>
      <c r="T8" s="82">
        <v>87738.523000000001</v>
      </c>
      <c r="U8" s="12">
        <v>74060.067999999999</v>
      </c>
      <c r="V8" s="12">
        <v>82747.347999999998</v>
      </c>
      <c r="W8" s="32">
        <v>96686.987999999998</v>
      </c>
      <c r="X8" s="32">
        <v>120762.06600000001</v>
      </c>
      <c r="Y8" s="32">
        <v>95846.724000000002</v>
      </c>
      <c r="Z8" s="32">
        <v>118890.75199999999</v>
      </c>
      <c r="AA8" s="32">
        <v>90555.089000000007</v>
      </c>
      <c r="AB8" s="32">
        <v>134619.56700000001</v>
      </c>
      <c r="AC8" s="32">
        <v>123414</v>
      </c>
      <c r="AD8" s="12">
        <v>113169.806</v>
      </c>
      <c r="AE8" s="12">
        <v>131441.35</v>
      </c>
      <c r="AF8" s="12">
        <v>44718.851000000002</v>
      </c>
      <c r="AG8" s="12">
        <v>109314.277</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2294+2074+15873+0+10+240+667+0</f>
        <v>21158</v>
      </c>
      <c r="E9" s="12"/>
      <c r="F9" s="12"/>
      <c r="G9" s="12"/>
      <c r="H9" s="12"/>
      <c r="I9" s="12">
        <v>24559.17</v>
      </c>
      <c r="J9" s="32">
        <v>25785.814999999999</v>
      </c>
      <c r="K9" s="12"/>
      <c r="L9" s="12"/>
      <c r="M9" s="12">
        <v>32269.249</v>
      </c>
      <c r="N9" s="12">
        <f>3234.857+5252.954+14434.146+0</f>
        <v>22921.957000000002</v>
      </c>
      <c r="O9" s="12">
        <v>24791.388999999999</v>
      </c>
      <c r="P9" s="12"/>
      <c r="Q9" s="12"/>
      <c r="R9" s="63">
        <v>42494.288999999997</v>
      </c>
      <c r="S9" s="61">
        <f>23224.842+13832.139</f>
        <v>37056.981</v>
      </c>
      <c r="T9" s="83">
        <v>19118.007000000001</v>
      </c>
      <c r="U9" s="61">
        <v>23324.733</v>
      </c>
      <c r="V9" s="61">
        <v>14902.821</v>
      </c>
      <c r="W9" s="32">
        <v>6079.01</v>
      </c>
      <c r="X9" s="32">
        <v>21098.637999999999</v>
      </c>
      <c r="Y9" s="32">
        <v>24508.012999999999</v>
      </c>
      <c r="Z9" s="32">
        <v>25958.883000000002</v>
      </c>
      <c r="AA9" s="32">
        <v>28856.188999999998</v>
      </c>
      <c r="AB9" s="32">
        <v>21660.934000000001</v>
      </c>
      <c r="AC9" s="32">
        <v>83616</v>
      </c>
      <c r="AD9" s="12">
        <v>43840.688000000002</v>
      </c>
      <c r="AE9" s="12">
        <v>11537.21</v>
      </c>
      <c r="AF9" s="12">
        <v>45175.224000000002</v>
      </c>
      <c r="AG9" s="12">
        <v>48804.517</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5581+8373+5737+25+5159+4557</f>
        <v>29432</v>
      </c>
      <c r="C10" s="12">
        <f>5724+9669+7173+0+0+5062+6225+0</f>
        <v>33853</v>
      </c>
      <c r="D10" s="12">
        <f>5043+9963+6479+0+401+7371+5700+0</f>
        <v>34957</v>
      </c>
      <c r="E10" s="12"/>
      <c r="F10" s="12"/>
      <c r="G10" s="12"/>
      <c r="H10" s="12"/>
      <c r="I10" s="12">
        <f>6165.056+22952.049+25058.083+0</f>
        <v>54175.187999999995</v>
      </c>
      <c r="J10" s="32">
        <v>59422.455999999998</v>
      </c>
      <c r="K10" s="12">
        <f>6996.276+42215.175+15742.248</f>
        <v>64953.699000000001</v>
      </c>
      <c r="L10" s="12">
        <f>7502.82+38840.547+13833.627</f>
        <v>60176.993999999999</v>
      </c>
      <c r="M10" s="12">
        <v>135326.46400000001</v>
      </c>
      <c r="N10" s="12">
        <f>6361.977+41933.993+107725.176+0</f>
        <v>156021.14600000001</v>
      </c>
      <c r="O10" s="12">
        <v>161080.568</v>
      </c>
      <c r="P10" s="12"/>
      <c r="Q10" s="12"/>
      <c r="R10" s="63">
        <v>220116.258</v>
      </c>
      <c r="S10" s="12">
        <v>235419.87599999999</v>
      </c>
      <c r="T10" s="82">
        <v>173040.269</v>
      </c>
      <c r="U10" s="12">
        <v>141521.38099999999</v>
      </c>
      <c r="V10" s="12">
        <v>157976.82500000001</v>
      </c>
      <c r="W10" s="32">
        <v>310001.73200000002</v>
      </c>
      <c r="X10" s="32">
        <v>319843.80200000003</v>
      </c>
      <c r="Y10" s="32">
        <v>299248.30099999998</v>
      </c>
      <c r="Z10" s="32">
        <v>244118.99299999999</v>
      </c>
      <c r="AA10" s="32">
        <v>227970.83600000001</v>
      </c>
      <c r="AB10" s="32">
        <v>244863.88</v>
      </c>
      <c r="AC10" s="32">
        <v>271316</v>
      </c>
      <c r="AD10" s="12">
        <v>201652.986</v>
      </c>
      <c r="AE10" s="12">
        <v>222665.99299999999</v>
      </c>
      <c r="AF10" s="12">
        <v>168697.234</v>
      </c>
      <c r="AG10" s="12">
        <v>230404.682</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9576+8708+61+18+4522+7840</f>
        <v>30725</v>
      </c>
      <c r="C11" s="12">
        <f>10093+9483+339+0+14+4503+9061+0</f>
        <v>33493</v>
      </c>
      <c r="D11" s="12">
        <f>10288+10503+381+0+14+4210+8956+0</f>
        <v>34352</v>
      </c>
      <c r="E11" s="12"/>
      <c r="F11" s="12"/>
      <c r="G11" s="12"/>
      <c r="H11" s="12"/>
      <c r="I11" s="12">
        <f>9872.112+24667.885+12940.176+0</f>
        <v>47480.172999999995</v>
      </c>
      <c r="J11" s="32">
        <v>57195.112000000001</v>
      </c>
      <c r="K11" s="12">
        <f>11526.845+30047.622+21622.218</f>
        <v>63196.684999999998</v>
      </c>
      <c r="L11" s="12">
        <f>11985.003+31795.912+21995.538</f>
        <v>65776.453000000009</v>
      </c>
      <c r="M11" s="12">
        <v>72054.570999999996</v>
      </c>
      <c r="N11" s="12">
        <f>11454.32+38103.131+27658.916+0</f>
        <v>77216.366999999998</v>
      </c>
      <c r="O11" s="12">
        <v>90164.478000000003</v>
      </c>
      <c r="P11" s="12"/>
      <c r="Q11" s="12"/>
      <c r="R11" s="63">
        <v>160425.40299999999</v>
      </c>
      <c r="S11" s="12">
        <v>145474.37599999999</v>
      </c>
      <c r="T11" s="82">
        <v>113033.43</v>
      </c>
      <c r="U11" s="12">
        <v>148201.16200000001</v>
      </c>
      <c r="V11" s="12">
        <v>148436.46900000001</v>
      </c>
      <c r="W11" s="32">
        <v>127933.739</v>
      </c>
      <c r="X11" s="32">
        <v>109441.15399999999</v>
      </c>
      <c r="Y11" s="32">
        <v>128273.95</v>
      </c>
      <c r="Z11" s="32">
        <v>153034.54399999999</v>
      </c>
      <c r="AA11" s="32">
        <v>102676.01</v>
      </c>
      <c r="AB11" s="32">
        <v>281120.91600000003</v>
      </c>
      <c r="AC11" s="32">
        <v>208098</v>
      </c>
      <c r="AD11" s="12">
        <v>223760.508</v>
      </c>
      <c r="AE11" s="12">
        <v>282343.18400000001</v>
      </c>
      <c r="AF11" s="12">
        <v>118267.531</v>
      </c>
      <c r="AG11" s="12">
        <v>275336.196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13327+9662+12845+7+4718+7176</f>
        <v>47735</v>
      </c>
      <c r="C12" s="12">
        <f>13991+10893+20496+2782+5204+7102</f>
        <v>60468</v>
      </c>
      <c r="D12" s="12">
        <f>13191+13140+46797+0+2795+5867+6626+0</f>
        <v>88416</v>
      </c>
      <c r="E12" s="12"/>
      <c r="F12" s="12"/>
      <c r="G12" s="12"/>
      <c r="H12" s="12"/>
      <c r="I12" s="12">
        <f>18146.066+33441.58+94513.762+78.977</f>
        <v>146180.38500000001</v>
      </c>
      <c r="J12" s="32">
        <v>147213.16399999999</v>
      </c>
      <c r="K12" s="12">
        <f>18957.707+40354.815+96582.383</f>
        <v>155894.905</v>
      </c>
      <c r="L12" s="12">
        <f>19801.62+42363.745+97708.27</f>
        <v>159873.63500000001</v>
      </c>
      <c r="M12" s="12">
        <v>183156.46100000001</v>
      </c>
      <c r="N12" s="12">
        <f>20858.693+50364.82+147723.366+0</f>
        <v>218946.87900000002</v>
      </c>
      <c r="O12" s="12">
        <v>266444.30900000001</v>
      </c>
      <c r="P12" s="12"/>
      <c r="Q12" s="12"/>
      <c r="R12" s="34">
        <v>326174.75199999998</v>
      </c>
      <c r="S12" s="12">
        <v>283060</v>
      </c>
      <c r="T12" s="82">
        <v>138095.76</v>
      </c>
      <c r="U12" s="12">
        <v>126715.139</v>
      </c>
      <c r="V12" s="12">
        <v>133710.535</v>
      </c>
      <c r="W12" s="32">
        <v>121014.772</v>
      </c>
      <c r="X12" s="32">
        <v>127154.514</v>
      </c>
      <c r="Y12" s="32">
        <v>144232.641</v>
      </c>
      <c r="Z12" s="32">
        <v>158018.117</v>
      </c>
      <c r="AA12" s="32">
        <v>158918.27499999999</v>
      </c>
      <c r="AB12" s="32">
        <v>414360.98100000003</v>
      </c>
      <c r="AC12" s="32">
        <v>416175</v>
      </c>
      <c r="AD12" s="12">
        <v>405816.25699999998</v>
      </c>
      <c r="AE12" s="12">
        <v>427398.27600000001</v>
      </c>
      <c r="AF12" s="12">
        <v>112465.429</v>
      </c>
      <c r="AG12" s="12">
        <v>491022.473</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9966+6031+6894+2021+27846+14274</f>
        <v>67032</v>
      </c>
      <c r="C13" s="12">
        <f>9778+6441+8067+0+2975+31824+17903+0</f>
        <v>76988</v>
      </c>
      <c r="D13" s="12">
        <f>9709+6407+9900+0+2875+38383+17853+0</f>
        <v>85127</v>
      </c>
      <c r="E13" s="12"/>
      <c r="F13" s="12"/>
      <c r="G13" s="12"/>
      <c r="H13" s="12"/>
      <c r="I13" s="12">
        <f>15094.69+64226.297+55612.219+0</f>
        <v>134933.20600000001</v>
      </c>
      <c r="J13" s="32">
        <v>165318.033</v>
      </c>
      <c r="K13" s="12">
        <f>15005.171+111628.9+71059.287</f>
        <v>197693.35800000001</v>
      </c>
      <c r="L13" s="12">
        <f>12960.946+124860.813+64987.505</f>
        <v>202809.264</v>
      </c>
      <c r="M13" s="12">
        <v>253612.967</v>
      </c>
      <c r="N13" s="12">
        <f>14500.26+178207.645+76754.734+0</f>
        <v>269462.63899999997</v>
      </c>
      <c r="O13" s="12">
        <v>266147.57299999997</v>
      </c>
      <c r="P13" s="12"/>
      <c r="Q13" s="12"/>
      <c r="R13" s="34">
        <v>277131.58299999998</v>
      </c>
      <c r="S13" s="12">
        <v>262332.891</v>
      </c>
      <c r="T13" s="82">
        <v>189730.48</v>
      </c>
      <c r="U13" s="12">
        <v>230041.141</v>
      </c>
      <c r="V13" s="12">
        <v>115285.83199999999</v>
      </c>
      <c r="W13" s="32">
        <v>102455.537</v>
      </c>
      <c r="X13" s="32">
        <v>147883.67300000001</v>
      </c>
      <c r="Y13" s="32">
        <v>90277.804000000004</v>
      </c>
      <c r="Z13" s="32">
        <v>87104.593999999997</v>
      </c>
      <c r="AA13" s="32">
        <v>111339.863</v>
      </c>
      <c r="AB13" s="32">
        <v>394600.37800000003</v>
      </c>
      <c r="AC13" s="32">
        <v>455947</v>
      </c>
      <c r="AD13" s="12">
        <v>219108.31899999999</v>
      </c>
      <c r="AE13" s="12">
        <v>213406.21599999999</v>
      </c>
      <c r="AF13" s="12">
        <v>108381.575</v>
      </c>
      <c r="AG13" s="12">
        <v>210694.07500000001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180+13169+2231</f>
        <v>15580</v>
      </c>
      <c r="C14" s="12">
        <f>178+19709+9814+0</f>
        <v>29701</v>
      </c>
      <c r="D14" s="12">
        <f>0+0+0+0+164+20503+14065+0</f>
        <v>34732</v>
      </c>
      <c r="E14" s="12"/>
      <c r="F14" s="12"/>
      <c r="G14" s="12"/>
      <c r="H14" s="12"/>
      <c r="I14" s="12">
        <f>2028.258+35053.784+23991.732+0</f>
        <v>61073.774000000005</v>
      </c>
      <c r="J14" s="32">
        <v>55703.817000000003</v>
      </c>
      <c r="K14" s="12">
        <f>1930.573+51912.732+16928.764</f>
        <v>70772.069000000003</v>
      </c>
      <c r="L14" s="12">
        <f>2087.014+56135.925+17131.862</f>
        <v>75354.801000000007</v>
      </c>
      <c r="M14" s="12">
        <v>82035.490000000005</v>
      </c>
      <c r="N14" s="12">
        <f>2550.742+78756.081+20541.791+0</f>
        <v>101848.614</v>
      </c>
      <c r="O14" s="12">
        <v>112530.10562</v>
      </c>
      <c r="P14" s="12"/>
      <c r="Q14" s="12"/>
      <c r="R14" s="34">
        <v>141083.47399999999</v>
      </c>
      <c r="S14" s="12">
        <v>162599.06099999999</v>
      </c>
      <c r="T14" s="82">
        <v>156713.93799999999</v>
      </c>
      <c r="U14" s="12">
        <v>184462.19</v>
      </c>
      <c r="V14" s="12">
        <v>165422.51300000001</v>
      </c>
      <c r="W14" s="32">
        <v>527811.59100000001</v>
      </c>
      <c r="X14" s="32">
        <v>274988.78000000003</v>
      </c>
      <c r="Y14" s="32">
        <v>281003.59399999998</v>
      </c>
      <c r="Z14" s="32">
        <v>268554.57</v>
      </c>
      <c r="AA14" s="32">
        <v>83450.25</v>
      </c>
      <c r="AB14" s="32">
        <v>383551.315</v>
      </c>
      <c r="AC14" s="32">
        <v>313941</v>
      </c>
      <c r="AD14" s="12">
        <v>322094.88799999998</v>
      </c>
      <c r="AE14" s="12">
        <v>386775.54399999999</v>
      </c>
      <c r="AF14" s="12">
        <v>83709.642999999996</v>
      </c>
      <c r="AG14" s="12">
        <v>411443.36499999999</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337+2602+12057+8898+9087+1040</f>
        <v>34021</v>
      </c>
      <c r="C15" s="12">
        <f>0+3280+1060+0+12332+8977+9309+1063</f>
        <v>36021</v>
      </c>
      <c r="D15" s="12">
        <f>0+2194+1337+0+11784+13454+8270+306</f>
        <v>37345</v>
      </c>
      <c r="E15" s="12"/>
      <c r="F15" s="12"/>
      <c r="G15" s="12"/>
      <c r="H15" s="12"/>
      <c r="I15" s="12">
        <f>12299.913+19167.626+17112.45+1490.274</f>
        <v>50070.262999999999</v>
      </c>
      <c r="J15" s="32">
        <v>53697.057000000001</v>
      </c>
      <c r="K15" s="12">
        <f>12916.898+25172.063+15756.614+1453.133</f>
        <v>55298.707999999999</v>
      </c>
      <c r="L15" s="12">
        <f>10706.698+23983.262+18868.975+1350.162</f>
        <v>54909.096999999994</v>
      </c>
      <c r="M15" s="12">
        <v>68984.585999999996</v>
      </c>
      <c r="N15" s="12">
        <f>12822.906+24686.126+31479.685+1516.4843</f>
        <v>70505.201300000001</v>
      </c>
      <c r="O15" s="12">
        <v>66030.293999999994</v>
      </c>
      <c r="P15" s="12"/>
      <c r="Q15" s="12"/>
      <c r="R15" s="34">
        <v>83065.468999999997</v>
      </c>
      <c r="S15" s="12">
        <v>92349.123999999996</v>
      </c>
      <c r="T15" s="82">
        <v>109817.49400000001</v>
      </c>
      <c r="U15" s="12">
        <v>125032.40399999999</v>
      </c>
      <c r="V15" s="12">
        <v>120431.836</v>
      </c>
      <c r="W15" s="32">
        <v>130279.808</v>
      </c>
      <c r="X15" s="32">
        <v>128984.795</v>
      </c>
      <c r="Y15" s="32">
        <v>121925.398</v>
      </c>
      <c r="Z15" s="32">
        <v>112723.626</v>
      </c>
      <c r="AA15" s="32">
        <v>78769.218999999997</v>
      </c>
      <c r="AB15" s="32">
        <v>125770.38400000001</v>
      </c>
      <c r="AC15" s="32">
        <v>144900</v>
      </c>
      <c r="AD15" s="12">
        <v>151867.823</v>
      </c>
      <c r="AE15" s="12">
        <v>154120.842</v>
      </c>
      <c r="AF15" s="12">
        <v>106991.62</v>
      </c>
      <c r="AG15" s="12">
        <v>162387.53099999999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47217+15908+26297+16866+16845+24759+1737</f>
        <v>149629</v>
      </c>
      <c r="C16" s="20">
        <f>0+51426+4254+27776+17954+19043+25513+1276</f>
        <v>147242</v>
      </c>
      <c r="D16" s="20">
        <f>0+55317+22016+26487+18548+18605+37203+2503</f>
        <v>180679</v>
      </c>
      <c r="E16" s="20"/>
      <c r="F16" s="20"/>
      <c r="G16" s="20"/>
      <c r="H16" s="20"/>
      <c r="I16" s="20">
        <f>23490.267+113029.776+56553.353+13184.763</f>
        <v>206258.15900000001</v>
      </c>
      <c r="J16" s="33">
        <v>228012.234</v>
      </c>
      <c r="K16" s="20">
        <f>19974.544+175579.237+56266.235+13352.344</f>
        <v>265172.36</v>
      </c>
      <c r="L16" s="20">
        <f>19213.397+86473.528+54611.657+14035.174</f>
        <v>174333.75599999999</v>
      </c>
      <c r="M16" s="20">
        <v>169877.269</v>
      </c>
      <c r="N16" s="20">
        <f>21362.525+30271.542+70162.231+14748.761</f>
        <v>136545.05900000001</v>
      </c>
      <c r="O16" s="20">
        <v>148357.76999999999</v>
      </c>
      <c r="P16" s="20"/>
      <c r="Q16" s="20"/>
      <c r="R16" s="66">
        <v>172165.64600000001</v>
      </c>
      <c r="S16" s="20">
        <v>200967.73199999999</v>
      </c>
      <c r="T16" s="82">
        <v>61263.766000000003</v>
      </c>
      <c r="U16" s="20">
        <v>76019.269</v>
      </c>
      <c r="V16" s="20">
        <v>83265.877999999997</v>
      </c>
      <c r="W16" s="33">
        <v>97645.865000000005</v>
      </c>
      <c r="X16" s="33">
        <v>117390.486</v>
      </c>
      <c r="Y16" s="33">
        <v>165862.25200000001</v>
      </c>
      <c r="Z16" s="33">
        <v>153381.16399999999</v>
      </c>
      <c r="AA16" s="33">
        <v>224067.223</v>
      </c>
      <c r="AB16" s="33">
        <v>301300.07199999999</v>
      </c>
      <c r="AC16" s="33">
        <v>357617</v>
      </c>
      <c r="AD16" s="20">
        <v>216145.37899999999</v>
      </c>
      <c r="AE16" s="20">
        <v>212805.04500000001</v>
      </c>
      <c r="AF16" s="12">
        <v>86691.591</v>
      </c>
      <c r="AG16" s="12">
        <v>261070.91399999999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8341+2717+24531</f>
        <v>35589</v>
      </c>
      <c r="C17" s="20">
        <f>8742+2841+25929+0</f>
        <v>37512</v>
      </c>
      <c r="D17" s="20">
        <f>0+0+0+0+9087+5942+20210+0</f>
        <v>35239</v>
      </c>
      <c r="E17" s="20"/>
      <c r="F17" s="20"/>
      <c r="G17" s="20"/>
      <c r="H17" s="20"/>
      <c r="I17" s="20">
        <f>13043.351+15252.677+19177.49+64448.945</f>
        <v>111922.46299999999</v>
      </c>
      <c r="J17" s="33">
        <v>109765.226</v>
      </c>
      <c r="K17" s="20">
        <f>12227.593+12550.001+21829.58+60980.332</f>
        <v>107587.50599999999</v>
      </c>
      <c r="L17" s="20">
        <f>13622.743+15726.411+27755.615+67212.854</f>
        <v>124317.62300000001</v>
      </c>
      <c r="M17" s="20">
        <v>54457.497000000003</v>
      </c>
      <c r="N17" s="20">
        <f>13820.815+18611.926+33801.653+81163.376</f>
        <v>147397.77000000002</v>
      </c>
      <c r="O17" s="20">
        <v>177453.52177000002</v>
      </c>
      <c r="P17" s="20"/>
      <c r="Q17" s="20"/>
      <c r="R17" s="66">
        <v>310330.13699999999</v>
      </c>
      <c r="S17" s="20">
        <v>78497.013999999996</v>
      </c>
      <c r="T17" s="82">
        <v>138017.364</v>
      </c>
      <c r="U17" s="20">
        <v>144060.008</v>
      </c>
      <c r="V17" s="20">
        <v>171211.41800000001</v>
      </c>
      <c r="W17" s="33">
        <v>159155.065</v>
      </c>
      <c r="X17" s="33">
        <v>191008.549</v>
      </c>
      <c r="Y17" s="33">
        <v>213418.53200000001</v>
      </c>
      <c r="Z17" s="33">
        <v>214774.40100000001</v>
      </c>
      <c r="AA17" s="33">
        <v>106555.06600000001</v>
      </c>
      <c r="AB17" s="33">
        <v>234651.24900000001</v>
      </c>
      <c r="AC17" s="33">
        <v>221204</v>
      </c>
      <c r="AD17" s="20">
        <v>238012.93400000001</v>
      </c>
      <c r="AE17" s="20">
        <v>270358.717</v>
      </c>
      <c r="AF17" s="12">
        <v>196731.21</v>
      </c>
      <c r="AG17" s="12">
        <v>286754.53399999999</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10789+10481+6177+25+1522+8358</f>
        <v>37352</v>
      </c>
      <c r="C18" s="20">
        <f>10937+11913+11254+0+25+2473+9363+0</f>
        <v>45965</v>
      </c>
      <c r="D18" s="20">
        <f>10071+11403+10795+0+25+2255+11682+0</f>
        <v>46231</v>
      </c>
      <c r="E18" s="20"/>
      <c r="F18" s="20"/>
      <c r="G18" s="20"/>
      <c r="H18" s="20"/>
      <c r="I18" s="20">
        <f>11563.728+30820.123+20181.33+0</f>
        <v>62565.180999999997</v>
      </c>
      <c r="J18" s="33">
        <v>53713.24</v>
      </c>
      <c r="K18" s="20">
        <f>11698.766+26008.174+22185.209</f>
        <v>59892.149000000005</v>
      </c>
      <c r="L18" s="20">
        <f>10244.845+29881.336+27657.199</f>
        <v>67783.38</v>
      </c>
      <c r="M18" s="20">
        <v>67347.236000000004</v>
      </c>
      <c r="N18" s="20">
        <f>11047.821+32055.948+26556.379+0</f>
        <v>69660.148000000001</v>
      </c>
      <c r="O18" s="20">
        <v>87197.702999999994</v>
      </c>
      <c r="P18" s="20"/>
      <c r="Q18" s="20"/>
      <c r="R18" s="66">
        <v>84193.09</v>
      </c>
      <c r="S18" s="20">
        <v>151077.81599999999</v>
      </c>
      <c r="T18" s="82">
        <v>160504.087</v>
      </c>
      <c r="U18" s="20">
        <v>192291.79500000001</v>
      </c>
      <c r="V18" s="20">
        <v>202306.37</v>
      </c>
      <c r="W18" s="33">
        <v>217512.52900000001</v>
      </c>
      <c r="X18" s="33">
        <v>223951.886</v>
      </c>
      <c r="Y18" s="33">
        <v>273702.91600000003</v>
      </c>
      <c r="Z18" s="33">
        <v>276345.70699999999</v>
      </c>
      <c r="AA18" s="33">
        <v>94722.423999999999</v>
      </c>
      <c r="AB18" s="33">
        <v>294337.46500000003</v>
      </c>
      <c r="AC18" s="33">
        <v>365954</v>
      </c>
      <c r="AD18" s="20">
        <v>299325.45199999999</v>
      </c>
      <c r="AE18" s="20">
        <v>303642.53399999999</v>
      </c>
      <c r="AF18" s="12">
        <v>204829.14199999999</v>
      </c>
      <c r="AG18" s="12">
        <v>372380.02899999998</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43+2690+2835+2523+18905+7163</f>
        <v>34159</v>
      </c>
      <c r="C19" s="20">
        <f>41+5115+1194+0+444+19495+8540+0</f>
        <v>34829</v>
      </c>
      <c r="D19" s="20">
        <f>11427+7663+1830+0+0+19900+7446+0</f>
        <v>48266</v>
      </c>
      <c r="E19" s="20"/>
      <c r="F19" s="20"/>
      <c r="G19" s="20"/>
      <c r="H19" s="20"/>
      <c r="I19" s="20">
        <f>12110.199+41780.651+23309.593+0</f>
        <v>77200.442999999999</v>
      </c>
      <c r="J19" s="33">
        <v>68909.474000000002</v>
      </c>
      <c r="K19" s="20">
        <f>13333.293+50689.682+17366.415</f>
        <v>81389.39</v>
      </c>
      <c r="L19" s="20">
        <f>13608.242+55827.978+18769.276</f>
        <v>88205.495999999999</v>
      </c>
      <c r="M19" s="20">
        <v>84883.307000000001</v>
      </c>
      <c r="N19" s="20">
        <f>13073.132+61528.25+28269.465+0</f>
        <v>102870.84699999999</v>
      </c>
      <c r="O19" s="20">
        <v>108130.59212</v>
      </c>
      <c r="P19" s="20"/>
      <c r="Q19" s="20"/>
      <c r="R19" s="90">
        <v>217655.12</v>
      </c>
      <c r="S19" s="20">
        <v>185646.44</v>
      </c>
      <c r="T19" s="82">
        <v>178269.94500000001</v>
      </c>
      <c r="U19" s="20">
        <v>122361.122</v>
      </c>
      <c r="V19" s="20">
        <v>140753.973</v>
      </c>
      <c r="W19" s="33">
        <v>126622.739</v>
      </c>
      <c r="X19" s="33">
        <v>139145.141</v>
      </c>
      <c r="Y19" s="33">
        <v>148868.58799999999</v>
      </c>
      <c r="Z19" s="33">
        <v>171825.609</v>
      </c>
      <c r="AA19" s="33">
        <v>170964.36900000001</v>
      </c>
      <c r="AB19" s="33">
        <v>183227.88500000001</v>
      </c>
      <c r="AC19" s="33">
        <v>142386</v>
      </c>
      <c r="AD19" s="20">
        <v>192444.25700000001</v>
      </c>
      <c r="AE19" s="20">
        <v>198198.44200000001</v>
      </c>
      <c r="AF19" s="12">
        <v>116805.74</v>
      </c>
      <c r="AG19" s="12">
        <v>214887.19699999999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21746+28676+111832+114014+66042</f>
        <v>342310</v>
      </c>
      <c r="C20" s="20">
        <f>22636+30719+106908+0+16+141166+71811+0</f>
        <v>373256</v>
      </c>
      <c r="D20" s="20">
        <f>19836+35931+115151+0+0+161790+81467+36202</f>
        <v>450377</v>
      </c>
      <c r="E20" s="20"/>
      <c r="F20" s="20"/>
      <c r="G20" s="20"/>
      <c r="H20" s="20"/>
      <c r="I20" s="20">
        <f>27716.453+271378.072+298815.694+1655.659</f>
        <v>599565.87800000003</v>
      </c>
      <c r="J20" s="33">
        <v>666785.00300000003</v>
      </c>
      <c r="K20" s="20">
        <f>24079.48+362254.27+338215.735</f>
        <v>724549.48499999999</v>
      </c>
      <c r="L20" s="20">
        <f>25591.72+398867.092+368883.933</f>
        <v>793342.74500000011</v>
      </c>
      <c r="M20" s="20">
        <v>878946.95700000005</v>
      </c>
      <c r="N20" s="20">
        <f>24339.974+410346.928+498957.796+0</f>
        <v>933644.69799999997</v>
      </c>
      <c r="O20" s="20">
        <v>976407.76100000006</v>
      </c>
      <c r="P20" s="20"/>
      <c r="Q20" s="20"/>
      <c r="R20" s="66">
        <v>1071165.8189999999</v>
      </c>
      <c r="S20" s="20">
        <v>1063417.0449999999</v>
      </c>
      <c r="T20" s="82">
        <v>2498406.5970000001</v>
      </c>
      <c r="U20" s="20">
        <v>2604105.3050000002</v>
      </c>
      <c r="V20" s="20">
        <v>2541226.8029999998</v>
      </c>
      <c r="W20" s="33">
        <v>2853187.2349999999</v>
      </c>
      <c r="X20" s="33">
        <v>2435948.17</v>
      </c>
      <c r="Y20" s="33">
        <v>3243807.6260000002</v>
      </c>
      <c r="Z20" s="33">
        <v>2983950.8769999999</v>
      </c>
      <c r="AA20" s="33">
        <v>1944644.942</v>
      </c>
      <c r="AB20" s="33">
        <v>3589664.7749999999</v>
      </c>
      <c r="AC20" s="33">
        <v>3467360</v>
      </c>
      <c r="AD20" s="20">
        <v>3341233.7250000001</v>
      </c>
      <c r="AE20" s="20">
        <v>2089588.7339999999</v>
      </c>
      <c r="AF20" s="12">
        <v>1693765.2439999999</v>
      </c>
      <c r="AG20" s="12">
        <v>3111623.73</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7598+14686+1200+11381+1915+6947</f>
        <v>43727</v>
      </c>
      <c r="C21" s="20">
        <f>56274+8790+21036+1211+12056+1903+7240+0</f>
        <v>108510</v>
      </c>
      <c r="D21" s="20">
        <f>65266+8416+23408+0+11327+1987+8721+2020</f>
        <v>121145</v>
      </c>
      <c r="E21" s="20"/>
      <c r="F21" s="20"/>
      <c r="G21" s="20"/>
      <c r="H21" s="20"/>
      <c r="I21" s="20">
        <f>12686.55+19582.949+38228.749+366.469</f>
        <v>70864.717000000004</v>
      </c>
      <c r="J21" s="33">
        <v>73537.816000000006</v>
      </c>
      <c r="K21" s="20">
        <f>13652.97+19896.869+34775.178+278.025</f>
        <v>68603.041999999987</v>
      </c>
      <c r="L21" s="20">
        <f>13395.242+21348.713+35065.648+272.377</f>
        <v>70081.98</v>
      </c>
      <c r="M21" s="20">
        <v>80423.773000000001</v>
      </c>
      <c r="N21" s="20">
        <f>14104.726+25365.486+46537.338+315.458</f>
        <v>86323.008000000002</v>
      </c>
      <c r="O21" s="20">
        <v>83740.038</v>
      </c>
      <c r="P21" s="20"/>
      <c r="Q21" s="20"/>
      <c r="R21" s="66">
        <v>93142.576000000001</v>
      </c>
      <c r="S21" s="20">
        <v>112304.81600000001</v>
      </c>
      <c r="T21" s="82">
        <v>154525.00599999999</v>
      </c>
      <c r="U21" s="20">
        <v>106482.474</v>
      </c>
      <c r="V21" s="20">
        <v>129357.455</v>
      </c>
      <c r="W21" s="33">
        <v>133248.35</v>
      </c>
      <c r="X21" s="33">
        <v>152995.95000000001</v>
      </c>
      <c r="Y21" s="33">
        <v>157870.23699999999</v>
      </c>
      <c r="Z21" s="33">
        <v>153720.302</v>
      </c>
      <c r="AA21" s="33">
        <v>156453.323</v>
      </c>
      <c r="AB21" s="33">
        <v>223212.25599999999</v>
      </c>
      <c r="AC21" s="33">
        <v>365273</v>
      </c>
      <c r="AD21" s="20">
        <v>279450.31300000002</v>
      </c>
      <c r="AE21" s="20">
        <v>239081.81099999999</v>
      </c>
      <c r="AF21" s="12">
        <v>197215.54399999999</v>
      </c>
      <c r="AG21" s="12">
        <v>324787.95799999998</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8396+4059+10666+330+3199</f>
        <v>26650</v>
      </c>
      <c r="C22" s="51">
        <f>7252+3794+6618+0+0+327+2932+0</f>
        <v>20923</v>
      </c>
      <c r="D22" s="51">
        <f>7491+2946+7961+0+0+357+4686+0</f>
        <v>23441</v>
      </c>
      <c r="E22" s="51"/>
      <c r="F22" s="51"/>
      <c r="G22" s="51"/>
      <c r="H22" s="51"/>
      <c r="I22" s="51">
        <f>6926.945+1750.399+22762.474+0</f>
        <v>31439.817999999999</v>
      </c>
      <c r="J22" s="50">
        <v>31461.955999999998</v>
      </c>
      <c r="K22" s="51">
        <f>8263.597+4720.093+15144.195</f>
        <v>28127.884999999998</v>
      </c>
      <c r="L22" s="51">
        <f>5546.107+6578.867+13202.712</f>
        <v>25327.686000000002</v>
      </c>
      <c r="M22" s="51">
        <v>25135.268</v>
      </c>
      <c r="N22" s="51">
        <f>7832.077+5610.366+18128.709+0</f>
        <v>31571.151999999998</v>
      </c>
      <c r="O22" s="51">
        <v>32251.190600000002</v>
      </c>
      <c r="P22" s="51"/>
      <c r="Q22" s="51"/>
      <c r="R22" s="51">
        <v>36908.97</v>
      </c>
      <c r="S22" s="51">
        <v>50803.533000000003</v>
      </c>
      <c r="T22" s="113">
        <v>77968.758000000002</v>
      </c>
      <c r="U22" s="51">
        <v>39021.544000000002</v>
      </c>
      <c r="V22" s="51">
        <v>32707.05</v>
      </c>
      <c r="W22" s="50">
        <v>57080.531999999999</v>
      </c>
      <c r="X22" s="50">
        <v>83585.509999999995</v>
      </c>
      <c r="Y22" s="50">
        <v>86324.686000000002</v>
      </c>
      <c r="Z22" s="50">
        <v>89164.335000000006</v>
      </c>
      <c r="AA22" s="50">
        <v>54707.675000000003</v>
      </c>
      <c r="AB22" s="50">
        <v>168554.84899999999</v>
      </c>
      <c r="AC22" s="50">
        <v>102417</v>
      </c>
      <c r="AD22" s="51">
        <v>86604.626999999993</v>
      </c>
      <c r="AE22" s="51">
        <v>88107.955000000002</v>
      </c>
      <c r="AF22" s="51">
        <v>58763.644999999997</v>
      </c>
      <c r="AG22" s="51">
        <v>55962.464999999997</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1429590.6980000003</v>
      </c>
      <c r="M23" s="104">
        <f>SUM(M25:M37)</f>
        <v>1683633.1169999999</v>
      </c>
      <c r="O23" s="104">
        <f>SUM(O25:O37)</f>
        <v>2224210.6589999995</v>
      </c>
      <c r="R23" s="104">
        <f t="shared" ref="R23:AC23" si="10">SUM(R25:R37)</f>
        <v>2793337.7059999998</v>
      </c>
      <c r="S23" s="104">
        <f t="shared" si="10"/>
        <v>2537761.0860000001</v>
      </c>
      <c r="T23" s="114">
        <f t="shared" si="10"/>
        <v>2214529.42</v>
      </c>
      <c r="U23" s="104">
        <f t="shared" si="10"/>
        <v>2555421.3529999997</v>
      </c>
      <c r="V23" s="104">
        <f t="shared" si="10"/>
        <v>2256770.7650000001</v>
      </c>
      <c r="W23" s="104">
        <f t="shared" si="10"/>
        <v>3241126.9009999996</v>
      </c>
      <c r="X23" s="104">
        <f t="shared" si="10"/>
        <v>3088044.32</v>
      </c>
      <c r="Y23" s="104">
        <f t="shared" si="10"/>
        <v>3814624.0270000002</v>
      </c>
      <c r="Z23" s="104">
        <f t="shared" si="10"/>
        <v>4492463.8470000001</v>
      </c>
      <c r="AA23" s="104">
        <f t="shared" si="10"/>
        <v>4380477.7619999992</v>
      </c>
      <c r="AB23" s="104">
        <f t="shared" si="10"/>
        <v>5335531.2320000008</v>
      </c>
      <c r="AC23" s="104">
        <f t="shared" si="10"/>
        <v>5893743</v>
      </c>
      <c r="AD23" s="104">
        <f>SUM(AD25:AD37)</f>
        <v>6477423.7420000015</v>
      </c>
      <c r="AE23" s="104">
        <f t="shared" ref="AE23:AG23" si="11">SUM(AE25:AE37)</f>
        <v>6361458.5440000016</v>
      </c>
      <c r="AF23" s="104">
        <f>SUM(AF25:AF37)</f>
        <v>3705063.2259999998</v>
      </c>
      <c r="AG23" s="104">
        <f t="shared" si="11"/>
        <v>8114718.0549999997</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D24" s="65">
        <v>0</v>
      </c>
      <c r="AE24" s="65">
        <v>0</v>
      </c>
      <c r="AF24" s="12">
        <v>0</v>
      </c>
      <c r="AG24" s="12"/>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19339.157999999999</v>
      </c>
      <c r="K25" s="20"/>
      <c r="L25" s="20"/>
      <c r="M25" s="20">
        <v>25793.86</v>
      </c>
      <c r="N25" s="20"/>
      <c r="O25" s="20">
        <v>22218.552</v>
      </c>
      <c r="P25" s="20"/>
      <c r="Q25" s="20"/>
      <c r="R25" s="66">
        <v>16854.612000000001</v>
      </c>
      <c r="S25" s="20">
        <v>16644.822</v>
      </c>
      <c r="T25" s="82">
        <v>15542.366</v>
      </c>
      <c r="U25" s="20">
        <v>14336.376</v>
      </c>
      <c r="V25" s="20">
        <v>14564.873</v>
      </c>
      <c r="W25" s="33">
        <v>14101.079</v>
      </c>
      <c r="X25" s="33">
        <v>14653.002</v>
      </c>
      <c r="Y25" s="33">
        <v>19580.257000000001</v>
      </c>
      <c r="Z25" s="33">
        <v>20135.217000000001</v>
      </c>
      <c r="AA25" s="33">
        <v>46228.624000000003</v>
      </c>
      <c r="AB25" s="33">
        <v>41909.703999999998</v>
      </c>
      <c r="AC25" s="33">
        <v>73324</v>
      </c>
      <c r="AD25" s="20">
        <v>100142.255</v>
      </c>
      <c r="AE25" s="20">
        <v>68413.216</v>
      </c>
      <c r="AF25" s="12">
        <v>35350.864000000001</v>
      </c>
      <c r="AG25" s="12">
        <v>41609.785000000003</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43403.489000000001</v>
      </c>
      <c r="K26" s="20"/>
      <c r="L26" s="20"/>
      <c r="M26" s="20">
        <v>60894.154999999999</v>
      </c>
      <c r="N26" s="20"/>
      <c r="O26" s="20">
        <v>72744.448999999993</v>
      </c>
      <c r="P26" s="20"/>
      <c r="Q26" s="20"/>
      <c r="R26" s="66">
        <v>84844.7</v>
      </c>
      <c r="S26" s="20">
        <v>94004.065000000002</v>
      </c>
      <c r="T26" s="82">
        <v>96039.407000000007</v>
      </c>
      <c r="U26" s="20">
        <v>70124.453999999998</v>
      </c>
      <c r="V26" s="20">
        <v>88617.163</v>
      </c>
      <c r="W26" s="33">
        <v>78460.664999999994</v>
      </c>
      <c r="X26" s="33">
        <v>120629.70299999999</v>
      </c>
      <c r="Y26" s="33">
        <v>164578.24400000001</v>
      </c>
      <c r="Z26" s="33">
        <v>161447.359</v>
      </c>
      <c r="AA26" s="33">
        <v>285041.48499999999</v>
      </c>
      <c r="AB26" s="33">
        <v>213508.598</v>
      </c>
      <c r="AC26" s="33">
        <v>160066</v>
      </c>
      <c r="AD26" s="20">
        <v>201606.22899999999</v>
      </c>
      <c r="AE26" s="20">
        <v>279392.31400000001</v>
      </c>
      <c r="AF26" s="12">
        <v>204921.033</v>
      </c>
      <c r="AG26" s="12">
        <v>409786.43800000002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706770.16399999999</v>
      </c>
      <c r="K27" s="20"/>
      <c r="L27" s="20"/>
      <c r="M27" s="20">
        <v>908410.48899999994</v>
      </c>
      <c r="N27" s="20"/>
      <c r="O27" s="20">
        <v>1220901.0249999999</v>
      </c>
      <c r="P27" s="20"/>
      <c r="Q27" s="20"/>
      <c r="R27" s="66">
        <v>1490613.8149999999</v>
      </c>
      <c r="S27" s="20">
        <v>1232984.733</v>
      </c>
      <c r="T27" s="82">
        <v>770201.21</v>
      </c>
      <c r="U27" s="20">
        <v>1058750.0179999999</v>
      </c>
      <c r="V27" s="20">
        <v>1119253.7239999999</v>
      </c>
      <c r="W27" s="33">
        <v>1306029.6869999999</v>
      </c>
      <c r="X27" s="33">
        <v>1372060.108</v>
      </c>
      <c r="Y27" s="33">
        <v>1939186.6</v>
      </c>
      <c r="Z27" s="33">
        <v>3027204.8709999998</v>
      </c>
      <c r="AA27" s="33">
        <v>2758338.7319999998</v>
      </c>
      <c r="AB27" s="33">
        <v>3148958.469</v>
      </c>
      <c r="AC27" s="33">
        <v>3786250</v>
      </c>
      <c r="AD27" s="20">
        <v>4348342.57</v>
      </c>
      <c r="AE27" s="20">
        <v>4087936.5150000001</v>
      </c>
      <c r="AF27" s="12">
        <v>2400173.1889999998</v>
      </c>
      <c r="AG27" s="12">
        <v>5169486.3269999996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103949.499</v>
      </c>
      <c r="K28" s="20"/>
      <c r="L28" s="20"/>
      <c r="M28" s="20">
        <v>117683.32399999999</v>
      </c>
      <c r="N28" s="20"/>
      <c r="O28" s="20">
        <v>160938.02460000003</v>
      </c>
      <c r="P28" s="20"/>
      <c r="Q28" s="20"/>
      <c r="R28" s="66">
        <v>184631.777</v>
      </c>
      <c r="S28" s="20">
        <v>217395.74799999999</v>
      </c>
      <c r="T28" s="82">
        <v>152858.73699999999</v>
      </c>
      <c r="U28" s="20">
        <v>150676.54199999999</v>
      </c>
      <c r="V28" s="20">
        <v>92827.380999999994</v>
      </c>
      <c r="W28" s="33">
        <v>607090.96299999999</v>
      </c>
      <c r="X28" s="33">
        <v>220701.58799999999</v>
      </c>
      <c r="Y28" s="33">
        <v>243174.46</v>
      </c>
      <c r="Z28" s="33">
        <v>270243.924</v>
      </c>
      <c r="AA28" s="33">
        <v>374824.73100000003</v>
      </c>
      <c r="AB28" s="33">
        <v>540451.87699999998</v>
      </c>
      <c r="AC28" s="33">
        <v>343437</v>
      </c>
      <c r="AD28" s="20">
        <v>358118.05300000001</v>
      </c>
      <c r="AE28" s="20">
        <v>355690.03100000002</v>
      </c>
      <c r="AF28" s="12">
        <v>161597.13800000001</v>
      </c>
      <c r="AG28" s="12">
        <v>395332.44099999999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10201.326999999999</v>
      </c>
      <c r="K29" s="20"/>
      <c r="L29" s="20"/>
      <c r="M29" s="20">
        <v>8886.8909999999996</v>
      </c>
      <c r="N29" s="20"/>
      <c r="O29" s="20">
        <v>11967.293</v>
      </c>
      <c r="P29" s="20"/>
      <c r="Q29" s="20"/>
      <c r="R29" s="66">
        <v>13488.161</v>
      </c>
      <c r="S29" s="20">
        <v>11722.233</v>
      </c>
      <c r="T29" s="82">
        <v>14220.357</v>
      </c>
      <c r="U29" s="20">
        <v>41918.775999999998</v>
      </c>
      <c r="V29" s="20">
        <v>1519.0840000000001</v>
      </c>
      <c r="W29" s="33">
        <v>67359.611999999994</v>
      </c>
      <c r="X29" s="33">
        <v>21708.972000000002</v>
      </c>
      <c r="Y29" s="33">
        <v>12198.987999999999</v>
      </c>
      <c r="Z29" s="33">
        <v>34720.673999999999</v>
      </c>
      <c r="AA29" s="33">
        <v>15297.079</v>
      </c>
      <c r="AB29" s="33">
        <v>22197.662</v>
      </c>
      <c r="AC29" s="33">
        <v>21788</v>
      </c>
      <c r="AD29" s="20">
        <v>23786.395</v>
      </c>
      <c r="AE29" s="20">
        <v>21753.483</v>
      </c>
      <c r="AF29" s="12">
        <v>18478.081999999999</v>
      </c>
      <c r="AG29" s="12">
        <v>19276.342000000001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27306.521000000001</v>
      </c>
      <c r="K30" s="20"/>
      <c r="L30" s="20"/>
      <c r="M30" s="20">
        <v>33347.209000000003</v>
      </c>
      <c r="N30" s="20"/>
      <c r="O30" s="20">
        <v>29099.826000000001</v>
      </c>
      <c r="P30" s="20"/>
      <c r="Q30" s="20"/>
      <c r="R30" s="66">
        <v>36090.786999999997</v>
      </c>
      <c r="S30" s="20">
        <v>42229.161999999997</v>
      </c>
      <c r="T30" s="82">
        <v>29205.957999999999</v>
      </c>
      <c r="U30" s="20">
        <v>30116.881000000001</v>
      </c>
      <c r="V30" s="20">
        <v>21293.047999999999</v>
      </c>
      <c r="W30" s="33">
        <v>29655.348000000002</v>
      </c>
      <c r="X30" s="33">
        <v>34799.730000000003</v>
      </c>
      <c r="Y30" s="33">
        <v>25819.916000000001</v>
      </c>
      <c r="Z30" s="33">
        <v>49280.959000000003</v>
      </c>
      <c r="AA30" s="33">
        <v>22510.187999999998</v>
      </c>
      <c r="AB30" s="33">
        <v>42463.093000000001</v>
      </c>
      <c r="AC30" s="33">
        <v>46104</v>
      </c>
      <c r="AD30" s="20">
        <v>41987.775000000001</v>
      </c>
      <c r="AE30" s="20">
        <v>40214.383999999998</v>
      </c>
      <c r="AF30" s="12">
        <v>30739.935000000001</v>
      </c>
      <c r="AG30" s="12">
        <v>42972.201000000001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28356.501</v>
      </c>
      <c r="K31" s="20"/>
      <c r="L31" s="20"/>
      <c r="M31" s="20">
        <v>35314.591</v>
      </c>
      <c r="N31" s="20"/>
      <c r="O31" s="20">
        <v>43700.383999999998</v>
      </c>
      <c r="P31" s="20"/>
      <c r="Q31" s="20"/>
      <c r="R31" s="90">
        <v>47805.633999999998</v>
      </c>
      <c r="S31" s="20">
        <v>48653.033000000003</v>
      </c>
      <c r="T31" s="82">
        <v>50263.404999999999</v>
      </c>
      <c r="U31" s="20">
        <v>58993.356</v>
      </c>
      <c r="V31" s="20">
        <v>46883.735000000001</v>
      </c>
      <c r="W31" s="33">
        <v>56618.667000000001</v>
      </c>
      <c r="X31" s="33">
        <v>57563.587</v>
      </c>
      <c r="Y31" s="33">
        <v>61873.868999999999</v>
      </c>
      <c r="Z31" s="33">
        <v>52592.074000000001</v>
      </c>
      <c r="AA31" s="33">
        <v>52564.326000000001</v>
      </c>
      <c r="AB31" s="33">
        <v>83058.702999999994</v>
      </c>
      <c r="AC31" s="33">
        <v>81370</v>
      </c>
      <c r="AD31" s="20">
        <v>74013.487999999998</v>
      </c>
      <c r="AE31" s="20">
        <v>85995.9</v>
      </c>
      <c r="AF31" s="12">
        <v>42420.690999999999</v>
      </c>
      <c r="AG31" s="12">
        <v>88618.834000000003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24996.542000000001</v>
      </c>
      <c r="K32" s="20"/>
      <c r="L32" s="20"/>
      <c r="M32" s="20">
        <v>23863.106</v>
      </c>
      <c r="N32" s="20"/>
      <c r="O32" s="20">
        <v>33178.106</v>
      </c>
      <c r="P32" s="20"/>
      <c r="Q32" s="20"/>
      <c r="R32" s="92">
        <v>38206.587</v>
      </c>
      <c r="S32" s="20">
        <v>45188.021999999997</v>
      </c>
      <c r="T32" s="82">
        <v>62672.481</v>
      </c>
      <c r="U32" s="20">
        <v>67217.576000000001</v>
      </c>
      <c r="V32" s="20">
        <v>60005.290999999997</v>
      </c>
      <c r="W32" s="33">
        <v>67005.680999999997</v>
      </c>
      <c r="X32" s="33">
        <v>88748.217000000004</v>
      </c>
      <c r="Y32" s="33">
        <v>67086.995999999999</v>
      </c>
      <c r="Z32" s="33">
        <v>118549.132</v>
      </c>
      <c r="AA32" s="33">
        <v>120815.618</v>
      </c>
      <c r="AB32" s="33">
        <v>115326.556</v>
      </c>
      <c r="AC32" s="33">
        <v>54636</v>
      </c>
      <c r="AD32" s="20">
        <v>50661.127</v>
      </c>
      <c r="AE32" s="20">
        <v>96107.956999999995</v>
      </c>
      <c r="AF32" s="12">
        <v>21821.859</v>
      </c>
      <c r="AG32" s="12">
        <v>113640.48299999999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132668.193</v>
      </c>
      <c r="K33" s="20"/>
      <c r="L33" s="20"/>
      <c r="M33" s="20">
        <v>77391.226999999999</v>
      </c>
      <c r="N33" s="20"/>
      <c r="O33" s="20">
        <v>144006.9614</v>
      </c>
      <c r="P33" s="20"/>
      <c r="Q33" s="20"/>
      <c r="R33" s="92">
        <v>215553.63500000001</v>
      </c>
      <c r="S33" s="20">
        <v>143704.56299999999</v>
      </c>
      <c r="T33" s="82">
        <v>147723.467</v>
      </c>
      <c r="U33" s="20">
        <v>187655.75899999999</v>
      </c>
      <c r="V33" s="20">
        <v>184718.65299999999</v>
      </c>
      <c r="W33" s="33">
        <v>190101.24</v>
      </c>
      <c r="X33" s="33">
        <v>242491.43799999999</v>
      </c>
      <c r="Y33" s="33">
        <v>212121.94500000001</v>
      </c>
      <c r="Z33" s="33">
        <v>278423.92099999997</v>
      </c>
      <c r="AA33" s="33">
        <v>235043.50200000001</v>
      </c>
      <c r="AB33" s="33">
        <v>281462.11499999999</v>
      </c>
      <c r="AC33" s="33">
        <v>383091</v>
      </c>
      <c r="AD33" s="20">
        <v>388037.13199999998</v>
      </c>
      <c r="AE33" s="20">
        <v>386049.20699999999</v>
      </c>
      <c r="AF33" s="12">
        <v>398392.96</v>
      </c>
      <c r="AG33" s="12">
        <v>396854.658</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41231.404000000002</v>
      </c>
      <c r="K34" s="20"/>
      <c r="L34" s="20"/>
      <c r="M34" s="20">
        <v>67857.510999999999</v>
      </c>
      <c r="N34" s="20"/>
      <c r="O34" s="20">
        <v>89554.294999999998</v>
      </c>
      <c r="P34" s="20"/>
      <c r="Q34" s="20"/>
      <c r="R34" s="66">
        <v>145418.99900000001</v>
      </c>
      <c r="S34" s="20">
        <v>122052.591</v>
      </c>
      <c r="T34" s="82">
        <v>243775.144</v>
      </c>
      <c r="U34" s="20">
        <v>207276.46400000001</v>
      </c>
      <c r="V34" s="20">
        <v>114606.8</v>
      </c>
      <c r="W34" s="33">
        <v>157570.85999999999</v>
      </c>
      <c r="X34" s="33">
        <v>180725.37700000001</v>
      </c>
      <c r="Y34" s="33">
        <v>225653</v>
      </c>
      <c r="Z34" s="33">
        <v>114380.58500000001</v>
      </c>
      <c r="AA34" s="33">
        <v>136126.698</v>
      </c>
      <c r="AB34" s="33">
        <v>248813.72200000001</v>
      </c>
      <c r="AC34" s="33">
        <v>357700</v>
      </c>
      <c r="AD34" s="20">
        <v>218254.59700000001</v>
      </c>
      <c r="AE34" s="20">
        <v>217058.122</v>
      </c>
      <c r="AF34" s="12">
        <v>145507.00399999999</v>
      </c>
      <c r="AG34" s="12">
        <v>608261.02599999995</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154101.32699999999</v>
      </c>
      <c r="K35" s="20"/>
      <c r="L35" s="20"/>
      <c r="M35" s="20">
        <v>179826.13699999999</v>
      </c>
      <c r="N35" s="20"/>
      <c r="O35" s="20">
        <v>213804.00399999999</v>
      </c>
      <c r="P35" s="20"/>
      <c r="Q35" s="20"/>
      <c r="R35" s="66">
        <v>291504.46299999999</v>
      </c>
      <c r="S35" s="20">
        <v>328072.23300000001</v>
      </c>
      <c r="T35" s="82">
        <v>385554.62300000002</v>
      </c>
      <c r="U35" s="20">
        <v>425822.97</v>
      </c>
      <c r="V35" s="20">
        <v>308062.50400000002</v>
      </c>
      <c r="W35" s="33">
        <v>433348.391</v>
      </c>
      <c r="X35" s="33">
        <v>499752.12099999998</v>
      </c>
      <c r="Y35" s="33">
        <v>538128.93200000003</v>
      </c>
      <c r="Z35" s="33">
        <v>48520.294999999998</v>
      </c>
      <c r="AA35" s="33">
        <v>46536.334000000003</v>
      </c>
      <c r="AB35" s="33">
        <v>268954.663</v>
      </c>
      <c r="AC35" s="33">
        <v>232227</v>
      </c>
      <c r="AD35" s="20">
        <v>262875.92599999998</v>
      </c>
      <c r="AE35" s="20">
        <v>310474.81300000002</v>
      </c>
      <c r="AF35" s="12">
        <v>33117.862999999998</v>
      </c>
      <c r="AG35" s="12">
        <v>383047.94900000002</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115174.323</v>
      </c>
      <c r="K36" s="20"/>
      <c r="L36" s="20"/>
      <c r="M36" s="20">
        <v>120268.765</v>
      </c>
      <c r="N36" s="20"/>
      <c r="O36" s="20">
        <v>158335.459</v>
      </c>
      <c r="P36" s="20"/>
      <c r="Q36" s="20"/>
      <c r="R36" s="66">
        <v>197853.73199999999</v>
      </c>
      <c r="S36" s="20">
        <v>198457.77499999999</v>
      </c>
      <c r="T36" s="82">
        <v>224865.01</v>
      </c>
      <c r="U36" s="20">
        <v>219278.408</v>
      </c>
      <c r="V36" s="20">
        <v>180212.65700000001</v>
      </c>
      <c r="W36" s="33">
        <v>206611</v>
      </c>
      <c r="X36" s="33">
        <v>209059.973</v>
      </c>
      <c r="Y36" s="33">
        <v>279655.45500000002</v>
      </c>
      <c r="Z36" s="33">
        <v>285202.92099999997</v>
      </c>
      <c r="AA36" s="33">
        <v>263988.46399999998</v>
      </c>
      <c r="AB36" s="33">
        <v>302184.90500000003</v>
      </c>
      <c r="AC36" s="33">
        <v>323121</v>
      </c>
      <c r="AD36" s="20">
        <v>342183.97899999999</v>
      </c>
      <c r="AE36" s="20">
        <v>375945.57900000003</v>
      </c>
      <c r="AF36" s="12">
        <v>192309.77299999999</v>
      </c>
      <c r="AG36" s="12">
        <v>413915.42700000003</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22092.25</v>
      </c>
      <c r="K37" s="51"/>
      <c r="L37" s="51"/>
      <c r="M37" s="51">
        <v>24095.851999999999</v>
      </c>
      <c r="N37" s="51"/>
      <c r="O37" s="51">
        <v>23762.28</v>
      </c>
      <c r="P37" s="51"/>
      <c r="Q37" s="51"/>
      <c r="R37" s="67">
        <v>30470.804</v>
      </c>
      <c r="S37" s="51">
        <v>36652.106</v>
      </c>
      <c r="T37" s="113">
        <v>21607.255000000001</v>
      </c>
      <c r="U37" s="51">
        <v>23253.773000000001</v>
      </c>
      <c r="V37" s="51">
        <v>24205.851999999999</v>
      </c>
      <c r="W37" s="50">
        <v>27173.707999999999</v>
      </c>
      <c r="X37" s="50">
        <v>25150.504000000001</v>
      </c>
      <c r="Y37" s="50">
        <v>25565.365000000002</v>
      </c>
      <c r="Z37" s="50">
        <v>31761.915000000001</v>
      </c>
      <c r="AA37" s="50">
        <v>23161.981</v>
      </c>
      <c r="AB37" s="50">
        <v>26241.165000000001</v>
      </c>
      <c r="AC37" s="50">
        <v>30629</v>
      </c>
      <c r="AD37" s="51">
        <v>67414.216</v>
      </c>
      <c r="AE37" s="51">
        <v>36427.023000000001</v>
      </c>
      <c r="AF37" s="51">
        <v>20232.834999999999</v>
      </c>
      <c r="AG37" s="51">
        <v>31916.144</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1573840.219</v>
      </c>
      <c r="M38" s="104">
        <f>SUM(M40:M51)</f>
        <v>1843205.0630000001</v>
      </c>
      <c r="O38" s="104">
        <f>SUM(O40:O51)</f>
        <v>2231547.2122899997</v>
      </c>
      <c r="R38" s="104">
        <f t="shared" ref="R38:AG38" si="12">SUM(R40:R51)</f>
        <v>2578477.7349999999</v>
      </c>
      <c r="S38" s="104">
        <f t="shared" si="12"/>
        <v>2645444.89</v>
      </c>
      <c r="T38" s="114">
        <f t="shared" si="12"/>
        <v>2883536.8790000007</v>
      </c>
      <c r="U38" s="104">
        <f t="shared" si="12"/>
        <v>3085749.7230000002</v>
      </c>
      <c r="V38" s="104">
        <f t="shared" si="12"/>
        <v>4097911.8540000007</v>
      </c>
      <c r="W38" s="104">
        <f t="shared" si="12"/>
        <v>3364970.1520000002</v>
      </c>
      <c r="X38" s="104">
        <f t="shared" si="12"/>
        <v>3786536.5279999995</v>
      </c>
      <c r="Y38" s="104">
        <f t="shared" si="12"/>
        <v>3736642.3269999996</v>
      </c>
      <c r="Z38" s="104">
        <f t="shared" si="12"/>
        <v>3406861.6710000001</v>
      </c>
      <c r="AA38" s="104">
        <f t="shared" si="12"/>
        <v>3618156.5869999998</v>
      </c>
      <c r="AB38" s="104">
        <f t="shared" si="12"/>
        <v>4766216.915</v>
      </c>
      <c r="AC38" s="104">
        <f t="shared" si="12"/>
        <v>5153166</v>
      </c>
      <c r="AD38" s="104">
        <f t="shared" si="12"/>
        <v>5145852.08</v>
      </c>
      <c r="AE38" s="104">
        <f t="shared" si="12"/>
        <v>5554100.4469999988</v>
      </c>
      <c r="AF38" s="104">
        <f>SUM(AF40:AF51)</f>
        <v>3723673.4670000002</v>
      </c>
      <c r="AG38" s="104">
        <f t="shared" si="12"/>
        <v>6191205.6560000004</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D39" s="65">
        <v>0</v>
      </c>
      <c r="AE39" s="65">
        <v>0</v>
      </c>
      <c r="AF39" s="12">
        <v>0</v>
      </c>
      <c r="AG39" s="12"/>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227578.019</v>
      </c>
      <c r="K40" s="20"/>
      <c r="L40" s="20"/>
      <c r="M40" s="20">
        <v>304399.71100000001</v>
      </c>
      <c r="N40" s="20"/>
      <c r="O40" s="20">
        <v>392582.821</v>
      </c>
      <c r="P40" s="20"/>
      <c r="Q40" s="20"/>
      <c r="R40" s="66">
        <v>419961.51299999998</v>
      </c>
      <c r="S40" s="20">
        <v>416010.75</v>
      </c>
      <c r="T40" s="82">
        <v>794351.96200000006</v>
      </c>
      <c r="U40" s="20">
        <v>917260.56400000001</v>
      </c>
      <c r="V40" s="20">
        <v>1858214.5349999999</v>
      </c>
      <c r="W40" s="33">
        <v>986805.53599999996</v>
      </c>
      <c r="X40" s="33">
        <v>1213680.3929999999</v>
      </c>
      <c r="Y40" s="33">
        <v>1180747.496</v>
      </c>
      <c r="Z40" s="33">
        <v>1326343.0009999999</v>
      </c>
      <c r="AA40" s="33">
        <v>1422637.4709999999</v>
      </c>
      <c r="AB40" s="33">
        <v>1570633.4010000001</v>
      </c>
      <c r="AC40" s="33">
        <v>1698051</v>
      </c>
      <c r="AD40" s="20">
        <v>1896029.098</v>
      </c>
      <c r="AE40" s="20">
        <v>2318608.7429999998</v>
      </c>
      <c r="AF40" s="12">
        <v>1960802.7660000001</v>
      </c>
      <c r="AG40" s="12">
        <v>2550120.2779999999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176714.30799999999</v>
      </c>
      <c r="K41" s="20"/>
      <c r="L41" s="20"/>
      <c r="M41" s="20">
        <v>224821.78700000001</v>
      </c>
      <c r="N41" s="20"/>
      <c r="O41" s="20">
        <v>263614.32799999998</v>
      </c>
      <c r="P41" s="20"/>
      <c r="Q41" s="20"/>
      <c r="R41" s="66">
        <v>330259.65399999998</v>
      </c>
      <c r="S41" s="20">
        <v>368467.04200000002</v>
      </c>
      <c r="T41" s="82">
        <v>300838.57</v>
      </c>
      <c r="U41" s="20">
        <v>292234.13699999999</v>
      </c>
      <c r="V41" s="20">
        <v>301801.09700000001</v>
      </c>
      <c r="W41" s="33">
        <v>331399.45500000002</v>
      </c>
      <c r="X41" s="33">
        <v>373706.348</v>
      </c>
      <c r="Y41" s="33">
        <v>360443.45199999999</v>
      </c>
      <c r="Z41" s="33">
        <v>417992.973</v>
      </c>
      <c r="AA41" s="33">
        <v>326219.125</v>
      </c>
      <c r="AB41" s="33">
        <v>389886.25900000002</v>
      </c>
      <c r="AC41" s="33">
        <v>428431</v>
      </c>
      <c r="AD41" s="20">
        <v>458425.63699999999</v>
      </c>
      <c r="AE41" s="20">
        <v>464895.63799999998</v>
      </c>
      <c r="AF41" s="12">
        <v>296862.33799999999</v>
      </c>
      <c r="AG41" s="12">
        <v>497419.61599999998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136339.337</v>
      </c>
      <c r="K42" s="20"/>
      <c r="L42" s="20"/>
      <c r="M42" s="20">
        <v>125837.151</v>
      </c>
      <c r="N42" s="20"/>
      <c r="O42" s="20">
        <v>164273.85800000001</v>
      </c>
      <c r="P42" s="20"/>
      <c r="Q42" s="20"/>
      <c r="R42" s="66">
        <v>180583.95699999999</v>
      </c>
      <c r="S42" s="20">
        <v>193541.514</v>
      </c>
      <c r="T42" s="82">
        <v>252537.32</v>
      </c>
      <c r="U42" s="20">
        <v>148348.83300000001</v>
      </c>
      <c r="V42" s="20">
        <v>178679.95300000001</v>
      </c>
      <c r="W42" s="33">
        <v>174527.226</v>
      </c>
      <c r="X42" s="33">
        <v>254198.00200000001</v>
      </c>
      <c r="Y42" s="33">
        <v>179688.9</v>
      </c>
      <c r="Z42" s="33">
        <v>244071.823</v>
      </c>
      <c r="AA42" s="33">
        <v>254965.70800000001</v>
      </c>
      <c r="AB42" s="33">
        <v>218294.7</v>
      </c>
      <c r="AC42" s="33">
        <v>229674</v>
      </c>
      <c r="AD42" s="20">
        <v>258781.758</v>
      </c>
      <c r="AE42" s="20">
        <v>245154.334</v>
      </c>
      <c r="AF42" s="12">
        <v>234958.32699999999</v>
      </c>
      <c r="AG42" s="12">
        <v>366202.70199999999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67922.342999999993</v>
      </c>
      <c r="K43" s="20"/>
      <c r="L43" s="20"/>
      <c r="M43" s="20">
        <v>91910.877999999997</v>
      </c>
      <c r="N43" s="20"/>
      <c r="O43" s="20">
        <v>110039.75864</v>
      </c>
      <c r="P43" s="20"/>
      <c r="Q43" s="20"/>
      <c r="R43" s="66">
        <v>149706.08799999999</v>
      </c>
      <c r="S43" s="20">
        <v>154765.492</v>
      </c>
      <c r="T43" s="82">
        <v>115042.181</v>
      </c>
      <c r="U43" s="20">
        <v>174880.927</v>
      </c>
      <c r="V43" s="20">
        <v>246423.58499999999</v>
      </c>
      <c r="W43" s="33">
        <v>238654.26300000001</v>
      </c>
      <c r="X43" s="33">
        <v>253990.16399999999</v>
      </c>
      <c r="Y43" s="33">
        <v>282601.30099999998</v>
      </c>
      <c r="Z43" s="33">
        <v>163691.06</v>
      </c>
      <c r="AA43" s="33">
        <v>194203.60399999999</v>
      </c>
      <c r="AB43" s="33">
        <v>246286.538</v>
      </c>
      <c r="AC43" s="33">
        <v>284829</v>
      </c>
      <c r="AD43" s="20">
        <v>321856.54700000002</v>
      </c>
      <c r="AE43" s="20">
        <v>241616.58499999999</v>
      </c>
      <c r="AF43" s="12">
        <v>104794.034</v>
      </c>
      <c r="AG43" s="12">
        <v>277798.19699999999</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202346.81299999999</v>
      </c>
      <c r="K44" s="20"/>
      <c r="L44" s="20"/>
      <c r="M44" s="20">
        <v>249555.47700000001</v>
      </c>
      <c r="N44" s="20"/>
      <c r="O44" s="20">
        <v>314191.03999999998</v>
      </c>
      <c r="P44" s="20"/>
      <c r="Q44" s="20"/>
      <c r="R44" s="66">
        <v>464122.57400000002</v>
      </c>
      <c r="S44" s="20">
        <v>398971.76699999999</v>
      </c>
      <c r="T44" s="82">
        <v>306773.99800000002</v>
      </c>
      <c r="U44" s="20">
        <v>305710.76500000001</v>
      </c>
      <c r="V44" s="20">
        <v>335608.33199999999</v>
      </c>
      <c r="W44" s="33">
        <v>362472.35600000003</v>
      </c>
      <c r="X44" s="33">
        <v>382108.34899999999</v>
      </c>
      <c r="Y44" s="33">
        <v>455788.32</v>
      </c>
      <c r="Z44" s="33">
        <v>75954.903000000006</v>
      </c>
      <c r="AA44" s="33">
        <v>107220.057</v>
      </c>
      <c r="AB44" s="33">
        <v>525156.64</v>
      </c>
      <c r="AC44" s="33">
        <v>646420</v>
      </c>
      <c r="AD44" s="20">
        <v>583992.44900000002</v>
      </c>
      <c r="AE44" s="20">
        <v>568154.19999999995</v>
      </c>
      <c r="AF44" s="12">
        <v>172121.58300000001</v>
      </c>
      <c r="AG44" s="12">
        <v>651604.55900000001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136962.60200000001</v>
      </c>
      <c r="K45" s="20"/>
      <c r="L45" s="20"/>
      <c r="M45" s="20">
        <v>160856.755</v>
      </c>
      <c r="N45" s="20"/>
      <c r="O45" s="20">
        <v>170211.533</v>
      </c>
      <c r="P45" s="20"/>
      <c r="Q45" s="20"/>
      <c r="R45" s="66">
        <v>161513.63200000001</v>
      </c>
      <c r="S45" s="20">
        <v>169715.04300000001</v>
      </c>
      <c r="T45" s="82">
        <v>181144.75599999999</v>
      </c>
      <c r="U45" s="20">
        <v>190331.83100000001</v>
      </c>
      <c r="V45" s="20">
        <v>273898.342</v>
      </c>
      <c r="W45" s="33">
        <v>349422.114</v>
      </c>
      <c r="X45" s="33">
        <v>286316.34399999998</v>
      </c>
      <c r="Y45" s="33">
        <v>225060.09</v>
      </c>
      <c r="Z45" s="33">
        <v>49331.444000000003</v>
      </c>
      <c r="AA45" s="33">
        <v>74589.391000000003</v>
      </c>
      <c r="AB45" s="33">
        <v>362836.44400000002</v>
      </c>
      <c r="AC45" s="33">
        <v>252383</v>
      </c>
      <c r="AD45" s="20">
        <v>224977.83</v>
      </c>
      <c r="AE45" s="20">
        <v>251656.88500000001</v>
      </c>
      <c r="AF45" s="12">
        <v>91638.591</v>
      </c>
      <c r="AG45" s="12">
        <v>235411.81899999999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114040.38499999999</v>
      </c>
      <c r="K46" s="20"/>
      <c r="L46" s="20"/>
      <c r="M46" s="20">
        <v>147774.856</v>
      </c>
      <c r="N46" s="20"/>
      <c r="O46" s="20">
        <v>181030.54399999999</v>
      </c>
      <c r="P46" s="20"/>
      <c r="Q46" s="20"/>
      <c r="R46" s="66">
        <v>181809.08300000001</v>
      </c>
      <c r="S46" s="20">
        <v>188751.42499999999</v>
      </c>
      <c r="T46" s="82">
        <v>82654.668999999994</v>
      </c>
      <c r="U46" s="20">
        <v>150398.117</v>
      </c>
      <c r="V46" s="20">
        <v>151577.37899999999</v>
      </c>
      <c r="W46" s="33">
        <v>149694.24400000001</v>
      </c>
      <c r="X46" s="33">
        <v>172225.97899999999</v>
      </c>
      <c r="Y46" s="33">
        <v>137040.90700000001</v>
      </c>
      <c r="Z46" s="33">
        <v>105484.65399999999</v>
      </c>
      <c r="AA46" s="33">
        <v>114671.803</v>
      </c>
      <c r="AB46" s="33">
        <v>111341.11900000001</v>
      </c>
      <c r="AC46" s="33">
        <v>119584</v>
      </c>
      <c r="AD46" s="20">
        <v>186134.61900000001</v>
      </c>
      <c r="AE46" s="20">
        <v>145212.095</v>
      </c>
      <c r="AF46" s="12">
        <v>108640.576</v>
      </c>
      <c r="AG46" s="12">
        <v>175812.98199999999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36056.173000000003</v>
      </c>
      <c r="K47" s="20"/>
      <c r="L47" s="20"/>
      <c r="M47" s="20">
        <v>43478.277000000002</v>
      </c>
      <c r="N47" s="20"/>
      <c r="O47" s="20">
        <v>96672.191999999995</v>
      </c>
      <c r="P47" s="20"/>
      <c r="Q47" s="20"/>
      <c r="R47" s="92">
        <v>54593.514000000003</v>
      </c>
      <c r="S47" s="20">
        <v>63316.925000000003</v>
      </c>
      <c r="T47" s="82">
        <v>143513.02799999999</v>
      </c>
      <c r="U47" s="20">
        <v>132051.489</v>
      </c>
      <c r="V47" s="20">
        <v>68676.585999999996</v>
      </c>
      <c r="W47" s="33">
        <v>69550.414999999994</v>
      </c>
      <c r="X47" s="33">
        <v>68787.986000000004</v>
      </c>
      <c r="Y47" s="33">
        <v>82433.02</v>
      </c>
      <c r="Z47" s="33">
        <v>148928.12400000001</v>
      </c>
      <c r="AA47" s="33">
        <v>108262.251</v>
      </c>
      <c r="AB47" s="33">
        <v>146546.027</v>
      </c>
      <c r="AC47" s="33">
        <v>137536</v>
      </c>
      <c r="AD47" s="20">
        <v>92533.766000000003</v>
      </c>
      <c r="AE47" s="20">
        <v>125100.452</v>
      </c>
      <c r="AF47" s="12">
        <v>91322.455000000002</v>
      </c>
      <c r="AG47" s="12">
        <v>220061.86</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37658.525999999998</v>
      </c>
      <c r="K48" s="20"/>
      <c r="L48" s="20"/>
      <c r="M48" s="20">
        <v>38521.478999999999</v>
      </c>
      <c r="N48" s="20"/>
      <c r="O48" s="20">
        <v>43466.504999999997</v>
      </c>
      <c r="P48" s="20"/>
      <c r="Q48" s="20"/>
      <c r="R48" s="66">
        <v>47243.135000000002</v>
      </c>
      <c r="S48" s="20">
        <v>56758.105000000003</v>
      </c>
      <c r="T48" s="82">
        <v>59938.292000000001</v>
      </c>
      <c r="U48" s="20">
        <v>57273.836000000003</v>
      </c>
      <c r="V48" s="20">
        <v>62101.364999999998</v>
      </c>
      <c r="W48" s="33">
        <v>48285.764000000003</v>
      </c>
      <c r="X48" s="33">
        <v>49354.510999999999</v>
      </c>
      <c r="Y48" s="33">
        <v>51558.951000000001</v>
      </c>
      <c r="Z48" s="33">
        <v>67075.691999999995</v>
      </c>
      <c r="AA48" s="33">
        <v>61651.1</v>
      </c>
      <c r="AB48" s="33">
        <v>63590.277999999998</v>
      </c>
      <c r="AC48" s="33">
        <v>65617</v>
      </c>
      <c r="AD48" s="20">
        <v>74239.395999999993</v>
      </c>
      <c r="AE48" s="20">
        <v>80244.667000000001</v>
      </c>
      <c r="AF48" s="12">
        <v>14250.209000000001</v>
      </c>
      <c r="AG48" s="12">
        <v>106467.58900000001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226687.35800000001</v>
      </c>
      <c r="K49" s="20"/>
      <c r="L49" s="20"/>
      <c r="M49" s="20">
        <v>218894.18</v>
      </c>
      <c r="N49" s="20"/>
      <c r="O49" s="20">
        <v>251666.35500000001</v>
      </c>
      <c r="P49" s="20"/>
      <c r="Q49" s="20"/>
      <c r="R49" s="66">
        <v>275007.61700000003</v>
      </c>
      <c r="S49" s="20">
        <v>315874.413</v>
      </c>
      <c r="T49" s="82">
        <v>286631.78600000002</v>
      </c>
      <c r="U49" s="20">
        <v>301025.65999999997</v>
      </c>
      <c r="V49" s="20">
        <v>201386.6</v>
      </c>
      <c r="W49" s="33">
        <v>224974.84099999999</v>
      </c>
      <c r="X49" s="33">
        <v>248053.31400000001</v>
      </c>
      <c r="Y49" s="33">
        <v>264342.91700000002</v>
      </c>
      <c r="Z49" s="33">
        <v>265248.74</v>
      </c>
      <c r="AA49" s="33">
        <v>265309.886</v>
      </c>
      <c r="AB49" s="33">
        <v>492453.353</v>
      </c>
      <c r="AC49" s="33">
        <v>565602</v>
      </c>
      <c r="AD49" s="20">
        <v>279753.09600000002</v>
      </c>
      <c r="AE49" s="20">
        <v>289467.522</v>
      </c>
      <c r="AF49" s="12">
        <v>203762.875</v>
      </c>
      <c r="AG49" s="12">
        <v>301230.80300000001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23708.166000000001</v>
      </c>
      <c r="K50" s="20"/>
      <c r="L50" s="20"/>
      <c r="M50" s="20">
        <v>29007.431</v>
      </c>
      <c r="N50" s="20"/>
      <c r="O50" s="20">
        <v>33107.982650000005</v>
      </c>
      <c r="P50" s="20"/>
      <c r="Q50" s="20"/>
      <c r="R50" s="66">
        <v>40307.014000000003</v>
      </c>
      <c r="S50" s="20">
        <v>36864.760999999999</v>
      </c>
      <c r="T50" s="82">
        <v>14171.49</v>
      </c>
      <c r="U50" s="20">
        <v>28893.219000000001</v>
      </c>
      <c r="V50" s="20">
        <v>35263.722000000002</v>
      </c>
      <c r="W50" s="33">
        <v>32222.493999999999</v>
      </c>
      <c r="X50" s="33">
        <v>37856.603999999999</v>
      </c>
      <c r="Y50" s="33">
        <v>39109.955999999998</v>
      </c>
      <c r="Z50" s="33">
        <v>47630.199000000001</v>
      </c>
      <c r="AA50" s="33">
        <v>87650.263999999996</v>
      </c>
      <c r="AB50" s="33">
        <v>81759.629000000001</v>
      </c>
      <c r="AC50" s="33">
        <v>84187</v>
      </c>
      <c r="AD50" s="20">
        <v>78024.976999999999</v>
      </c>
      <c r="AE50" s="20">
        <v>66973.016000000003</v>
      </c>
      <c r="AF50" s="12">
        <v>20638.21</v>
      </c>
      <c r="AG50" s="12">
        <v>64953.065000000002</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187826.18900000001</v>
      </c>
      <c r="K51" s="51"/>
      <c r="L51" s="51"/>
      <c r="M51" s="51">
        <v>208147.08100000001</v>
      </c>
      <c r="N51" s="51"/>
      <c r="O51" s="51">
        <v>210690.29500000001</v>
      </c>
      <c r="P51" s="51"/>
      <c r="Q51" s="51"/>
      <c r="R51" s="67">
        <v>273369.95400000003</v>
      </c>
      <c r="S51" s="51">
        <v>282407.65299999999</v>
      </c>
      <c r="T51" s="113">
        <v>345938.82699999999</v>
      </c>
      <c r="U51" s="51">
        <v>387340.34499999997</v>
      </c>
      <c r="V51" s="51">
        <v>384280.35800000001</v>
      </c>
      <c r="W51" s="50">
        <v>396961.44400000002</v>
      </c>
      <c r="X51" s="50">
        <v>446258.53399999999</v>
      </c>
      <c r="Y51" s="50">
        <v>477827.01699999999</v>
      </c>
      <c r="Z51" s="50">
        <v>495109.05800000002</v>
      </c>
      <c r="AA51" s="50">
        <v>600775.92700000003</v>
      </c>
      <c r="AB51" s="50">
        <v>557432.527</v>
      </c>
      <c r="AC51" s="50">
        <v>640852</v>
      </c>
      <c r="AD51" s="51">
        <v>691102.90700000001</v>
      </c>
      <c r="AE51" s="51">
        <v>757016.31</v>
      </c>
      <c r="AF51" s="51">
        <v>423881.50300000003</v>
      </c>
      <c r="AG51" s="51">
        <v>744122.18599999999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538146.4659999999</v>
      </c>
      <c r="M52" s="104">
        <f>SUM(M54:M62)</f>
        <v>621328.58199999994</v>
      </c>
      <c r="O52" s="104">
        <f>SUM(O54:O62)</f>
        <v>823649.42599999998</v>
      </c>
      <c r="R52" s="104">
        <f t="shared" ref="R52:AG52" si="13">SUM(R54:R62)</f>
        <v>1045214.3609999999</v>
      </c>
      <c r="S52" s="104">
        <f t="shared" si="13"/>
        <v>1028640.706</v>
      </c>
      <c r="T52" s="114">
        <f t="shared" si="13"/>
        <v>1187525.4749999999</v>
      </c>
      <c r="U52" s="104">
        <f t="shared" si="13"/>
        <v>940071.3330000001</v>
      </c>
      <c r="V52" s="104">
        <f t="shared" si="13"/>
        <v>1170155.7600000002</v>
      </c>
      <c r="W52" s="104">
        <f t="shared" si="13"/>
        <v>2141501.4870000002</v>
      </c>
      <c r="X52" s="104">
        <f t="shared" si="13"/>
        <v>1290432.0920000002</v>
      </c>
      <c r="Y52" s="104">
        <f t="shared" si="13"/>
        <v>1380666.48</v>
      </c>
      <c r="Z52" s="104">
        <f t="shared" si="13"/>
        <v>1219246.1000000001</v>
      </c>
      <c r="AA52" s="104">
        <f t="shared" si="13"/>
        <v>663858.53500000003</v>
      </c>
      <c r="AB52" s="104">
        <f t="shared" si="13"/>
        <v>1399419.348</v>
      </c>
      <c r="AC52" s="104">
        <f t="shared" si="13"/>
        <v>1565959</v>
      </c>
      <c r="AD52" s="104">
        <f t="shared" si="13"/>
        <v>1322242.7949999999</v>
      </c>
      <c r="AE52" s="104">
        <f>SUM(AE54:AE62)</f>
        <v>1242925.8370000003</v>
      </c>
      <c r="AF52" s="104">
        <f>SUM(AF54:AF62)</f>
        <v>1405457.8809999998</v>
      </c>
      <c r="AG52" s="104">
        <f t="shared" si="13"/>
        <v>1488716.0560000001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D53" s="65">
        <v>0</v>
      </c>
      <c r="AE53" s="65">
        <v>0</v>
      </c>
      <c r="AF53" s="12">
        <v>0</v>
      </c>
      <c r="AG53" s="12"/>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25929.901999999998</v>
      </c>
      <c r="K54" s="20"/>
      <c r="L54" s="20"/>
      <c r="M54" s="65">
        <v>41477.453999999998</v>
      </c>
      <c r="N54" s="20"/>
      <c r="O54" s="20">
        <v>55157.106</v>
      </c>
      <c r="P54" s="20"/>
      <c r="Q54" s="20"/>
      <c r="R54" s="66">
        <v>53925.103999999999</v>
      </c>
      <c r="S54" s="20">
        <v>56765.701999999997</v>
      </c>
      <c r="T54" s="82">
        <v>376650.07199999999</v>
      </c>
      <c r="U54" s="20">
        <v>263810.74900000001</v>
      </c>
      <c r="V54" s="20">
        <v>419570.728</v>
      </c>
      <c r="W54" s="33">
        <v>625223.652</v>
      </c>
      <c r="X54" s="33">
        <v>440266.924</v>
      </c>
      <c r="Y54" s="33">
        <v>343057.34600000002</v>
      </c>
      <c r="Z54" s="33">
        <v>346912.46299999999</v>
      </c>
      <c r="AA54" s="33">
        <v>164709.948</v>
      </c>
      <c r="AB54" s="33">
        <v>113114.16099999999</v>
      </c>
      <c r="AC54" s="33">
        <v>148411</v>
      </c>
      <c r="AD54" s="20">
        <v>148643.53099999999</v>
      </c>
      <c r="AE54" s="20">
        <v>137724.24600000001</v>
      </c>
      <c r="AF54" s="12">
        <v>148389.11199999999</v>
      </c>
      <c r="AG54" s="12">
        <v>198771.72399999999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21155.172999999999</v>
      </c>
      <c r="K55" s="20"/>
      <c r="L55" s="20"/>
      <c r="M55" s="20">
        <v>29839.569</v>
      </c>
      <c r="N55" s="20"/>
      <c r="O55" s="20">
        <v>33690.326999999997</v>
      </c>
      <c r="P55" s="20"/>
      <c r="Q55" s="20"/>
      <c r="R55" s="66">
        <v>37808.033000000003</v>
      </c>
      <c r="S55" s="20">
        <v>39615.317000000003</v>
      </c>
      <c r="T55" s="82">
        <v>42799.148000000001</v>
      </c>
      <c r="U55" s="20">
        <v>49759.144999999997</v>
      </c>
      <c r="V55" s="20">
        <v>49531.743999999999</v>
      </c>
      <c r="W55" s="33">
        <v>47849.752999999997</v>
      </c>
      <c r="X55" s="33">
        <v>43804.690999999999</v>
      </c>
      <c r="Y55" s="33">
        <v>49626.124000000003</v>
      </c>
      <c r="Z55" s="33">
        <v>48078.936000000002</v>
      </c>
      <c r="AA55" s="33">
        <v>52806.067000000003</v>
      </c>
      <c r="AB55" s="33">
        <v>49239.285000000003</v>
      </c>
      <c r="AC55" s="33">
        <v>50743</v>
      </c>
      <c r="AD55" s="20">
        <v>54675.343000000001</v>
      </c>
      <c r="AE55" s="20">
        <v>52488.656000000003</v>
      </c>
      <c r="AF55" s="12">
        <v>19998.885999999999</v>
      </c>
      <c r="AG55" s="12">
        <v>54741.741000000002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120941.758</v>
      </c>
      <c r="K56" s="20"/>
      <c r="L56" s="20"/>
      <c r="M56" s="20">
        <v>47098.673999999999</v>
      </c>
      <c r="N56" s="20"/>
      <c r="O56" s="20">
        <v>89182.119000000006</v>
      </c>
      <c r="P56" s="20"/>
      <c r="Q56" s="20"/>
      <c r="R56" s="66">
        <v>180038.05900000001</v>
      </c>
      <c r="S56" s="20">
        <v>155006.87899999999</v>
      </c>
      <c r="T56" s="82">
        <v>191728.696</v>
      </c>
      <c r="U56" s="20">
        <v>216905.698</v>
      </c>
      <c r="V56" s="20">
        <v>270574.33799999999</v>
      </c>
      <c r="W56" s="33">
        <v>486178.86200000002</v>
      </c>
      <c r="X56" s="33">
        <v>426867.94500000001</v>
      </c>
      <c r="Y56" s="33">
        <v>479337.00799999997</v>
      </c>
      <c r="Z56" s="33">
        <v>427488.72200000001</v>
      </c>
      <c r="AA56" s="33">
        <v>71838.563999999998</v>
      </c>
      <c r="AB56" s="33">
        <v>667734.50100000005</v>
      </c>
      <c r="AC56" s="33">
        <v>621273</v>
      </c>
      <c r="AD56" s="20">
        <v>507705.30099999998</v>
      </c>
      <c r="AE56" s="20">
        <v>584285.97600000002</v>
      </c>
      <c r="AF56" s="12">
        <v>553990.55000000005</v>
      </c>
      <c r="AG56" s="12">
        <v>495583.61300000001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15233.832</v>
      </c>
      <c r="K57" s="20"/>
      <c r="L57" s="20"/>
      <c r="M57" s="20">
        <v>16084.019</v>
      </c>
      <c r="N57" s="20"/>
      <c r="O57" s="20">
        <v>21070.358</v>
      </c>
      <c r="P57" s="20"/>
      <c r="Q57" s="20"/>
      <c r="R57" s="92">
        <v>19901.75</v>
      </c>
      <c r="S57" s="20">
        <v>20036.218000000001</v>
      </c>
      <c r="T57" s="82">
        <v>31669.530999999999</v>
      </c>
      <c r="U57" s="20">
        <v>27604.998</v>
      </c>
      <c r="V57" s="20">
        <v>29201.11</v>
      </c>
      <c r="W57" s="33">
        <v>33712.652999999998</v>
      </c>
      <c r="X57" s="33">
        <v>35042.012000000002</v>
      </c>
      <c r="Y57" s="33">
        <v>34467.603000000003</v>
      </c>
      <c r="Z57" s="33">
        <v>29283.522000000001</v>
      </c>
      <c r="AA57" s="33">
        <v>26385.210999999999</v>
      </c>
      <c r="AB57" s="33">
        <v>32047.334999999999</v>
      </c>
      <c r="AC57" s="33">
        <v>42997</v>
      </c>
      <c r="AD57" s="20">
        <v>58343.767999999996</v>
      </c>
      <c r="AE57" s="20">
        <v>53805.989000000001</v>
      </c>
      <c r="AF57" s="12">
        <v>54179.017</v>
      </c>
      <c r="AG57" s="12">
        <v>53066.637999999999</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79717.114000000001</v>
      </c>
      <c r="K58" s="20"/>
      <c r="L58" s="20"/>
      <c r="M58" s="20">
        <v>127241.323</v>
      </c>
      <c r="N58" s="20"/>
      <c r="O58" s="20">
        <v>208013.32800000001</v>
      </c>
      <c r="P58" s="20"/>
      <c r="Q58" s="20"/>
      <c r="R58" s="92">
        <v>191773.63200000001</v>
      </c>
      <c r="S58" s="20">
        <v>207928.587</v>
      </c>
      <c r="T58" s="82">
        <v>184900.89499999999</v>
      </c>
      <c r="U58" s="20">
        <v>246744.69500000001</v>
      </c>
      <c r="V58" s="20">
        <v>202424.92600000001</v>
      </c>
      <c r="W58" s="33">
        <v>216237.258</v>
      </c>
      <c r="X58" s="33">
        <v>153728.81899999999</v>
      </c>
      <c r="Y58" s="33">
        <v>214336.11199999999</v>
      </c>
      <c r="Z58" s="33">
        <v>190916.98199999999</v>
      </c>
      <c r="AA58" s="33">
        <v>154480.58499999999</v>
      </c>
      <c r="AB58" s="33">
        <v>261593.587</v>
      </c>
      <c r="AC58" s="33">
        <v>291467</v>
      </c>
      <c r="AD58" s="20">
        <v>193308.592</v>
      </c>
      <c r="AE58" s="20">
        <v>157624.78400000001</v>
      </c>
      <c r="AF58" s="12">
        <v>266542.19199999998</v>
      </c>
      <c r="AG58" s="12">
        <v>266585.98200000002</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73418.434999999998</v>
      </c>
      <c r="K59" s="20"/>
      <c r="L59" s="20"/>
      <c r="M59" s="20">
        <v>112438.3</v>
      </c>
      <c r="N59" s="20"/>
      <c r="O59" s="20">
        <v>145999.08300000001</v>
      </c>
      <c r="P59" s="20"/>
      <c r="Q59" s="20"/>
      <c r="R59" s="92">
        <v>147286.73300000001</v>
      </c>
      <c r="S59" s="20">
        <v>164604.91800000001</v>
      </c>
      <c r="T59" s="82">
        <v>152281.486</v>
      </c>
      <c r="U59" s="20">
        <v>80128.748000000007</v>
      </c>
      <c r="V59" s="20">
        <v>143570.41399999999</v>
      </c>
      <c r="W59" s="33">
        <v>670713.13500000001</v>
      </c>
      <c r="X59" s="33">
        <v>121677.22100000001</v>
      </c>
      <c r="Y59" s="33">
        <v>189626.36</v>
      </c>
      <c r="Z59" s="33">
        <v>110454.245</v>
      </c>
      <c r="AA59" s="33">
        <v>129680.133</v>
      </c>
      <c r="AB59" s="33">
        <v>143982.42499999999</v>
      </c>
      <c r="AC59" s="33">
        <v>304310</v>
      </c>
      <c r="AD59" s="20">
        <v>271548.72700000001</v>
      </c>
      <c r="AE59" s="20">
        <v>180571.87</v>
      </c>
      <c r="AF59" s="12">
        <v>323362.56199999998</v>
      </c>
      <c r="AG59" s="12">
        <v>334871.67499999999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161557.851</v>
      </c>
      <c r="K60" s="20"/>
      <c r="L60" s="20"/>
      <c r="M60" s="20">
        <v>198602.81</v>
      </c>
      <c r="N60" s="20"/>
      <c r="O60" s="20">
        <v>219230.03200000001</v>
      </c>
      <c r="P60" s="20"/>
      <c r="Q60" s="20"/>
      <c r="R60" s="66">
        <v>352843.18699999998</v>
      </c>
      <c r="S60" s="20">
        <v>317448.36300000001</v>
      </c>
      <c r="T60" s="82">
        <v>168444.43599999999</v>
      </c>
      <c r="U60" s="20">
        <v>29896.543000000001</v>
      </c>
      <c r="V60" s="20">
        <v>31087.536</v>
      </c>
      <c r="W60" s="33">
        <v>35695.627</v>
      </c>
      <c r="X60" s="33">
        <v>38025.519</v>
      </c>
      <c r="Y60" s="33">
        <v>45612.654000000002</v>
      </c>
      <c r="Z60" s="33">
        <v>41728.326999999997</v>
      </c>
      <c r="AA60" s="33">
        <v>45812.315999999999</v>
      </c>
      <c r="AB60" s="33">
        <v>105392.71799999999</v>
      </c>
      <c r="AC60" s="33">
        <v>80223</v>
      </c>
      <c r="AD60" s="20">
        <v>57559.972000000002</v>
      </c>
      <c r="AE60" s="20">
        <v>45917.631000000001</v>
      </c>
      <c r="AF60" s="12">
        <v>20558.628000000001</v>
      </c>
      <c r="AG60" s="12">
        <v>53639.76</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10358.891</v>
      </c>
      <c r="K61" s="20"/>
      <c r="L61" s="20"/>
      <c r="M61" s="20">
        <v>12377.331</v>
      </c>
      <c r="N61" s="20"/>
      <c r="O61" s="20">
        <v>13184.357</v>
      </c>
      <c r="P61" s="20"/>
      <c r="Q61" s="20"/>
      <c r="R61" s="66">
        <v>18717.376</v>
      </c>
      <c r="S61" s="20">
        <v>19332.071</v>
      </c>
      <c r="T61" s="82">
        <v>15251.892</v>
      </c>
      <c r="U61" s="20">
        <v>2757.9169999999999</v>
      </c>
      <c r="V61" s="20">
        <v>2768.759</v>
      </c>
      <c r="W61" s="33">
        <v>3992.549</v>
      </c>
      <c r="X61" s="33">
        <v>3178.29</v>
      </c>
      <c r="Y61" s="33">
        <v>3046.038</v>
      </c>
      <c r="Z61" s="33">
        <v>0</v>
      </c>
      <c r="AA61" s="33">
        <v>0</v>
      </c>
      <c r="AB61" s="33">
        <v>3626.2840000000001</v>
      </c>
      <c r="AC61" s="33">
        <v>3642</v>
      </c>
      <c r="AD61" s="20">
        <v>6850.0709999999999</v>
      </c>
      <c r="AE61" s="20">
        <v>7222.433</v>
      </c>
      <c r="AF61" s="12">
        <v>780.85599999999999</v>
      </c>
      <c r="AG61" s="12">
        <v>3621.7849999999999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29833.51</v>
      </c>
      <c r="K62" s="51"/>
      <c r="L62" s="51"/>
      <c r="M62" s="51">
        <v>36169.101999999999</v>
      </c>
      <c r="N62" s="51"/>
      <c r="O62" s="51">
        <v>38122.716</v>
      </c>
      <c r="P62" s="51"/>
      <c r="Q62" s="51"/>
      <c r="R62" s="67">
        <v>42920.487000000001</v>
      </c>
      <c r="S62" s="51">
        <v>47902.650999999998</v>
      </c>
      <c r="T62" s="113">
        <v>23799.319</v>
      </c>
      <c r="U62" s="51">
        <v>22462.84</v>
      </c>
      <c r="V62" s="51">
        <v>21426.205000000002</v>
      </c>
      <c r="W62" s="50">
        <v>21897.998</v>
      </c>
      <c r="X62" s="50">
        <v>27840.670999999998</v>
      </c>
      <c r="Y62" s="50">
        <v>21557.235000000001</v>
      </c>
      <c r="Z62" s="50">
        <v>24382.902999999998</v>
      </c>
      <c r="AA62" s="50">
        <v>18145.710999999999</v>
      </c>
      <c r="AB62" s="50">
        <v>22689.052</v>
      </c>
      <c r="AC62" s="50">
        <v>22893</v>
      </c>
      <c r="AD62" s="51">
        <v>23607.49</v>
      </c>
      <c r="AE62" s="51">
        <v>23284.252</v>
      </c>
      <c r="AF62" s="51">
        <v>17656.078000000001</v>
      </c>
      <c r="AG62" s="51">
        <v>27833.137999999999</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25316.806</v>
      </c>
      <c r="K63" s="86"/>
      <c r="L63" s="86"/>
      <c r="M63" s="86">
        <v>6976.08</v>
      </c>
      <c r="N63" s="86"/>
      <c r="O63" s="86">
        <v>8241.0909599999995</v>
      </c>
      <c r="P63" s="86"/>
      <c r="Q63" s="86"/>
      <c r="R63" s="88">
        <v>1784.354</v>
      </c>
      <c r="S63" s="86">
        <v>0</v>
      </c>
      <c r="T63" s="89">
        <v>2474.4140000000002</v>
      </c>
      <c r="U63" s="86">
        <v>3073.3449999999998</v>
      </c>
      <c r="V63" s="86">
        <v>1568.9480000000001</v>
      </c>
      <c r="W63" s="87">
        <v>3444.2269999999999</v>
      </c>
      <c r="X63" s="87">
        <v>3182.3870000000002</v>
      </c>
      <c r="Y63" s="87">
        <v>2492.0639999999999</v>
      </c>
      <c r="Z63" s="87">
        <v>1655.241</v>
      </c>
      <c r="AA63" s="87">
        <v>2366.15</v>
      </c>
      <c r="AB63" s="87">
        <v>4696.259</v>
      </c>
      <c r="AC63" s="87">
        <v>26068</v>
      </c>
      <c r="AD63" s="51">
        <v>3260.48</v>
      </c>
      <c r="AE63" s="51">
        <v>3089.54</v>
      </c>
      <c r="AF63" s="51">
        <v>3901.2489999999998</v>
      </c>
      <c r="AG63" s="51">
        <v>3653.41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t="s">
        <v>50</v>
      </c>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t="s">
        <v>51</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t="s">
        <v>76</v>
      </c>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t="s">
        <v>77</v>
      </c>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t="s">
        <v>49</v>
      </c>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t="s">
        <v>78</v>
      </c>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t="s">
        <v>79</v>
      </c>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verticalDpi="300" r:id="rId1"/>
  <headerFooter alignWithMargins="0">
    <oddFooter>&amp;LSREB Fact Book 1996/1997&amp;CUpdate&amp;R&amp;D</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Z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9.42578125" style="13" customWidth="1"/>
    <col min="23" max="26" width="9.42578125" style="53" customWidth="1"/>
    <col min="27" max="29" width="11.140625" style="53" customWidth="1"/>
    <col min="30" max="30" width="10" style="13" customWidth="1"/>
    <col min="31" max="31" width="10.140625" style="13" bestFit="1" customWidth="1"/>
    <col min="32" max="33" width="10.1406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90</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1704279</v>
      </c>
      <c r="C4" s="12">
        <v>1798157</v>
      </c>
      <c r="D4" s="12">
        <f>1899460</f>
        <v>1899460</v>
      </c>
      <c r="E4" s="12"/>
      <c r="F4" s="12"/>
      <c r="G4" s="12"/>
      <c r="H4" s="12"/>
      <c r="I4" s="12">
        <v>3069172.551</v>
      </c>
      <c r="J4" s="98">
        <f>+J5+J23+J38+J52+J63</f>
        <v>3511605.7539999997</v>
      </c>
      <c r="K4" s="69">
        <f>(($M$4-$J$4)/3)+J4</f>
        <v>3785253.0166666661</v>
      </c>
      <c r="L4" s="69">
        <f>(($M$4-$J$4)/3)+K4</f>
        <v>4058900.2793333326</v>
      </c>
      <c r="M4" s="98">
        <f>+M5+M23+M38+M52+M63</f>
        <v>4332547.5419999994</v>
      </c>
      <c r="N4" s="69">
        <f>((O4-M4)/2)+M4</f>
        <v>5541654.4493049998</v>
      </c>
      <c r="O4" s="98">
        <f>+O5+O23+O38+O52+O63</f>
        <v>6750761.3566099992</v>
      </c>
      <c r="P4" s="12"/>
      <c r="Q4" s="12"/>
      <c r="R4" s="98">
        <f t="shared" ref="R4:AA4" si="0">+R5+R23+R38+R52+R63</f>
        <v>5523118.6300000008</v>
      </c>
      <c r="S4" s="98">
        <f t="shared" si="0"/>
        <v>5999199.3580000009</v>
      </c>
      <c r="T4" s="98">
        <f t="shared" si="0"/>
        <v>6568888.8560000006</v>
      </c>
      <c r="U4" s="98">
        <f t="shared" si="0"/>
        <v>5605125.9580000006</v>
      </c>
      <c r="V4" s="98">
        <f t="shared" si="0"/>
        <v>6044889.8020000001</v>
      </c>
      <c r="W4" s="98">
        <f t="shared" si="0"/>
        <v>9318622.2700000014</v>
      </c>
      <c r="X4" s="98">
        <f t="shared" si="0"/>
        <v>7133964.4670000011</v>
      </c>
      <c r="Y4" s="98">
        <f t="shared" si="0"/>
        <v>7552877.9219999993</v>
      </c>
      <c r="Z4" s="98">
        <f t="shared" si="0"/>
        <v>7991584.0490000006</v>
      </c>
      <c r="AA4" s="98">
        <f t="shared" si="0"/>
        <v>12639865.216</v>
      </c>
      <c r="AB4" s="98">
        <f t="shared" ref="AB4:AC4" si="1">+AB5+AB23+AB38+AB52+AB63</f>
        <v>15243575.821999999</v>
      </c>
      <c r="AC4" s="98">
        <f t="shared" si="1"/>
        <v>16732550</v>
      </c>
      <c r="AD4" s="98">
        <f t="shared" ref="AD4:AE4" si="2">+AD5+AD23+AD38+AD52+AD63</f>
        <v>17462848.242000002</v>
      </c>
      <c r="AE4" s="98">
        <f t="shared" si="2"/>
        <v>17784639.445</v>
      </c>
      <c r="AF4" s="98">
        <f t="shared" ref="AF4" si="3">+AF5+AF23+AF38+AF52+AF63</f>
        <v>15543195.908</v>
      </c>
      <c r="AG4" s="98">
        <f t="shared" ref="AG4" si="4">+AG5+AG23+AG38+AG52+AG63</f>
        <v>15452138.969000001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451398</v>
      </c>
      <c r="C5" s="101">
        <f t="shared" ref="C5:AA5" si="5">SUM(C7:C22)</f>
        <v>465548</v>
      </c>
      <c r="D5" s="101">
        <f t="shared" si="5"/>
        <v>508482</v>
      </c>
      <c r="E5" s="101">
        <f t="shared" si="5"/>
        <v>0</v>
      </c>
      <c r="F5" s="101">
        <f t="shared" si="5"/>
        <v>0</v>
      </c>
      <c r="G5" s="101">
        <f t="shared" si="5"/>
        <v>0</v>
      </c>
      <c r="H5" s="101">
        <f t="shared" si="5"/>
        <v>0</v>
      </c>
      <c r="I5" s="101">
        <f t="shared" si="5"/>
        <v>926713.22600000002</v>
      </c>
      <c r="J5" s="101">
        <f t="shared" si="5"/>
        <v>1094832.1089999999</v>
      </c>
      <c r="K5" s="101">
        <f t="shared" si="5"/>
        <v>1243408.6599999999</v>
      </c>
      <c r="L5" s="101">
        <f t="shared" si="5"/>
        <v>1329142.3759999997</v>
      </c>
      <c r="M5" s="101">
        <f t="shared" si="5"/>
        <v>1360521.6410000001</v>
      </c>
      <c r="N5" s="101">
        <f t="shared" si="5"/>
        <v>1454655.3020000001</v>
      </c>
      <c r="O5" s="101">
        <f t="shared" si="5"/>
        <v>2202295.8439799999</v>
      </c>
      <c r="P5" s="101">
        <f t="shared" si="5"/>
        <v>0</v>
      </c>
      <c r="Q5" s="101">
        <f t="shared" si="5"/>
        <v>0</v>
      </c>
      <c r="R5" s="101">
        <f t="shared" si="5"/>
        <v>1912923.4569999999</v>
      </c>
      <c r="S5" s="101">
        <f t="shared" si="5"/>
        <v>2113599.3590000002</v>
      </c>
      <c r="T5" s="101">
        <f t="shared" si="5"/>
        <v>2298200.9539999999</v>
      </c>
      <c r="U5" s="101">
        <f t="shared" si="5"/>
        <v>1753370.2060000002</v>
      </c>
      <c r="V5" s="101">
        <f t="shared" si="5"/>
        <v>1951727.362</v>
      </c>
      <c r="W5" s="101">
        <f t="shared" si="5"/>
        <v>3131358.9560000002</v>
      </c>
      <c r="X5" s="101">
        <f t="shared" si="5"/>
        <v>2297973.3970000003</v>
      </c>
      <c r="Y5" s="101">
        <f t="shared" si="5"/>
        <v>2523626.2779999999</v>
      </c>
      <c r="Z5" s="101">
        <f t="shared" si="5"/>
        <v>2705549.1520000002</v>
      </c>
      <c r="AA5" s="101">
        <f t="shared" si="5"/>
        <v>4355332.7290000003</v>
      </c>
      <c r="AB5" s="101">
        <f t="shared" ref="AB5:AC5" si="6">SUM(AB7:AB22)</f>
        <v>5538285.7629999993</v>
      </c>
      <c r="AC5" s="101">
        <f t="shared" si="6"/>
        <v>6157572</v>
      </c>
      <c r="AD5" s="101">
        <f t="shared" ref="AD5:AE5" si="7">SUM(AD7:AD22)</f>
        <v>6475409.4020000016</v>
      </c>
      <c r="AE5" s="101">
        <f t="shared" si="7"/>
        <v>6407821.7170000011</v>
      </c>
      <c r="AF5" s="101">
        <f t="shared" ref="AF5" si="8">SUM(AF7:AF22)</f>
        <v>6132835.7460000003</v>
      </c>
      <c r="AG5" s="101">
        <f t="shared" ref="AG5" si="9">SUM(AG7:AG22)</f>
        <v>6105319.568</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19704</v>
      </c>
      <c r="C7" s="12">
        <v>23706</v>
      </c>
      <c r="D7" s="12">
        <v>24463</v>
      </c>
      <c r="E7" s="12"/>
      <c r="F7" s="12"/>
      <c r="G7" s="12"/>
      <c r="H7" s="12"/>
      <c r="I7" s="12">
        <v>53571.053</v>
      </c>
      <c r="J7" s="32">
        <v>69805.737999999998</v>
      </c>
      <c r="K7" s="12">
        <v>78521.048999999999</v>
      </c>
      <c r="L7" s="12">
        <v>81761.813999999998</v>
      </c>
      <c r="M7" s="12">
        <v>82493.269</v>
      </c>
      <c r="N7" s="12">
        <v>87259.194000000003</v>
      </c>
      <c r="O7" s="12">
        <v>139299.07366999998</v>
      </c>
      <c r="P7" s="12"/>
      <c r="Q7" s="12"/>
      <c r="R7" s="44">
        <v>99186.142999999996</v>
      </c>
      <c r="S7" s="12">
        <v>105599.72100000001</v>
      </c>
      <c r="T7" s="82">
        <v>143759.905</v>
      </c>
      <c r="U7" s="12">
        <v>91630.985000000001</v>
      </c>
      <c r="V7" s="12">
        <v>99707.804000000004</v>
      </c>
      <c r="W7" s="32">
        <v>182575.87</v>
      </c>
      <c r="X7" s="32">
        <v>106270.55499999999</v>
      </c>
      <c r="Y7" s="32">
        <v>110400.649</v>
      </c>
      <c r="Z7" s="32">
        <v>112301.476</v>
      </c>
      <c r="AA7" s="32">
        <v>196351.326</v>
      </c>
      <c r="AB7" s="32">
        <v>264790.11</v>
      </c>
      <c r="AC7" s="32">
        <v>290151</v>
      </c>
      <c r="AD7" s="12">
        <v>301525.00599999999</v>
      </c>
      <c r="AE7" s="12">
        <v>289694.14199999999</v>
      </c>
      <c r="AF7" s="12">
        <v>272666.15700000001</v>
      </c>
      <c r="AG7" s="12">
        <v>267289.033</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6156</v>
      </c>
      <c r="C8" s="12">
        <v>6266</v>
      </c>
      <c r="D8" s="12">
        <v>6225</v>
      </c>
      <c r="E8" s="12"/>
      <c r="F8" s="12"/>
      <c r="G8" s="12"/>
      <c r="H8" s="12"/>
      <c r="I8" s="12">
        <v>11524.312</v>
      </c>
      <c r="J8" s="32">
        <v>14034.737999999999</v>
      </c>
      <c r="K8" s="12">
        <v>16573.150000000001</v>
      </c>
      <c r="L8" s="12">
        <v>17655.913</v>
      </c>
      <c r="M8" s="12">
        <v>18768.491000000002</v>
      </c>
      <c r="N8" s="12">
        <v>26759.842000000001</v>
      </c>
      <c r="O8" s="12">
        <v>38483.17</v>
      </c>
      <c r="P8" s="12"/>
      <c r="Q8" s="12"/>
      <c r="R8" s="63">
        <v>34064.915999999997</v>
      </c>
      <c r="S8" s="12">
        <v>38542.07</v>
      </c>
      <c r="T8" s="82">
        <v>44094.317000000003</v>
      </c>
      <c r="U8" s="12">
        <v>33326.258000000002</v>
      </c>
      <c r="V8" s="12">
        <v>36620.749000000003</v>
      </c>
      <c r="W8" s="32">
        <v>68845.797999999995</v>
      </c>
      <c r="X8" s="32">
        <v>44811.025000000001</v>
      </c>
      <c r="Y8" s="32">
        <v>60215.108999999997</v>
      </c>
      <c r="Z8" s="32">
        <v>67001.739000000001</v>
      </c>
      <c r="AA8" s="32">
        <v>105372.364</v>
      </c>
      <c r="AB8" s="32">
        <v>123720.326</v>
      </c>
      <c r="AC8" s="32">
        <v>137821</v>
      </c>
      <c r="AD8" s="12">
        <v>140650.011</v>
      </c>
      <c r="AE8" s="12">
        <v>143222.91899999999</v>
      </c>
      <c r="AF8" s="12">
        <v>149769.93799999999</v>
      </c>
      <c r="AG8" s="12">
        <v>139651.24799999999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2181</v>
      </c>
      <c r="E9" s="12"/>
      <c r="F9" s="12"/>
      <c r="G9" s="12"/>
      <c r="H9" s="12"/>
      <c r="I9" s="12">
        <v>8086.2969999999996</v>
      </c>
      <c r="J9" s="32">
        <v>11169.09</v>
      </c>
      <c r="K9" s="12"/>
      <c r="L9" s="12"/>
      <c r="M9" s="12">
        <v>12644.134</v>
      </c>
      <c r="N9" s="12">
        <v>12592.562</v>
      </c>
      <c r="O9" s="12">
        <v>16491.178</v>
      </c>
      <c r="P9" s="12"/>
      <c r="Q9" s="12"/>
      <c r="R9" s="63">
        <v>16375.53</v>
      </c>
      <c r="S9" s="61">
        <v>17572.510999999999</v>
      </c>
      <c r="T9" s="83">
        <v>19535.419999999998</v>
      </c>
      <c r="U9" s="61">
        <v>23371.187000000002</v>
      </c>
      <c r="V9" s="61">
        <v>23935.157999999999</v>
      </c>
      <c r="W9" s="32">
        <v>27031.728999999999</v>
      </c>
      <c r="X9" s="32">
        <v>28892.429</v>
      </c>
      <c r="Y9" s="32">
        <v>30021.281999999999</v>
      </c>
      <c r="Z9" s="32">
        <v>33738.457999999999</v>
      </c>
      <c r="AA9" s="32">
        <v>44746.040999999997</v>
      </c>
      <c r="AB9" s="32">
        <v>56222.739000000001</v>
      </c>
      <c r="AC9" s="32">
        <v>60509</v>
      </c>
      <c r="AD9" s="12">
        <v>62594.705000000002</v>
      </c>
      <c r="AE9" s="12">
        <v>62707.7</v>
      </c>
      <c r="AF9" s="12">
        <v>61783.991999999998</v>
      </c>
      <c r="AG9" s="12">
        <v>66182.835000000006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103425</v>
      </c>
      <c r="C10" s="12">
        <v>105098</v>
      </c>
      <c r="D10" s="12">
        <v>109949</v>
      </c>
      <c r="E10" s="12"/>
      <c r="F10" s="12"/>
      <c r="G10" s="12"/>
      <c r="H10" s="12"/>
      <c r="I10" s="12">
        <v>191992.65700000001</v>
      </c>
      <c r="J10" s="32">
        <v>236458.715</v>
      </c>
      <c r="K10" s="12">
        <v>259500.48300000001</v>
      </c>
      <c r="L10" s="12">
        <v>272330.11300000001</v>
      </c>
      <c r="M10" s="12">
        <v>280412.35100000002</v>
      </c>
      <c r="N10" s="12">
        <v>278638.65100000001</v>
      </c>
      <c r="O10" s="12">
        <v>413757.48200000002</v>
      </c>
      <c r="P10" s="12"/>
      <c r="Q10" s="12"/>
      <c r="R10" s="63">
        <v>351197.52899999998</v>
      </c>
      <c r="S10" s="12">
        <v>428831.60600000003</v>
      </c>
      <c r="T10" s="82">
        <v>410739.386</v>
      </c>
      <c r="U10" s="12">
        <v>250656.66099999999</v>
      </c>
      <c r="V10" s="12">
        <v>273986.47499999998</v>
      </c>
      <c r="W10" s="32">
        <v>409296.61</v>
      </c>
      <c r="X10" s="32">
        <v>313119.10200000001</v>
      </c>
      <c r="Y10" s="32">
        <v>367760.00099999999</v>
      </c>
      <c r="Z10" s="32">
        <v>382702.92800000001</v>
      </c>
      <c r="AA10" s="32">
        <v>802451.86399999994</v>
      </c>
      <c r="AB10" s="32">
        <v>970812.66700000002</v>
      </c>
      <c r="AC10" s="32">
        <v>1062058</v>
      </c>
      <c r="AD10" s="12">
        <v>1116949.686</v>
      </c>
      <c r="AE10" s="12">
        <v>1090198.1869999999</v>
      </c>
      <c r="AF10" s="12">
        <v>1073761.8030000001</v>
      </c>
      <c r="AG10" s="12">
        <v>1067554.439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21081</v>
      </c>
      <c r="C11" s="12">
        <v>22007</v>
      </c>
      <c r="D11" s="12">
        <v>23080</v>
      </c>
      <c r="E11" s="12"/>
      <c r="F11" s="12"/>
      <c r="G11" s="12"/>
      <c r="H11" s="12"/>
      <c r="I11" s="12">
        <v>52361.245000000003</v>
      </c>
      <c r="J11" s="32">
        <v>60150.311999999998</v>
      </c>
      <c r="K11" s="12">
        <v>72466.706999999995</v>
      </c>
      <c r="L11" s="12">
        <v>79711.323999999993</v>
      </c>
      <c r="M11" s="12">
        <v>83785.682000000001</v>
      </c>
      <c r="N11" s="12">
        <v>76399.361999999994</v>
      </c>
      <c r="O11" s="12">
        <v>107175.03069</v>
      </c>
      <c r="P11" s="12"/>
      <c r="Q11" s="12"/>
      <c r="R11" s="63">
        <v>123054.912</v>
      </c>
      <c r="S11" s="12">
        <v>142280.122</v>
      </c>
      <c r="T11" s="82">
        <v>182934.274</v>
      </c>
      <c r="U11" s="12">
        <v>150043.59700000001</v>
      </c>
      <c r="V11" s="12">
        <v>168743.72500000001</v>
      </c>
      <c r="W11" s="32">
        <v>211938.258</v>
      </c>
      <c r="X11" s="32">
        <v>198586.42499999999</v>
      </c>
      <c r="Y11" s="32">
        <v>190515.64</v>
      </c>
      <c r="Z11" s="32">
        <v>207724.538</v>
      </c>
      <c r="AA11" s="32">
        <v>181865.17199999999</v>
      </c>
      <c r="AB11" s="32">
        <v>444410.39799999999</v>
      </c>
      <c r="AC11" s="32">
        <v>496531</v>
      </c>
      <c r="AD11" s="12">
        <v>495200.565</v>
      </c>
      <c r="AE11" s="12">
        <v>429084.67700000003</v>
      </c>
      <c r="AF11" s="12">
        <v>214353.766</v>
      </c>
      <c r="AG11" s="12">
        <v>220976.90700000001</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9140</v>
      </c>
      <c r="C12" s="12">
        <v>9780</v>
      </c>
      <c r="D12" s="12">
        <v>10505</v>
      </c>
      <c r="E12" s="12"/>
      <c r="F12" s="12"/>
      <c r="G12" s="12"/>
      <c r="H12" s="12"/>
      <c r="I12" s="12">
        <v>23670.166000000001</v>
      </c>
      <c r="J12" s="32">
        <v>28581.531999999999</v>
      </c>
      <c r="K12" s="12">
        <v>30455.523000000001</v>
      </c>
      <c r="L12" s="12">
        <v>35254.294000000002</v>
      </c>
      <c r="M12" s="12">
        <v>37050.718999999997</v>
      </c>
      <c r="N12" s="12">
        <v>37145.711000000003</v>
      </c>
      <c r="O12" s="12">
        <v>65410.008000000002</v>
      </c>
      <c r="P12" s="12"/>
      <c r="Q12" s="12"/>
      <c r="R12" s="34">
        <v>70350.354000000007</v>
      </c>
      <c r="S12" s="12">
        <v>66705.114000000001</v>
      </c>
      <c r="T12" s="82">
        <v>12939.459000000001</v>
      </c>
      <c r="U12" s="12">
        <v>8540.2739999999994</v>
      </c>
      <c r="V12" s="12">
        <v>9885.8670000000002</v>
      </c>
      <c r="W12" s="32">
        <v>133154.56200000001</v>
      </c>
      <c r="X12" s="32">
        <v>71764.188999999998</v>
      </c>
      <c r="Y12" s="32">
        <v>84972.577000000005</v>
      </c>
      <c r="Z12" s="32">
        <v>91628.093999999997</v>
      </c>
      <c r="AA12" s="32">
        <v>170802.851</v>
      </c>
      <c r="AB12" s="32">
        <v>222392.84400000001</v>
      </c>
      <c r="AC12" s="32">
        <v>244906</v>
      </c>
      <c r="AD12" s="12">
        <v>242384.068</v>
      </c>
      <c r="AE12" s="12">
        <v>238020.06400000001</v>
      </c>
      <c r="AF12" s="12">
        <v>213076.568</v>
      </c>
      <c r="AG12" s="12">
        <v>205168.177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5732</v>
      </c>
      <c r="C13" s="12">
        <v>6131</v>
      </c>
      <c r="D13" s="12">
        <v>7219</v>
      </c>
      <c r="E13" s="12"/>
      <c r="F13" s="12"/>
      <c r="G13" s="12"/>
      <c r="H13" s="12"/>
      <c r="I13" s="12">
        <v>18089.472000000002</v>
      </c>
      <c r="J13" s="32">
        <v>21397.758999999998</v>
      </c>
      <c r="K13" s="12">
        <v>23602.652999999998</v>
      </c>
      <c r="L13" s="12">
        <v>25962.043000000001</v>
      </c>
      <c r="M13" s="12">
        <v>26131.919999999998</v>
      </c>
      <c r="N13" s="12">
        <v>38548.442000000003</v>
      </c>
      <c r="O13" s="12">
        <v>56873.512980000007</v>
      </c>
      <c r="P13" s="12"/>
      <c r="Q13" s="12"/>
      <c r="R13" s="34">
        <v>36009.243999999999</v>
      </c>
      <c r="S13" s="12">
        <v>41840.47</v>
      </c>
      <c r="T13" s="82">
        <v>52112.639999999999</v>
      </c>
      <c r="U13" s="12">
        <v>36602.913999999997</v>
      </c>
      <c r="V13" s="12">
        <v>45761.061999999998</v>
      </c>
      <c r="W13" s="32">
        <v>91900.097999999998</v>
      </c>
      <c r="X13" s="32">
        <v>38686.014000000003</v>
      </c>
      <c r="Y13" s="32">
        <v>57276.417000000001</v>
      </c>
      <c r="Z13" s="32">
        <v>65315.275000000001</v>
      </c>
      <c r="AA13" s="32">
        <v>89967.354000000007</v>
      </c>
      <c r="AB13" s="32">
        <v>125961.52</v>
      </c>
      <c r="AC13" s="32">
        <v>157606</v>
      </c>
      <c r="AD13" s="12">
        <v>176293.04199999999</v>
      </c>
      <c r="AE13" s="12">
        <v>179395.33600000001</v>
      </c>
      <c r="AF13" s="12">
        <v>164378.739</v>
      </c>
      <c r="AG13" s="12">
        <v>176613.68900000001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56467</v>
      </c>
      <c r="C14" s="12">
        <v>57299</v>
      </c>
      <c r="D14" s="12">
        <v>58413</v>
      </c>
      <c r="E14" s="12"/>
      <c r="F14" s="12"/>
      <c r="G14" s="12"/>
      <c r="H14" s="12"/>
      <c r="I14" s="12">
        <v>97111.354000000007</v>
      </c>
      <c r="J14" s="32">
        <v>93224.395000000004</v>
      </c>
      <c r="K14" s="12">
        <v>130734.895</v>
      </c>
      <c r="L14" s="12">
        <v>137112.01699999999</v>
      </c>
      <c r="M14" s="12">
        <v>113758.068</v>
      </c>
      <c r="N14" s="12">
        <v>147748.989</v>
      </c>
      <c r="O14" s="12">
        <v>186955.18799999999</v>
      </c>
      <c r="P14" s="12"/>
      <c r="Q14" s="12"/>
      <c r="R14" s="34">
        <v>189505.63</v>
      </c>
      <c r="S14" s="12">
        <v>197619.71100000001</v>
      </c>
      <c r="T14" s="82">
        <v>208048.20199999999</v>
      </c>
      <c r="U14" s="12">
        <v>190191.701</v>
      </c>
      <c r="V14" s="12">
        <v>209462.823</v>
      </c>
      <c r="W14" s="32">
        <v>281788.26199999999</v>
      </c>
      <c r="X14" s="32">
        <v>241697.008</v>
      </c>
      <c r="Y14" s="32">
        <v>256871.106</v>
      </c>
      <c r="Z14" s="32">
        <v>265207.49800000002</v>
      </c>
      <c r="AA14" s="32">
        <v>353592.43800000002</v>
      </c>
      <c r="AB14" s="32">
        <v>406520.22600000002</v>
      </c>
      <c r="AC14" s="32">
        <v>442066</v>
      </c>
      <c r="AD14" s="12">
        <v>457011.05099999998</v>
      </c>
      <c r="AE14" s="12">
        <v>460106.49599999998</v>
      </c>
      <c r="AF14" s="12">
        <v>454832.72899999999</v>
      </c>
      <c r="AG14" s="12">
        <v>450728.462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20394</v>
      </c>
      <c r="C15" s="12">
        <v>20780</v>
      </c>
      <c r="D15" s="12">
        <v>21383</v>
      </c>
      <c r="E15" s="12"/>
      <c r="F15" s="12"/>
      <c r="G15" s="12"/>
      <c r="H15" s="12"/>
      <c r="I15" s="12">
        <v>37873.696000000004</v>
      </c>
      <c r="J15" s="32">
        <v>43816.425999999999</v>
      </c>
      <c r="K15" s="12">
        <v>49338.101999999999</v>
      </c>
      <c r="L15" s="12">
        <v>49228.4</v>
      </c>
      <c r="M15" s="12">
        <v>49918.356</v>
      </c>
      <c r="N15" s="12">
        <v>50752.277000000002</v>
      </c>
      <c r="O15" s="12">
        <v>93253.566999999995</v>
      </c>
      <c r="P15" s="12"/>
      <c r="Q15" s="12"/>
      <c r="R15" s="34">
        <v>60811.716999999997</v>
      </c>
      <c r="S15" s="12">
        <v>66455.98</v>
      </c>
      <c r="T15" s="82">
        <v>84066.65</v>
      </c>
      <c r="U15" s="12">
        <v>66662.357000000004</v>
      </c>
      <c r="V15" s="12">
        <v>49200.868000000002</v>
      </c>
      <c r="W15" s="32">
        <v>108361.227</v>
      </c>
      <c r="X15" s="32">
        <v>64556.24</v>
      </c>
      <c r="Y15" s="32">
        <v>70219.858999999997</v>
      </c>
      <c r="Z15" s="32">
        <v>72277.811000000002</v>
      </c>
      <c r="AA15" s="32">
        <v>132580.27600000001</v>
      </c>
      <c r="AB15" s="32">
        <v>155712.274</v>
      </c>
      <c r="AC15" s="32">
        <v>177256</v>
      </c>
      <c r="AD15" s="12">
        <v>174772.93799999999</v>
      </c>
      <c r="AE15" s="12">
        <v>165647.93</v>
      </c>
      <c r="AF15" s="12">
        <v>187113.84700000001</v>
      </c>
      <c r="AG15" s="12">
        <v>196147.32199999999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19213</v>
      </c>
      <c r="C16" s="20">
        <v>18525</v>
      </c>
      <c r="D16" s="20">
        <v>19693</v>
      </c>
      <c r="E16" s="20"/>
      <c r="F16" s="20"/>
      <c r="G16" s="20"/>
      <c r="H16" s="20"/>
      <c r="I16" s="20">
        <v>43577.216999999997</v>
      </c>
      <c r="J16" s="33">
        <v>64783.707999999999</v>
      </c>
      <c r="K16" s="20">
        <v>72909.763000000006</v>
      </c>
      <c r="L16" s="20">
        <v>73652.046000000002</v>
      </c>
      <c r="M16" s="20">
        <v>74470.138999999996</v>
      </c>
      <c r="N16" s="20">
        <v>75322.975000000006</v>
      </c>
      <c r="O16" s="20">
        <v>122266.75818999999</v>
      </c>
      <c r="P16" s="20"/>
      <c r="Q16" s="20"/>
      <c r="R16" s="66">
        <v>134971.16099999999</v>
      </c>
      <c r="S16" s="20">
        <v>145758.76</v>
      </c>
      <c r="T16" s="20">
        <v>145574.144</v>
      </c>
      <c r="U16" s="20">
        <v>131610.44699999999</v>
      </c>
      <c r="V16" s="20">
        <v>133059.93900000001</v>
      </c>
      <c r="W16" s="33">
        <v>193991.09700000001</v>
      </c>
      <c r="X16" s="33">
        <v>144188.908</v>
      </c>
      <c r="Y16" s="33">
        <v>147709.08199999999</v>
      </c>
      <c r="Z16" s="33">
        <v>157515.69</v>
      </c>
      <c r="AA16" s="33">
        <v>242470.579</v>
      </c>
      <c r="AB16" s="33">
        <v>326681.245</v>
      </c>
      <c r="AC16" s="33">
        <v>376958</v>
      </c>
      <c r="AD16" s="20">
        <v>415350.14199999999</v>
      </c>
      <c r="AE16" s="20">
        <v>424545.88199999998</v>
      </c>
      <c r="AF16" s="20">
        <v>418610.342</v>
      </c>
      <c r="AG16" s="20">
        <v>405235.19500000001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11245</v>
      </c>
      <c r="C17" s="20">
        <v>11921</v>
      </c>
      <c r="D17" s="20">
        <v>12169</v>
      </c>
      <c r="E17" s="20"/>
      <c r="F17" s="20"/>
      <c r="G17" s="20"/>
      <c r="H17" s="20"/>
      <c r="I17" s="20">
        <v>28226.473000000002</v>
      </c>
      <c r="J17" s="33">
        <v>33815.892</v>
      </c>
      <c r="K17" s="20">
        <v>33567.339</v>
      </c>
      <c r="L17" s="20">
        <v>36588.175999999999</v>
      </c>
      <c r="M17" s="20">
        <v>36848.103000000003</v>
      </c>
      <c r="N17" s="20">
        <v>38093.519999999997</v>
      </c>
      <c r="O17" s="20">
        <v>67964.548330000005</v>
      </c>
      <c r="P17" s="20"/>
      <c r="Q17" s="20"/>
      <c r="R17" s="66">
        <v>46833.887999999999</v>
      </c>
      <c r="S17" s="20">
        <v>52051.356</v>
      </c>
      <c r="T17" s="20">
        <v>59832.747000000003</v>
      </c>
      <c r="U17" s="20">
        <v>43340.180999999997</v>
      </c>
      <c r="V17" s="20">
        <v>45502.302000000003</v>
      </c>
      <c r="W17" s="33">
        <v>84061.046000000002</v>
      </c>
      <c r="X17" s="33">
        <v>56835.86</v>
      </c>
      <c r="Y17" s="33">
        <v>56139.531000000003</v>
      </c>
      <c r="Z17" s="33">
        <v>67866.217000000004</v>
      </c>
      <c r="AA17" s="33">
        <v>127890.55100000001</v>
      </c>
      <c r="AB17" s="33">
        <v>143700.647</v>
      </c>
      <c r="AC17" s="33">
        <v>157802</v>
      </c>
      <c r="AD17" s="20">
        <v>162773.97</v>
      </c>
      <c r="AE17" s="20">
        <v>162558.01999999999</v>
      </c>
      <c r="AF17" s="20">
        <v>149351.34700000001</v>
      </c>
      <c r="AG17" s="20">
        <v>154361.63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22425</v>
      </c>
      <c r="C18" s="20">
        <v>22421</v>
      </c>
      <c r="D18" s="20">
        <v>23752</v>
      </c>
      <c r="E18" s="20"/>
      <c r="F18" s="20"/>
      <c r="G18" s="20"/>
      <c r="H18" s="20"/>
      <c r="I18" s="20">
        <v>42350.235999999997</v>
      </c>
      <c r="J18" s="33">
        <v>51431.567000000003</v>
      </c>
      <c r="K18" s="20">
        <v>55916.612000000001</v>
      </c>
      <c r="L18" s="20">
        <v>61267.714999999997</v>
      </c>
      <c r="M18" s="20">
        <v>63131.442000000003</v>
      </c>
      <c r="N18" s="20">
        <v>67209.994000000006</v>
      </c>
      <c r="O18" s="20">
        <v>100836.77899999999</v>
      </c>
      <c r="P18" s="20"/>
      <c r="Q18" s="20"/>
      <c r="R18" s="66">
        <v>92108.251000000004</v>
      </c>
      <c r="S18" s="20">
        <v>100424.01700000001</v>
      </c>
      <c r="T18" s="20">
        <v>136387.76999999999</v>
      </c>
      <c r="U18" s="20">
        <v>93884.743000000002</v>
      </c>
      <c r="V18" s="20">
        <v>109974.001</v>
      </c>
      <c r="W18" s="33">
        <v>225398.59</v>
      </c>
      <c r="X18" s="33">
        <v>136195.68799999999</v>
      </c>
      <c r="Y18" s="33">
        <v>150282.894</v>
      </c>
      <c r="Z18" s="33">
        <v>173024.89199999999</v>
      </c>
      <c r="AA18" s="33">
        <v>309050.25400000002</v>
      </c>
      <c r="AB18" s="33">
        <v>361440.99599999998</v>
      </c>
      <c r="AC18" s="33">
        <v>383019</v>
      </c>
      <c r="AD18" s="20">
        <v>393094.80800000002</v>
      </c>
      <c r="AE18" s="20">
        <v>393077.55099999998</v>
      </c>
      <c r="AF18" s="20">
        <v>396261.69900000002</v>
      </c>
      <c r="AG18" s="20">
        <v>392238.761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18163</v>
      </c>
      <c r="C19" s="20">
        <v>18217</v>
      </c>
      <c r="D19" s="20">
        <v>18774</v>
      </c>
      <c r="E19" s="20"/>
      <c r="F19" s="20"/>
      <c r="G19" s="20"/>
      <c r="H19" s="20"/>
      <c r="I19" s="20">
        <v>44029.284</v>
      </c>
      <c r="J19" s="33">
        <v>51734.252</v>
      </c>
      <c r="K19" s="20">
        <v>56575.27</v>
      </c>
      <c r="L19" s="20">
        <v>58425.457000000002</v>
      </c>
      <c r="M19" s="20">
        <v>60098.461000000003</v>
      </c>
      <c r="N19" s="20">
        <v>61943.849000000002</v>
      </c>
      <c r="O19" s="20">
        <v>96474.486999999994</v>
      </c>
      <c r="P19" s="20"/>
      <c r="Q19" s="20"/>
      <c r="R19" s="90">
        <v>83441.400999999998</v>
      </c>
      <c r="S19" s="20">
        <v>90997.865999999995</v>
      </c>
      <c r="T19" s="20">
        <v>106093.11599999999</v>
      </c>
      <c r="U19" s="20">
        <v>78255.63</v>
      </c>
      <c r="V19" s="20">
        <v>94586.888999999996</v>
      </c>
      <c r="W19" s="33">
        <v>147615.37</v>
      </c>
      <c r="X19" s="33">
        <v>104225.554</v>
      </c>
      <c r="Y19" s="33">
        <v>109980.435</v>
      </c>
      <c r="Z19" s="33">
        <v>119155.243</v>
      </c>
      <c r="AA19" s="33">
        <v>205588.995</v>
      </c>
      <c r="AB19" s="33">
        <v>249058.851</v>
      </c>
      <c r="AC19" s="33">
        <v>275176</v>
      </c>
      <c r="AD19" s="20">
        <v>290441.35499999998</v>
      </c>
      <c r="AE19" s="20">
        <v>288952.03100000002</v>
      </c>
      <c r="AF19" s="20">
        <v>282002.75599999999</v>
      </c>
      <c r="AG19" s="20">
        <v>284827.59499999997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92813</v>
      </c>
      <c r="C20" s="20">
        <v>97581</v>
      </c>
      <c r="D20" s="20">
        <v>119471</v>
      </c>
      <c r="E20" s="20"/>
      <c r="F20" s="20"/>
      <c r="G20" s="20"/>
      <c r="H20" s="20"/>
      <c r="I20" s="20">
        <v>192973.08199999999</v>
      </c>
      <c r="J20" s="33">
        <v>217640.95800000001</v>
      </c>
      <c r="K20" s="20">
        <v>251123.234</v>
      </c>
      <c r="L20" s="20">
        <v>278611.88299999997</v>
      </c>
      <c r="M20" s="20">
        <v>296249.77299999999</v>
      </c>
      <c r="N20" s="20">
        <v>327447.658</v>
      </c>
      <c r="O20" s="20">
        <v>526009.68500000006</v>
      </c>
      <c r="P20" s="20"/>
      <c r="Q20" s="20"/>
      <c r="R20" s="66">
        <v>439194.57500000001</v>
      </c>
      <c r="S20" s="20">
        <v>480199.71299999999</v>
      </c>
      <c r="T20" s="20">
        <v>538757.73300000001</v>
      </c>
      <c r="U20" s="20">
        <v>411656.02899999998</v>
      </c>
      <c r="V20" s="20">
        <v>481885.766</v>
      </c>
      <c r="W20" s="33">
        <v>727626.96200000006</v>
      </c>
      <c r="X20" s="33">
        <v>543016.96200000006</v>
      </c>
      <c r="Y20" s="33">
        <v>600705.42799999996</v>
      </c>
      <c r="Z20" s="33">
        <v>634685.14800000004</v>
      </c>
      <c r="AA20" s="33">
        <v>1022248.243</v>
      </c>
      <c r="AB20" s="33">
        <v>1207452.9439999999</v>
      </c>
      <c r="AC20" s="33">
        <v>1346824</v>
      </c>
      <c r="AD20" s="20">
        <v>1441250.1710000001</v>
      </c>
      <c r="AE20" s="20">
        <v>1471969.0930000001</v>
      </c>
      <c r="AF20" s="20">
        <v>1477142.024</v>
      </c>
      <c r="AG20" s="20">
        <v>1476284.1170000001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42021</v>
      </c>
      <c r="C21" s="20">
        <v>42607</v>
      </c>
      <c r="D21" s="20">
        <v>47569</v>
      </c>
      <c r="E21" s="20"/>
      <c r="F21" s="20"/>
      <c r="G21" s="20"/>
      <c r="H21" s="20"/>
      <c r="I21" s="20">
        <v>75533.274000000005</v>
      </c>
      <c r="J21" s="33">
        <v>90154.18</v>
      </c>
      <c r="K21" s="20">
        <v>105507.9</v>
      </c>
      <c r="L21" s="20">
        <v>114323.889</v>
      </c>
      <c r="M21" s="20">
        <v>116846.217</v>
      </c>
      <c r="N21" s="20">
        <v>120798.74</v>
      </c>
      <c r="O21" s="20">
        <v>159447.76199999999</v>
      </c>
      <c r="P21" s="20"/>
      <c r="Q21" s="20"/>
      <c r="R21" s="66">
        <v>128626.018</v>
      </c>
      <c r="S21" s="20">
        <v>130544.666</v>
      </c>
      <c r="T21" s="20">
        <v>145303.04800000001</v>
      </c>
      <c r="U21" s="20">
        <v>138723.97200000001</v>
      </c>
      <c r="V21" s="20">
        <v>166097.492</v>
      </c>
      <c r="W21" s="33">
        <v>216897.606</v>
      </c>
      <c r="X21" s="33">
        <v>194376.21900000001</v>
      </c>
      <c r="Y21" s="33">
        <v>214418.62</v>
      </c>
      <c r="Z21" s="33">
        <v>237274.753</v>
      </c>
      <c r="AA21" s="33">
        <v>335565.549</v>
      </c>
      <c r="AB21" s="33">
        <v>424937.45500000002</v>
      </c>
      <c r="AC21" s="33">
        <v>488461</v>
      </c>
      <c r="AD21" s="20">
        <v>543038.81299999997</v>
      </c>
      <c r="AE21" s="20">
        <v>543917.353</v>
      </c>
      <c r="AF21" s="20">
        <v>552209.22900000005</v>
      </c>
      <c r="AG21" s="20">
        <v>543002.04599999997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3419</v>
      </c>
      <c r="C22" s="51">
        <v>3209</v>
      </c>
      <c r="D22" s="51">
        <v>3636</v>
      </c>
      <c r="E22" s="51"/>
      <c r="F22" s="51"/>
      <c r="G22" s="51"/>
      <c r="H22" s="51"/>
      <c r="I22" s="51">
        <v>5743.4080000000004</v>
      </c>
      <c r="J22" s="50">
        <v>6632.8469999999998</v>
      </c>
      <c r="K22" s="51">
        <v>6615.98</v>
      </c>
      <c r="L22" s="51">
        <v>7257.2920000000004</v>
      </c>
      <c r="M22" s="51">
        <v>7914.5159999999996</v>
      </c>
      <c r="N22" s="51">
        <v>7993.5360000000001</v>
      </c>
      <c r="O22" s="51">
        <v>11597.61412</v>
      </c>
      <c r="P22" s="51"/>
      <c r="Q22" s="51"/>
      <c r="R22" s="51">
        <v>7192.1880000000001</v>
      </c>
      <c r="S22" s="51">
        <v>8175.6760000000004</v>
      </c>
      <c r="T22" s="51">
        <v>8022.143</v>
      </c>
      <c r="U22" s="51">
        <v>4873.2700000000004</v>
      </c>
      <c r="V22" s="51">
        <v>3316.442</v>
      </c>
      <c r="W22" s="50">
        <v>20875.870999999999</v>
      </c>
      <c r="X22" s="50">
        <v>10751.218999999999</v>
      </c>
      <c r="Y22" s="50">
        <v>16137.647999999999</v>
      </c>
      <c r="Z22" s="50">
        <v>18129.392</v>
      </c>
      <c r="AA22" s="50">
        <v>34788.872000000003</v>
      </c>
      <c r="AB22" s="50">
        <v>54470.521000000001</v>
      </c>
      <c r="AC22" s="50">
        <v>60428</v>
      </c>
      <c r="AD22" s="51">
        <v>62079.071000000004</v>
      </c>
      <c r="AE22" s="51">
        <v>64724.336000000003</v>
      </c>
      <c r="AF22" s="51">
        <v>65520.81</v>
      </c>
      <c r="AG22" s="51">
        <v>59058.112000000001</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10">SUM(C25:C37)</f>
        <v>0</v>
      </c>
      <c r="D23" s="104">
        <f t="shared" si="10"/>
        <v>0</v>
      </c>
      <c r="E23" s="104">
        <f t="shared" si="10"/>
        <v>0</v>
      </c>
      <c r="F23" s="104">
        <f t="shared" si="10"/>
        <v>0</v>
      </c>
      <c r="G23" s="104">
        <f t="shared" si="10"/>
        <v>0</v>
      </c>
      <c r="H23" s="104">
        <f t="shared" si="10"/>
        <v>0</v>
      </c>
      <c r="I23" s="104">
        <f t="shared" si="10"/>
        <v>0</v>
      </c>
      <c r="J23" s="104">
        <f t="shared" si="10"/>
        <v>598262.91499999992</v>
      </c>
      <c r="K23" s="104">
        <f t="shared" si="10"/>
        <v>0</v>
      </c>
      <c r="L23" s="104">
        <f t="shared" si="10"/>
        <v>0</v>
      </c>
      <c r="M23" s="104">
        <f t="shared" si="10"/>
        <v>817923.21199999994</v>
      </c>
      <c r="N23" s="104">
        <f t="shared" si="10"/>
        <v>0</v>
      </c>
      <c r="O23" s="104">
        <f t="shared" si="10"/>
        <v>1455164.2268000001</v>
      </c>
      <c r="P23" s="104">
        <f t="shared" si="10"/>
        <v>0</v>
      </c>
      <c r="Q23" s="104">
        <f t="shared" si="10"/>
        <v>0</v>
      </c>
      <c r="R23" s="104">
        <f t="shared" si="10"/>
        <v>1010875.9000000001</v>
      </c>
      <c r="S23" s="104">
        <f t="shared" si="10"/>
        <v>1069496.3180000002</v>
      </c>
      <c r="T23" s="104">
        <f t="shared" si="10"/>
        <v>1183834.1769999999</v>
      </c>
      <c r="U23" s="104">
        <f t="shared" si="10"/>
        <v>1179963.3470000001</v>
      </c>
      <c r="V23" s="104">
        <f t="shared" si="10"/>
        <v>1191992.2509999999</v>
      </c>
      <c r="W23" s="104">
        <f t="shared" si="10"/>
        <v>2001934.2650000004</v>
      </c>
      <c r="X23" s="104">
        <f t="shared" si="10"/>
        <v>1504790.1439999996</v>
      </c>
      <c r="Y23" s="104">
        <f t="shared" si="10"/>
        <v>1516244.0989999997</v>
      </c>
      <c r="Z23" s="104">
        <f t="shared" si="10"/>
        <v>1564973.423</v>
      </c>
      <c r="AA23" s="104">
        <f t="shared" si="10"/>
        <v>2587338.3689999999</v>
      </c>
      <c r="AB23" s="104">
        <f t="shared" si="10"/>
        <v>3101073.2880000002</v>
      </c>
      <c r="AC23" s="104">
        <f t="shared" si="10"/>
        <v>3445475</v>
      </c>
      <c r="AD23" s="104">
        <f t="shared" si="10"/>
        <v>3712644.1660000002</v>
      </c>
      <c r="AE23" s="104">
        <f t="shared" si="10"/>
        <v>3925123.4220000003</v>
      </c>
      <c r="AF23" s="104">
        <f t="shared" si="10"/>
        <v>2796163.0049999999</v>
      </c>
      <c r="AG23" s="104">
        <f t="shared" si="10"/>
        <v>2775745.7089999998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191.28800000000001</v>
      </c>
      <c r="K25" s="20"/>
      <c r="L25" s="20"/>
      <c r="M25" s="20">
        <v>500.79500000000002</v>
      </c>
      <c r="N25" s="20"/>
      <c r="O25" s="20">
        <v>724.88599999999997</v>
      </c>
      <c r="P25" s="20"/>
      <c r="Q25" s="20"/>
      <c r="R25" s="66">
        <v>576.41</v>
      </c>
      <c r="S25" s="20">
        <v>413.75900000000001</v>
      </c>
      <c r="T25" s="20">
        <v>531.30399999999997</v>
      </c>
      <c r="U25" s="20">
        <v>578.96900000000005</v>
      </c>
      <c r="V25" s="20">
        <v>572.40499999999997</v>
      </c>
      <c r="W25" s="33">
        <v>436.221</v>
      </c>
      <c r="X25" s="33">
        <v>931.25699999999995</v>
      </c>
      <c r="Y25" s="33">
        <v>945.62800000000004</v>
      </c>
      <c r="Z25" s="33">
        <v>993.64499999999998</v>
      </c>
      <c r="AA25" s="33">
        <v>1065.4770000000001</v>
      </c>
      <c r="AB25" s="33">
        <v>1275.749</v>
      </c>
      <c r="AC25" s="33">
        <v>950</v>
      </c>
      <c r="AD25" s="20">
        <v>1457.88</v>
      </c>
      <c r="AE25" s="20">
        <v>2992.8470000000002</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72520.86</v>
      </c>
      <c r="K26" s="20"/>
      <c r="L26" s="20"/>
      <c r="M26" s="20">
        <v>96151.028999999995</v>
      </c>
      <c r="N26" s="20"/>
      <c r="O26" s="20">
        <v>155576.69537</v>
      </c>
      <c r="P26" s="20"/>
      <c r="Q26" s="20"/>
      <c r="R26" s="66">
        <v>132301.87</v>
      </c>
      <c r="S26" s="20">
        <v>141219.38500000001</v>
      </c>
      <c r="T26" s="20">
        <v>144776.53099999999</v>
      </c>
      <c r="U26" s="20">
        <v>124025.37</v>
      </c>
      <c r="V26" s="20">
        <v>142185.74299999999</v>
      </c>
      <c r="W26" s="33">
        <v>210786.432</v>
      </c>
      <c r="X26" s="33">
        <v>173791.23</v>
      </c>
      <c r="Y26" s="33">
        <v>190561.62899999999</v>
      </c>
      <c r="Z26" s="33">
        <v>193933.095</v>
      </c>
      <c r="AA26" s="33">
        <v>284878.56099999999</v>
      </c>
      <c r="AB26" s="33">
        <v>328401.16800000001</v>
      </c>
      <c r="AC26" s="33">
        <v>358035</v>
      </c>
      <c r="AD26" s="20">
        <v>384066.89500000002</v>
      </c>
      <c r="AE26" s="20">
        <v>371633.359</v>
      </c>
      <c r="AF26" s="20">
        <v>71820.216</v>
      </c>
      <c r="AG26" s="20">
        <v>72721.619000000006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209448.46799999999</v>
      </c>
      <c r="K27" s="20"/>
      <c r="L27" s="20"/>
      <c r="M27" s="20">
        <v>288573.63799999998</v>
      </c>
      <c r="N27" s="20"/>
      <c r="O27" s="20">
        <v>638844.08979999996</v>
      </c>
      <c r="P27" s="20"/>
      <c r="Q27" s="20"/>
      <c r="R27" s="66">
        <v>277764.78399999999</v>
      </c>
      <c r="S27" s="20">
        <v>273684.30300000001</v>
      </c>
      <c r="T27" s="20">
        <v>307652.06699999998</v>
      </c>
      <c r="U27" s="20">
        <v>320664.386</v>
      </c>
      <c r="V27" s="20">
        <v>354870.77</v>
      </c>
      <c r="W27" s="33">
        <v>823392.68700000003</v>
      </c>
      <c r="X27" s="33">
        <v>563726.86499999999</v>
      </c>
      <c r="Y27" s="33">
        <v>554853.60800000001</v>
      </c>
      <c r="Z27" s="33">
        <v>548891.91899999999</v>
      </c>
      <c r="AA27" s="33">
        <v>962101.38399999996</v>
      </c>
      <c r="AB27" s="33">
        <v>1168872.53</v>
      </c>
      <c r="AC27" s="33">
        <v>1263672</v>
      </c>
      <c r="AD27" s="20">
        <v>1402169.2120000001</v>
      </c>
      <c r="AE27" s="20">
        <v>1604570.753</v>
      </c>
      <c r="AF27" s="20">
        <v>1195440.0719999999</v>
      </c>
      <c r="AG27" s="20">
        <v>1198715.463</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60910.754999999997</v>
      </c>
      <c r="K28" s="20"/>
      <c r="L28" s="20"/>
      <c r="M28" s="20">
        <v>84767.127999999997</v>
      </c>
      <c r="N28" s="20"/>
      <c r="O28" s="20">
        <v>116603.17600000001</v>
      </c>
      <c r="P28" s="20"/>
      <c r="Q28" s="20"/>
      <c r="R28" s="66">
        <v>106645.242</v>
      </c>
      <c r="S28" s="20">
        <v>112619.484</v>
      </c>
      <c r="T28" s="20">
        <v>121835.62699999999</v>
      </c>
      <c r="U28" s="20">
        <v>96616.137000000002</v>
      </c>
      <c r="V28" s="20">
        <v>107151.17</v>
      </c>
      <c r="W28" s="33">
        <v>148934.10999999999</v>
      </c>
      <c r="X28" s="33">
        <v>178102.70699999999</v>
      </c>
      <c r="Y28" s="33">
        <v>205259.36199999999</v>
      </c>
      <c r="Z28" s="33">
        <v>213665.15900000001</v>
      </c>
      <c r="AA28" s="33">
        <v>284717.19500000001</v>
      </c>
      <c r="AB28" s="33">
        <v>312168.10800000001</v>
      </c>
      <c r="AC28" s="33">
        <v>397858</v>
      </c>
      <c r="AD28" s="20">
        <v>409558.60100000002</v>
      </c>
      <c r="AE28" s="20">
        <v>406409.19199999998</v>
      </c>
      <c r="AF28" s="20">
        <v>169198.576</v>
      </c>
      <c r="AG28" s="20">
        <v>177416.02900000001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11629.431</v>
      </c>
      <c r="K29" s="20"/>
      <c r="L29" s="20"/>
      <c r="M29" s="20">
        <v>13890.831</v>
      </c>
      <c r="N29" s="20"/>
      <c r="O29" s="20">
        <v>27288.663</v>
      </c>
      <c r="P29" s="20"/>
      <c r="Q29" s="20"/>
      <c r="R29" s="66">
        <v>32644.512999999999</v>
      </c>
      <c r="S29" s="20">
        <v>34664.580999999998</v>
      </c>
      <c r="T29" s="20">
        <v>34830.803999999996</v>
      </c>
      <c r="U29" s="20">
        <v>30356.476999999999</v>
      </c>
      <c r="V29" s="20">
        <v>28414.168000000001</v>
      </c>
      <c r="W29" s="33">
        <v>30551.517</v>
      </c>
      <c r="X29" s="33">
        <v>29034.822</v>
      </c>
      <c r="Y29" s="33">
        <v>32179.519</v>
      </c>
      <c r="Z29" s="33">
        <v>36130.572999999997</v>
      </c>
      <c r="AA29" s="33">
        <v>47176.959999999999</v>
      </c>
      <c r="AB29" s="33">
        <v>49081.108</v>
      </c>
      <c r="AC29" s="33">
        <v>71859</v>
      </c>
      <c r="AD29" s="20">
        <v>75927.274000000005</v>
      </c>
      <c r="AE29" s="20">
        <v>77122.777000000002</v>
      </c>
      <c r="AF29" s="20">
        <v>78857.998000000007</v>
      </c>
      <c r="AG29" s="20">
        <v>79855.591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5676.6580000000004</v>
      </c>
      <c r="K30" s="20"/>
      <c r="L30" s="20"/>
      <c r="M30" s="20">
        <v>8007.8469999999998</v>
      </c>
      <c r="N30" s="20"/>
      <c r="O30" s="20">
        <v>15350.172</v>
      </c>
      <c r="P30" s="20"/>
      <c r="Q30" s="20"/>
      <c r="R30" s="66">
        <v>14320.14</v>
      </c>
      <c r="S30" s="20">
        <v>15310.602000000001</v>
      </c>
      <c r="T30" s="20">
        <v>17164.633999999998</v>
      </c>
      <c r="U30" s="20">
        <v>14789.866</v>
      </c>
      <c r="V30" s="20">
        <v>16066.143</v>
      </c>
      <c r="W30" s="33">
        <v>35289.400999999998</v>
      </c>
      <c r="X30" s="33">
        <v>16852.834999999999</v>
      </c>
      <c r="Y30" s="33">
        <v>17662.254000000001</v>
      </c>
      <c r="Z30" s="33">
        <v>16424.307000000001</v>
      </c>
      <c r="AA30" s="33">
        <v>39020.658000000003</v>
      </c>
      <c r="AB30" s="33">
        <v>49278.226000000002</v>
      </c>
      <c r="AC30" s="33">
        <v>57989</v>
      </c>
      <c r="AD30" s="20">
        <v>92034.005000000005</v>
      </c>
      <c r="AE30" s="20">
        <v>66793.273000000001</v>
      </c>
      <c r="AF30" s="20">
        <v>65543.293999999994</v>
      </c>
      <c r="AG30" s="20">
        <v>55605.83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3266.373</v>
      </c>
      <c r="K31" s="20"/>
      <c r="L31" s="20"/>
      <c r="M31" s="20">
        <v>8317.9789999999994</v>
      </c>
      <c r="N31" s="20"/>
      <c r="O31" s="20">
        <v>12479.69267</v>
      </c>
      <c r="P31" s="20"/>
      <c r="Q31" s="20"/>
      <c r="R31" s="90">
        <v>8206.3160000000007</v>
      </c>
      <c r="S31" s="20">
        <v>9252.1910000000007</v>
      </c>
      <c r="T31" s="20">
        <v>10813.7</v>
      </c>
      <c r="U31" s="20">
        <v>11064.992</v>
      </c>
      <c r="V31" s="20">
        <v>12689.601000000001</v>
      </c>
      <c r="W31" s="33">
        <v>16258.942999999999</v>
      </c>
      <c r="X31" s="33">
        <v>13603.833000000001</v>
      </c>
      <c r="Y31" s="33">
        <v>14379.306</v>
      </c>
      <c r="Z31" s="33">
        <v>15130.964</v>
      </c>
      <c r="AA31" s="33">
        <v>21397.841</v>
      </c>
      <c r="AB31" s="33">
        <v>25165.967000000001</v>
      </c>
      <c r="AC31" s="33">
        <v>25843</v>
      </c>
      <c r="AD31" s="20">
        <v>26688.959999999999</v>
      </c>
      <c r="AE31" s="20">
        <v>24463.431</v>
      </c>
      <c r="AF31" s="20">
        <v>24676.583999999999</v>
      </c>
      <c r="AG31" s="20">
        <v>21444.579000000002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11113.709000000001</v>
      </c>
      <c r="K32" s="20"/>
      <c r="L32" s="20"/>
      <c r="M32" s="20">
        <v>14587.578</v>
      </c>
      <c r="N32" s="20"/>
      <c r="O32" s="20">
        <v>27516</v>
      </c>
      <c r="P32" s="20"/>
      <c r="Q32" s="20"/>
      <c r="R32" s="92">
        <v>32983</v>
      </c>
      <c r="S32" s="20">
        <v>36524</v>
      </c>
      <c r="T32" s="20">
        <v>43798</v>
      </c>
      <c r="U32" s="20">
        <v>39234</v>
      </c>
      <c r="V32" s="20">
        <v>12828</v>
      </c>
      <c r="W32" s="33">
        <v>16738.003000000001</v>
      </c>
      <c r="X32" s="33">
        <v>14116</v>
      </c>
      <c r="Y32" s="33">
        <v>11750</v>
      </c>
      <c r="Z32" s="33">
        <v>12644</v>
      </c>
      <c r="AA32" s="33">
        <v>79374.172999999995</v>
      </c>
      <c r="AB32" s="33">
        <v>87485.558000000005</v>
      </c>
      <c r="AC32" s="33">
        <v>96137</v>
      </c>
      <c r="AD32" s="20">
        <v>96860.634999999995</v>
      </c>
      <c r="AE32" s="20">
        <v>97942</v>
      </c>
      <c r="AF32" s="20">
        <v>99332</v>
      </c>
      <c r="AG32" s="20">
        <v>103444</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16701.455999999998</v>
      </c>
      <c r="K33" s="20"/>
      <c r="L33" s="20"/>
      <c r="M33" s="20">
        <v>23586.933000000001</v>
      </c>
      <c r="N33" s="20"/>
      <c r="O33" s="20">
        <v>43661.825840000005</v>
      </c>
      <c r="P33" s="20"/>
      <c r="Q33" s="20"/>
      <c r="R33" s="92">
        <v>31105.040000000001</v>
      </c>
      <c r="S33" s="20">
        <v>32927.720999999998</v>
      </c>
      <c r="T33" s="20">
        <v>36511.764000000003</v>
      </c>
      <c r="U33" s="20">
        <v>28720.334999999999</v>
      </c>
      <c r="V33" s="20">
        <v>31699.405999999999</v>
      </c>
      <c r="W33" s="33">
        <v>52147.347000000002</v>
      </c>
      <c r="X33" s="33">
        <v>38322.527000000002</v>
      </c>
      <c r="Y33" s="33">
        <v>39176.182999999997</v>
      </c>
      <c r="Z33" s="33">
        <v>41268.038</v>
      </c>
      <c r="AA33" s="33">
        <v>71266.913</v>
      </c>
      <c r="AB33" s="33">
        <v>78006.328999999998</v>
      </c>
      <c r="AC33" s="33">
        <v>87110</v>
      </c>
      <c r="AD33" s="20">
        <v>96117.428</v>
      </c>
      <c r="AE33" s="20">
        <v>95635.22</v>
      </c>
      <c r="AF33" s="20">
        <v>60282.406000000003</v>
      </c>
      <c r="AG33" s="20">
        <v>61050.646000000001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57457.64</v>
      </c>
      <c r="K34" s="20"/>
      <c r="L34" s="20"/>
      <c r="M34" s="20">
        <v>71612.27</v>
      </c>
      <c r="N34" s="20"/>
      <c r="O34" s="20">
        <v>102557.32209999999</v>
      </c>
      <c r="P34" s="20"/>
      <c r="Q34" s="20"/>
      <c r="R34" s="66">
        <v>91979.203999999998</v>
      </c>
      <c r="S34" s="20">
        <v>102478.433</v>
      </c>
      <c r="T34" s="20">
        <v>117170.114</v>
      </c>
      <c r="U34" s="20">
        <v>132270.052</v>
      </c>
      <c r="V34" s="20">
        <v>147454.45499999999</v>
      </c>
      <c r="W34" s="33">
        <v>187026.46900000001</v>
      </c>
      <c r="X34" s="33">
        <v>161977.147</v>
      </c>
      <c r="Y34" s="33">
        <v>169260.56099999999</v>
      </c>
      <c r="Z34" s="33">
        <v>183574.26500000001</v>
      </c>
      <c r="AA34" s="33">
        <v>250830.50399999999</v>
      </c>
      <c r="AB34" s="33">
        <v>327544.58199999999</v>
      </c>
      <c r="AC34" s="33">
        <v>361763</v>
      </c>
      <c r="AD34" s="20">
        <v>371783.86599999998</v>
      </c>
      <c r="AE34" s="20">
        <v>354225.50099999999</v>
      </c>
      <c r="AF34" s="20">
        <v>344017.19699999999</v>
      </c>
      <c r="AG34" s="20">
        <v>328037.95799999998</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33118.817000000003</v>
      </c>
      <c r="K35" s="20"/>
      <c r="L35" s="20"/>
      <c r="M35" s="20">
        <v>31918.815999999999</v>
      </c>
      <c r="N35" s="20"/>
      <c r="O35" s="20">
        <v>44466.332000000002</v>
      </c>
      <c r="P35" s="20"/>
      <c r="Q35" s="20"/>
      <c r="R35" s="66">
        <v>34614.898000000001</v>
      </c>
      <c r="S35" s="20">
        <v>38367.995999999999</v>
      </c>
      <c r="T35" s="20">
        <v>48429.51</v>
      </c>
      <c r="U35" s="20">
        <v>42170.122000000003</v>
      </c>
      <c r="V35" s="20">
        <v>47992.722000000002</v>
      </c>
      <c r="W35" s="33">
        <v>66195.566000000006</v>
      </c>
      <c r="X35" s="33">
        <v>54756.413</v>
      </c>
      <c r="Y35" s="33">
        <v>59110.807999999997</v>
      </c>
      <c r="Z35" s="33">
        <v>60262.322999999997</v>
      </c>
      <c r="AA35" s="33">
        <v>76002.540999999997</v>
      </c>
      <c r="AB35" s="33">
        <v>116921.861</v>
      </c>
      <c r="AC35" s="33">
        <v>99304</v>
      </c>
      <c r="AD35" s="20">
        <v>90679.592999999993</v>
      </c>
      <c r="AE35" s="20">
        <v>134942.04999999999</v>
      </c>
      <c r="AF35" s="20">
        <v>135769.42199999999</v>
      </c>
      <c r="AG35" s="20">
        <v>135253.66500000001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106493.291</v>
      </c>
      <c r="K36" s="20"/>
      <c r="L36" s="20"/>
      <c r="M36" s="20">
        <v>163990.443</v>
      </c>
      <c r="N36" s="20"/>
      <c r="O36" s="20">
        <v>249838.11601999999</v>
      </c>
      <c r="P36" s="20"/>
      <c r="Q36" s="20"/>
      <c r="R36" s="66">
        <v>230363.92199999999</v>
      </c>
      <c r="S36" s="20">
        <v>254213.736</v>
      </c>
      <c r="T36" s="20">
        <v>281200.152</v>
      </c>
      <c r="U36" s="20">
        <v>323575.7</v>
      </c>
      <c r="V36" s="20">
        <v>272747.11499999999</v>
      </c>
      <c r="W36" s="33">
        <v>389843.85200000001</v>
      </c>
      <c r="X36" s="33">
        <v>238691.11900000001</v>
      </c>
      <c r="Y36" s="33">
        <v>199902.05100000001</v>
      </c>
      <c r="Z36" s="33">
        <v>218296.49</v>
      </c>
      <c r="AA36" s="33">
        <v>435119.06900000002</v>
      </c>
      <c r="AB36" s="33">
        <v>516107.54800000001</v>
      </c>
      <c r="AC36" s="33">
        <v>582164</v>
      </c>
      <c r="AD36" s="20">
        <v>620292.16500000004</v>
      </c>
      <c r="AE36" s="20">
        <v>643648.29700000002</v>
      </c>
      <c r="AF36" s="20">
        <v>504021.33100000001</v>
      </c>
      <c r="AG36" s="20">
        <v>497138.53600000002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9734.1689999999999</v>
      </c>
      <c r="K37" s="51"/>
      <c r="L37" s="51"/>
      <c r="M37" s="51">
        <v>12017.924999999999</v>
      </c>
      <c r="N37" s="51"/>
      <c r="O37" s="51">
        <v>20257.256000000001</v>
      </c>
      <c r="P37" s="51"/>
      <c r="Q37" s="51"/>
      <c r="R37" s="67">
        <v>17370.561000000002</v>
      </c>
      <c r="S37" s="51">
        <v>17820.127</v>
      </c>
      <c r="T37" s="51">
        <v>19119.97</v>
      </c>
      <c r="U37" s="51">
        <v>15896.941000000001</v>
      </c>
      <c r="V37" s="51">
        <v>17320.553</v>
      </c>
      <c r="W37" s="50">
        <v>24333.717000000001</v>
      </c>
      <c r="X37" s="50">
        <v>20883.388999999999</v>
      </c>
      <c r="Y37" s="50">
        <v>21203.19</v>
      </c>
      <c r="Z37" s="50">
        <v>23758.645</v>
      </c>
      <c r="AA37" s="50">
        <v>34387.093000000001</v>
      </c>
      <c r="AB37" s="50">
        <v>40764.553999999996</v>
      </c>
      <c r="AC37" s="50">
        <v>42791</v>
      </c>
      <c r="AD37" s="51">
        <v>45007.652000000002</v>
      </c>
      <c r="AE37" s="51">
        <v>44744.722000000002</v>
      </c>
      <c r="AF37" s="51">
        <v>47203.909</v>
      </c>
      <c r="AG37" s="51">
        <v>45061.792999999998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11">SUM(C40:C51)</f>
        <v>0</v>
      </c>
      <c r="D38" s="104">
        <f t="shared" si="11"/>
        <v>0</v>
      </c>
      <c r="E38" s="104">
        <f t="shared" si="11"/>
        <v>0</v>
      </c>
      <c r="F38" s="104">
        <f t="shared" si="11"/>
        <v>0</v>
      </c>
      <c r="G38" s="104">
        <f t="shared" si="11"/>
        <v>0</v>
      </c>
      <c r="H38" s="104">
        <f t="shared" si="11"/>
        <v>0</v>
      </c>
      <c r="I38" s="104">
        <f t="shared" si="11"/>
        <v>0</v>
      </c>
      <c r="J38" s="104">
        <f t="shared" si="11"/>
        <v>1024254.214</v>
      </c>
      <c r="K38" s="104">
        <f t="shared" si="11"/>
        <v>0</v>
      </c>
      <c r="L38" s="104">
        <f t="shared" si="11"/>
        <v>0</v>
      </c>
      <c r="M38" s="104">
        <f t="shared" si="11"/>
        <v>1191278.2059999998</v>
      </c>
      <c r="N38" s="104">
        <f t="shared" si="11"/>
        <v>0</v>
      </c>
      <c r="O38" s="104">
        <f t="shared" si="11"/>
        <v>1718124.2756899998</v>
      </c>
      <c r="P38" s="104">
        <f t="shared" si="11"/>
        <v>0</v>
      </c>
      <c r="Q38" s="104">
        <f t="shared" si="11"/>
        <v>0</v>
      </c>
      <c r="R38" s="104">
        <f t="shared" si="11"/>
        <v>1518220.702</v>
      </c>
      <c r="S38" s="104">
        <f t="shared" si="11"/>
        <v>1612731.9350000003</v>
      </c>
      <c r="T38" s="104">
        <f t="shared" si="11"/>
        <v>1758323.7340000004</v>
      </c>
      <c r="U38" s="104">
        <f t="shared" si="11"/>
        <v>1559462.7949999997</v>
      </c>
      <c r="V38" s="104">
        <f t="shared" si="11"/>
        <v>1683463.2549999999</v>
      </c>
      <c r="W38" s="104">
        <f t="shared" si="11"/>
        <v>2388954.6480000005</v>
      </c>
      <c r="X38" s="104">
        <f t="shared" si="11"/>
        <v>1946281.0890000002</v>
      </c>
      <c r="Y38" s="104">
        <f t="shared" si="11"/>
        <v>2038563.3239999998</v>
      </c>
      <c r="Z38" s="104">
        <f t="shared" si="11"/>
        <v>2149476.3849999998</v>
      </c>
      <c r="AA38" s="104">
        <f t="shared" si="11"/>
        <v>3296065.9860000005</v>
      </c>
      <c r="AB38" s="104">
        <f t="shared" si="11"/>
        <v>3840819.8659999995</v>
      </c>
      <c r="AC38" s="104">
        <f t="shared" si="11"/>
        <v>4215662</v>
      </c>
      <c r="AD38" s="104">
        <f t="shared" si="11"/>
        <v>4237159.5640000012</v>
      </c>
      <c r="AE38" s="104">
        <f t="shared" si="11"/>
        <v>4303909.9119999995</v>
      </c>
      <c r="AF38" s="104">
        <f t="shared" si="11"/>
        <v>3449166.2650000006</v>
      </c>
      <c r="AG38" s="104">
        <f t="shared" si="11"/>
        <v>3390262.4020000007</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198904.071</v>
      </c>
      <c r="K40" s="20"/>
      <c r="L40" s="20"/>
      <c r="M40" s="20">
        <v>242257.18900000001</v>
      </c>
      <c r="N40" s="20"/>
      <c r="O40" s="20">
        <v>342657.40243999998</v>
      </c>
      <c r="P40" s="20"/>
      <c r="Q40" s="20"/>
      <c r="R40" s="66">
        <v>312599.86300000001</v>
      </c>
      <c r="S40" s="20">
        <v>330336.11499999999</v>
      </c>
      <c r="T40" s="20">
        <v>369959.54300000001</v>
      </c>
      <c r="U40" s="20">
        <v>309800.29399999999</v>
      </c>
      <c r="V40" s="20">
        <v>329591.50300000003</v>
      </c>
      <c r="W40" s="33">
        <v>473295.67800000001</v>
      </c>
      <c r="X40" s="33">
        <v>385635.88</v>
      </c>
      <c r="Y40" s="33">
        <v>401600.71899999998</v>
      </c>
      <c r="Z40" s="33">
        <v>434223.12</v>
      </c>
      <c r="AA40" s="33">
        <v>641725.68599999999</v>
      </c>
      <c r="AB40" s="33">
        <v>748196.55799999996</v>
      </c>
      <c r="AC40" s="33">
        <v>841408</v>
      </c>
      <c r="AD40" s="20">
        <v>843699.74899999995</v>
      </c>
      <c r="AE40" s="20">
        <v>855486.78399999999</v>
      </c>
      <c r="AF40" s="20">
        <v>529430.22699999996</v>
      </c>
      <c r="AG40" s="20">
        <v>529424.73600000003</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42303.499000000003</v>
      </c>
      <c r="K41" s="20"/>
      <c r="L41" s="20"/>
      <c r="M41" s="20">
        <v>47439.290999999997</v>
      </c>
      <c r="N41" s="20"/>
      <c r="O41" s="20">
        <v>74207.421000000002</v>
      </c>
      <c r="P41" s="20"/>
      <c r="Q41" s="20"/>
      <c r="R41" s="66">
        <v>63579.591</v>
      </c>
      <c r="S41" s="20">
        <v>69510.115999999995</v>
      </c>
      <c r="T41" s="20">
        <v>93031.154999999999</v>
      </c>
      <c r="U41" s="20">
        <v>78996.366999999998</v>
      </c>
      <c r="V41" s="20">
        <v>72554.142999999996</v>
      </c>
      <c r="W41" s="33">
        <v>109482.501</v>
      </c>
      <c r="X41" s="33">
        <v>88925.7</v>
      </c>
      <c r="Y41" s="33">
        <v>91951.423999999999</v>
      </c>
      <c r="Z41" s="33">
        <v>114256.91899999999</v>
      </c>
      <c r="AA41" s="33">
        <v>175799.20699999999</v>
      </c>
      <c r="AB41" s="33">
        <v>224897.10800000001</v>
      </c>
      <c r="AC41" s="33">
        <v>248030</v>
      </c>
      <c r="AD41" s="20">
        <v>255033.04300000001</v>
      </c>
      <c r="AE41" s="20">
        <v>290030.01299999998</v>
      </c>
      <c r="AF41" s="20">
        <v>285906.94799999997</v>
      </c>
      <c r="AG41" s="20">
        <v>274674.03399999999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81362.225000000006</v>
      </c>
      <c r="K42" s="20"/>
      <c r="L42" s="20"/>
      <c r="M42" s="20">
        <v>89959.093999999997</v>
      </c>
      <c r="N42" s="20"/>
      <c r="O42" s="20">
        <v>133954.57800000001</v>
      </c>
      <c r="P42" s="20"/>
      <c r="Q42" s="20"/>
      <c r="R42" s="66">
        <v>124030.064</v>
      </c>
      <c r="S42" s="20">
        <v>131031.823</v>
      </c>
      <c r="T42" s="20">
        <v>149058.63</v>
      </c>
      <c r="U42" s="20">
        <v>118348.79</v>
      </c>
      <c r="V42" s="20">
        <v>126739.41800000001</v>
      </c>
      <c r="W42" s="33">
        <v>188589.378</v>
      </c>
      <c r="X42" s="33">
        <v>148103.204</v>
      </c>
      <c r="Y42" s="33">
        <v>155626.46299999999</v>
      </c>
      <c r="Z42" s="33">
        <v>161815.61900000001</v>
      </c>
      <c r="AA42" s="33">
        <v>232758.66</v>
      </c>
      <c r="AB42" s="33">
        <v>272194.60200000001</v>
      </c>
      <c r="AC42" s="33">
        <v>299071</v>
      </c>
      <c r="AD42" s="20">
        <v>304193.95799999998</v>
      </c>
      <c r="AE42" s="20">
        <v>298406.69799999997</v>
      </c>
      <c r="AF42" s="20">
        <v>272644.98700000002</v>
      </c>
      <c r="AG42" s="20">
        <v>269275.13400000002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34924.713000000003</v>
      </c>
      <c r="K43" s="20"/>
      <c r="L43" s="20"/>
      <c r="M43" s="20">
        <v>52687.898999999998</v>
      </c>
      <c r="N43" s="20"/>
      <c r="O43" s="20">
        <v>73851.224340000001</v>
      </c>
      <c r="P43" s="20"/>
      <c r="Q43" s="20"/>
      <c r="R43" s="66">
        <v>61972.932999999997</v>
      </c>
      <c r="S43" s="20">
        <v>65582.947</v>
      </c>
      <c r="T43" s="20">
        <v>72861.762000000002</v>
      </c>
      <c r="U43" s="20">
        <v>76679.042000000001</v>
      </c>
      <c r="V43" s="20">
        <v>83642.687000000005</v>
      </c>
      <c r="W43" s="33">
        <v>107201.363</v>
      </c>
      <c r="X43" s="33">
        <v>98704.766000000003</v>
      </c>
      <c r="Y43" s="33">
        <v>100220.63099999999</v>
      </c>
      <c r="Z43" s="33">
        <v>98638.062999999995</v>
      </c>
      <c r="AA43" s="33">
        <v>138346.41099999999</v>
      </c>
      <c r="AB43" s="33">
        <v>158537.38399999999</v>
      </c>
      <c r="AC43" s="33">
        <v>176688</v>
      </c>
      <c r="AD43" s="20">
        <v>170950.55300000001</v>
      </c>
      <c r="AE43" s="20">
        <v>187358.74799999999</v>
      </c>
      <c r="AF43" s="20">
        <v>135284.39799999999</v>
      </c>
      <c r="AG43" s="20">
        <v>140027.06700000001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203136.60699999999</v>
      </c>
      <c r="K44" s="20"/>
      <c r="L44" s="20"/>
      <c r="M44" s="20">
        <v>234334.446</v>
      </c>
      <c r="N44" s="20"/>
      <c r="O44" s="20">
        <v>290069.95679999999</v>
      </c>
      <c r="P44" s="20"/>
      <c r="Q44" s="20"/>
      <c r="R44" s="66">
        <v>255923.649</v>
      </c>
      <c r="S44" s="20">
        <v>267496.16800000001</v>
      </c>
      <c r="T44" s="20">
        <v>288730.59100000001</v>
      </c>
      <c r="U44" s="20">
        <v>247429.65400000001</v>
      </c>
      <c r="V44" s="20">
        <v>269794.31199999998</v>
      </c>
      <c r="W44" s="33">
        <v>396312.43599999999</v>
      </c>
      <c r="X44" s="33">
        <v>316060.598</v>
      </c>
      <c r="Y44" s="33">
        <v>344692.85100000002</v>
      </c>
      <c r="Z44" s="33">
        <v>365794.37599999999</v>
      </c>
      <c r="AA44" s="33">
        <v>565580.06999999995</v>
      </c>
      <c r="AB44" s="33">
        <v>669069.93799999997</v>
      </c>
      <c r="AC44" s="33">
        <v>716304</v>
      </c>
      <c r="AD44" s="20">
        <v>699883.17599999998</v>
      </c>
      <c r="AE44" s="20">
        <v>687845.93299999996</v>
      </c>
      <c r="AF44" s="20">
        <v>630943.66700000002</v>
      </c>
      <c r="AG44" s="20">
        <v>621253.45200000005</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105999.251</v>
      </c>
      <c r="K45" s="20"/>
      <c r="L45" s="20"/>
      <c r="M45" s="20">
        <v>142873.05799999999</v>
      </c>
      <c r="N45" s="20"/>
      <c r="O45" s="20">
        <v>217293.36366</v>
      </c>
      <c r="P45" s="20"/>
      <c r="Q45" s="20"/>
      <c r="R45" s="66">
        <v>183008.66399999999</v>
      </c>
      <c r="S45" s="20">
        <v>203108.965</v>
      </c>
      <c r="T45" s="20">
        <v>224781.717</v>
      </c>
      <c r="U45" s="20">
        <v>225232.981</v>
      </c>
      <c r="V45" s="20">
        <v>245357.8</v>
      </c>
      <c r="W45" s="33">
        <v>327031.348</v>
      </c>
      <c r="X45" s="33">
        <v>255180.071</v>
      </c>
      <c r="Y45" s="33">
        <v>276056.01799999998</v>
      </c>
      <c r="Z45" s="33">
        <v>296379.15899999999</v>
      </c>
      <c r="AA45" s="33">
        <v>434489.217</v>
      </c>
      <c r="AB45" s="33">
        <v>480664.75199999998</v>
      </c>
      <c r="AC45" s="33">
        <v>502288</v>
      </c>
      <c r="AD45" s="20">
        <v>507072.93900000001</v>
      </c>
      <c r="AE45" s="20">
        <v>510143.86300000001</v>
      </c>
      <c r="AF45" s="20">
        <v>378534.80499999999</v>
      </c>
      <c r="AG45" s="20">
        <v>365558.78100000002</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57403.680999999997</v>
      </c>
      <c r="K46" s="20"/>
      <c r="L46" s="20"/>
      <c r="M46" s="20">
        <v>27881.937999999998</v>
      </c>
      <c r="N46" s="20"/>
      <c r="O46" s="20">
        <v>97777.119000000006</v>
      </c>
      <c r="P46" s="20"/>
      <c r="Q46" s="20"/>
      <c r="R46" s="66">
        <v>42592.508000000002</v>
      </c>
      <c r="S46" s="20">
        <v>59466.773000000001</v>
      </c>
      <c r="T46" s="20">
        <v>56452.440999999999</v>
      </c>
      <c r="U46" s="20">
        <v>52388.606</v>
      </c>
      <c r="V46" s="20">
        <v>58155.898999999998</v>
      </c>
      <c r="W46" s="33">
        <v>90743.376999999993</v>
      </c>
      <c r="X46" s="33">
        <v>66370.316000000006</v>
      </c>
      <c r="Y46" s="33">
        <v>72591.290999999997</v>
      </c>
      <c r="Z46" s="33">
        <v>73273.14</v>
      </c>
      <c r="AA46" s="33">
        <v>120362.50199999999</v>
      </c>
      <c r="AB46" s="33">
        <v>144423.584</v>
      </c>
      <c r="AC46" s="33">
        <v>211082</v>
      </c>
      <c r="AD46" s="20">
        <v>227121.40900000001</v>
      </c>
      <c r="AE46" s="20">
        <v>213912.18400000001</v>
      </c>
      <c r="AF46" s="20">
        <v>261659.12</v>
      </c>
      <c r="AG46" s="20">
        <v>250707.29399999999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14150.387000000001</v>
      </c>
      <c r="K47" s="20"/>
      <c r="L47" s="20"/>
      <c r="M47" s="20">
        <v>15999.031000000001</v>
      </c>
      <c r="N47" s="20"/>
      <c r="O47" s="20">
        <v>37994.608999999997</v>
      </c>
      <c r="P47" s="20"/>
      <c r="Q47" s="20"/>
      <c r="R47" s="92">
        <v>33936.370999999999</v>
      </c>
      <c r="S47" s="20">
        <v>35768.533000000003</v>
      </c>
      <c r="T47" s="20">
        <v>38770.061000000002</v>
      </c>
      <c r="U47" s="20">
        <v>34310.754999999997</v>
      </c>
      <c r="V47" s="20">
        <v>37994.449000000001</v>
      </c>
      <c r="W47" s="33">
        <v>53049.838000000003</v>
      </c>
      <c r="X47" s="33">
        <v>45335.834000000003</v>
      </c>
      <c r="Y47" s="33">
        <v>47779.561999999998</v>
      </c>
      <c r="Z47" s="33">
        <v>51087.493999999999</v>
      </c>
      <c r="AA47" s="33">
        <v>70999.743000000002</v>
      </c>
      <c r="AB47" s="33">
        <v>81019.748999999996</v>
      </c>
      <c r="AC47" s="33">
        <v>88681</v>
      </c>
      <c r="AD47" s="20">
        <v>92535.952999999994</v>
      </c>
      <c r="AE47" s="20">
        <v>90317.239000000001</v>
      </c>
      <c r="AF47" s="20">
        <v>75993.429000000004</v>
      </c>
      <c r="AG47" s="20">
        <v>74606.256999999998</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11321.928</v>
      </c>
      <c r="K48" s="20"/>
      <c r="L48" s="20"/>
      <c r="M48" s="20">
        <v>14100.536</v>
      </c>
      <c r="N48" s="20"/>
      <c r="O48" s="20">
        <v>19984.119079999997</v>
      </c>
      <c r="P48" s="20"/>
      <c r="Q48" s="20"/>
      <c r="R48" s="66">
        <v>17487.523000000001</v>
      </c>
      <c r="S48" s="20">
        <v>17246.274000000001</v>
      </c>
      <c r="T48" s="20">
        <v>19608.482</v>
      </c>
      <c r="U48" s="20">
        <v>16232.392</v>
      </c>
      <c r="V48" s="20">
        <v>18245.621999999999</v>
      </c>
      <c r="W48" s="33">
        <v>28231.494999999999</v>
      </c>
      <c r="X48" s="33">
        <v>22546.75</v>
      </c>
      <c r="Y48" s="33">
        <v>24702.935000000001</v>
      </c>
      <c r="Z48" s="33">
        <v>15615.126</v>
      </c>
      <c r="AA48" s="33">
        <v>37599.555</v>
      </c>
      <c r="AB48" s="33">
        <v>40924.419000000002</v>
      </c>
      <c r="AC48" s="33">
        <v>42941</v>
      </c>
      <c r="AD48" s="20">
        <v>42765.027000000002</v>
      </c>
      <c r="AE48" s="20">
        <v>42160.584999999999</v>
      </c>
      <c r="AF48" s="20">
        <v>42398.555</v>
      </c>
      <c r="AG48" s="20">
        <v>41215.254000000001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190928.228</v>
      </c>
      <c r="K49" s="20"/>
      <c r="L49" s="20"/>
      <c r="M49" s="20">
        <v>228718.05499999999</v>
      </c>
      <c r="N49" s="20"/>
      <c r="O49" s="20">
        <v>290318.93599999999</v>
      </c>
      <c r="P49" s="20"/>
      <c r="Q49" s="20"/>
      <c r="R49" s="66">
        <v>285085.34399999998</v>
      </c>
      <c r="S49" s="20">
        <v>288022.99900000001</v>
      </c>
      <c r="T49" s="20">
        <v>284523.587</v>
      </c>
      <c r="U49" s="20">
        <v>267480.141</v>
      </c>
      <c r="V49" s="20">
        <v>281715.26799999998</v>
      </c>
      <c r="W49" s="33">
        <v>398683.902</v>
      </c>
      <c r="X49" s="33">
        <v>333277.85499999998</v>
      </c>
      <c r="Y49" s="33">
        <v>345979.29200000002</v>
      </c>
      <c r="Z49" s="33">
        <v>349567.58299999998</v>
      </c>
      <c r="AA49" s="33">
        <v>628541.47900000005</v>
      </c>
      <c r="AB49" s="33">
        <v>691482.89099999995</v>
      </c>
      <c r="AC49" s="33">
        <v>739871</v>
      </c>
      <c r="AD49" s="20">
        <v>739110.23499999999</v>
      </c>
      <c r="AE49" s="20">
        <v>768096.30099999998</v>
      </c>
      <c r="AF49" s="20">
        <v>696322.1</v>
      </c>
      <c r="AG49" s="20">
        <v>683278.48199999996</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211.37299999999999</v>
      </c>
      <c r="K50" s="20"/>
      <c r="L50" s="20"/>
      <c r="M50" s="20">
        <v>443.47699999999998</v>
      </c>
      <c r="N50" s="20"/>
      <c r="O50" s="20">
        <v>13583.98537</v>
      </c>
      <c r="P50" s="20"/>
      <c r="Q50" s="20"/>
      <c r="R50" s="66">
        <v>12427.198</v>
      </c>
      <c r="S50" s="20">
        <v>12736.773999999999</v>
      </c>
      <c r="T50" s="20">
        <v>13764.857</v>
      </c>
      <c r="U50" s="20">
        <v>13942.050999999999</v>
      </c>
      <c r="V50" s="20">
        <v>16407.240000000002</v>
      </c>
      <c r="W50" s="33">
        <v>19076.746999999999</v>
      </c>
      <c r="X50" s="33">
        <v>16685.992999999999</v>
      </c>
      <c r="Y50" s="33">
        <v>18237.82</v>
      </c>
      <c r="Z50" s="33">
        <v>20124.116000000002</v>
      </c>
      <c r="AA50" s="33">
        <v>27859.094000000001</v>
      </c>
      <c r="AB50" s="33">
        <v>34362.006999999998</v>
      </c>
      <c r="AC50" s="33">
        <v>35388</v>
      </c>
      <c r="AD50" s="20">
        <v>35603.235000000001</v>
      </c>
      <c r="AE50" s="20">
        <v>38654.760999999999</v>
      </c>
      <c r="AF50" s="20">
        <v>40769.946000000004</v>
      </c>
      <c r="AG50" s="20">
        <v>45517.366000000002</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83608.251000000004</v>
      </c>
      <c r="K51" s="51"/>
      <c r="L51" s="51"/>
      <c r="M51" s="51">
        <v>94584.191999999995</v>
      </c>
      <c r="N51" s="51"/>
      <c r="O51" s="51">
        <v>126431.561</v>
      </c>
      <c r="P51" s="51"/>
      <c r="Q51" s="51"/>
      <c r="R51" s="67">
        <v>125576.99400000001</v>
      </c>
      <c r="S51" s="51">
        <v>132424.448</v>
      </c>
      <c r="T51" s="51">
        <v>146780.908</v>
      </c>
      <c r="U51" s="51">
        <v>118621.72199999999</v>
      </c>
      <c r="V51" s="51">
        <v>143264.91399999999</v>
      </c>
      <c r="W51" s="50">
        <v>197256.58499999999</v>
      </c>
      <c r="X51" s="50">
        <v>169454.122</v>
      </c>
      <c r="Y51" s="50">
        <v>159124.318</v>
      </c>
      <c r="Z51" s="50">
        <v>168701.67</v>
      </c>
      <c r="AA51" s="50">
        <v>222004.36199999999</v>
      </c>
      <c r="AB51" s="50">
        <v>295046.87400000001</v>
      </c>
      <c r="AC51" s="50">
        <v>313910</v>
      </c>
      <c r="AD51" s="51">
        <v>319190.28700000001</v>
      </c>
      <c r="AE51" s="51">
        <v>321496.80300000001</v>
      </c>
      <c r="AF51" s="51">
        <v>99278.082999999999</v>
      </c>
      <c r="AG51" s="51">
        <v>94724.544999999998</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2">SUM(C54:C62)</f>
        <v>0</v>
      </c>
      <c r="D52" s="104">
        <f t="shared" si="12"/>
        <v>0</v>
      </c>
      <c r="E52" s="104">
        <f t="shared" si="12"/>
        <v>0</v>
      </c>
      <c r="F52" s="104">
        <f t="shared" si="12"/>
        <v>0</v>
      </c>
      <c r="G52" s="104">
        <f t="shared" si="12"/>
        <v>0</v>
      </c>
      <c r="H52" s="104">
        <f t="shared" si="12"/>
        <v>0</v>
      </c>
      <c r="I52" s="104">
        <f t="shared" si="12"/>
        <v>0</v>
      </c>
      <c r="J52" s="104">
        <f t="shared" si="12"/>
        <v>794256.51600000006</v>
      </c>
      <c r="K52" s="104">
        <f t="shared" si="12"/>
        <v>0</v>
      </c>
      <c r="L52" s="104">
        <f t="shared" si="12"/>
        <v>0</v>
      </c>
      <c r="M52" s="104">
        <f t="shared" si="12"/>
        <v>962824.48299999989</v>
      </c>
      <c r="N52" s="104">
        <f t="shared" si="12"/>
        <v>0</v>
      </c>
      <c r="O52" s="104">
        <f t="shared" si="12"/>
        <v>1375177.0101399999</v>
      </c>
      <c r="P52" s="104">
        <f t="shared" si="12"/>
        <v>0</v>
      </c>
      <c r="Q52" s="104">
        <f t="shared" si="12"/>
        <v>0</v>
      </c>
      <c r="R52" s="104">
        <f t="shared" si="12"/>
        <v>1081098.571</v>
      </c>
      <c r="S52" s="104">
        <f t="shared" si="12"/>
        <v>1203371.746</v>
      </c>
      <c r="T52" s="104">
        <f t="shared" si="12"/>
        <v>1328529.9909999999</v>
      </c>
      <c r="U52" s="104">
        <f t="shared" si="12"/>
        <v>1112329.6100000001</v>
      </c>
      <c r="V52" s="104">
        <f t="shared" si="12"/>
        <v>1217706.9340000001</v>
      </c>
      <c r="W52" s="104">
        <f t="shared" si="12"/>
        <v>1796374.4010000003</v>
      </c>
      <c r="X52" s="104">
        <f t="shared" si="12"/>
        <v>1384919.8370000001</v>
      </c>
      <c r="Y52" s="104">
        <f t="shared" si="12"/>
        <v>1474444.2210000001</v>
      </c>
      <c r="Z52" s="104">
        <f t="shared" si="12"/>
        <v>1571585.0890000002</v>
      </c>
      <c r="AA52" s="104">
        <f t="shared" si="12"/>
        <v>2401128.1319999998</v>
      </c>
      <c r="AB52" s="104">
        <f t="shared" si="12"/>
        <v>2763396.9049999993</v>
      </c>
      <c r="AC52" s="104">
        <f t="shared" si="12"/>
        <v>2913841</v>
      </c>
      <c r="AD52" s="104">
        <f t="shared" si="12"/>
        <v>3037635.11</v>
      </c>
      <c r="AE52" s="104">
        <f t="shared" si="12"/>
        <v>3147784.3939999994</v>
      </c>
      <c r="AF52" s="104">
        <f t="shared" si="12"/>
        <v>3165030.892</v>
      </c>
      <c r="AG52" s="104">
        <f t="shared" si="12"/>
        <v>3180811.2900000005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37583.622000000003</v>
      </c>
      <c r="K54" s="20"/>
      <c r="L54" s="20"/>
      <c r="M54" s="65">
        <v>46910.906000000003</v>
      </c>
      <c r="N54" s="20"/>
      <c r="O54" s="20">
        <v>62586.341140000004</v>
      </c>
      <c r="P54" s="20"/>
      <c r="Q54" s="20"/>
      <c r="R54" s="66">
        <v>56036.267</v>
      </c>
      <c r="S54" s="20">
        <v>59916.417000000001</v>
      </c>
      <c r="T54" s="20">
        <v>64633.91</v>
      </c>
      <c r="U54" s="20">
        <v>57433.351000000002</v>
      </c>
      <c r="V54" s="20">
        <v>64726.106</v>
      </c>
      <c r="W54" s="33">
        <v>93202.024000000005</v>
      </c>
      <c r="X54" s="33">
        <v>72687.726999999999</v>
      </c>
      <c r="Y54" s="33">
        <v>77863.111000000004</v>
      </c>
      <c r="Z54" s="33">
        <v>82676.873999999996</v>
      </c>
      <c r="AA54" s="33">
        <v>131433.24299999999</v>
      </c>
      <c r="AB54" s="33">
        <v>154766.37299999999</v>
      </c>
      <c r="AC54" s="33">
        <v>167500</v>
      </c>
      <c r="AD54" s="20">
        <v>169860.55799999999</v>
      </c>
      <c r="AE54" s="20">
        <v>181504.54800000001</v>
      </c>
      <c r="AF54" s="20">
        <v>180320.62599999999</v>
      </c>
      <c r="AG54" s="20">
        <v>180002.11900000001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8218.5139999999992</v>
      </c>
      <c r="K55" s="20"/>
      <c r="L55" s="20"/>
      <c r="M55" s="20">
        <v>11565.53</v>
      </c>
      <c r="N55" s="20"/>
      <c r="O55" s="20">
        <v>15427.539000000001</v>
      </c>
      <c r="P55" s="20"/>
      <c r="Q55" s="20"/>
      <c r="R55" s="66">
        <v>14991.642</v>
      </c>
      <c r="S55" s="20">
        <v>15131.206</v>
      </c>
      <c r="T55" s="20">
        <v>17711.744999999999</v>
      </c>
      <c r="U55" s="20">
        <v>13685.972</v>
      </c>
      <c r="V55" s="20">
        <v>15884.816000000001</v>
      </c>
      <c r="W55" s="33">
        <v>25695.113000000001</v>
      </c>
      <c r="X55" s="33">
        <v>17510.377</v>
      </c>
      <c r="Y55" s="33">
        <v>18560.422999999999</v>
      </c>
      <c r="Z55" s="33">
        <v>19373.527999999998</v>
      </c>
      <c r="AA55" s="33">
        <v>37377.027000000002</v>
      </c>
      <c r="AB55" s="33">
        <v>40402.502999999997</v>
      </c>
      <c r="AC55" s="33">
        <v>41238</v>
      </c>
      <c r="AD55" s="20">
        <v>42862.887999999999</v>
      </c>
      <c r="AE55" s="20">
        <v>47975.962</v>
      </c>
      <c r="AF55" s="20">
        <v>48023.593000000001</v>
      </c>
      <c r="AG55" s="20">
        <v>47826.464</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107033.21</v>
      </c>
      <c r="K56" s="20"/>
      <c r="L56" s="20"/>
      <c r="M56" s="20">
        <v>121573.179</v>
      </c>
      <c r="N56" s="20"/>
      <c r="O56" s="20">
        <v>145645.84099999999</v>
      </c>
      <c r="P56" s="20"/>
      <c r="Q56" s="20"/>
      <c r="R56" s="66">
        <v>122927.361</v>
      </c>
      <c r="S56" s="20">
        <v>128472.44100000001</v>
      </c>
      <c r="T56" s="20">
        <v>131027.671</v>
      </c>
      <c r="U56" s="20">
        <v>127520.40300000001</v>
      </c>
      <c r="V56" s="20">
        <v>146857.77100000001</v>
      </c>
      <c r="W56" s="33">
        <v>206650.405</v>
      </c>
      <c r="X56" s="33">
        <v>155102.943</v>
      </c>
      <c r="Y56" s="33">
        <v>164239.03700000001</v>
      </c>
      <c r="Z56" s="33">
        <v>174832.05499999999</v>
      </c>
      <c r="AA56" s="33">
        <v>262388.511</v>
      </c>
      <c r="AB56" s="33">
        <v>314541.19199999998</v>
      </c>
      <c r="AC56" s="33">
        <v>342858</v>
      </c>
      <c r="AD56" s="20">
        <v>364283.196</v>
      </c>
      <c r="AE56" s="20">
        <v>374838.04499999998</v>
      </c>
      <c r="AF56" s="20">
        <v>369340.18599999999</v>
      </c>
      <c r="AG56" s="20">
        <v>371358.201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12732.897999999999</v>
      </c>
      <c r="K57" s="20"/>
      <c r="L57" s="20"/>
      <c r="M57" s="20">
        <v>19549.353999999999</v>
      </c>
      <c r="N57" s="20"/>
      <c r="O57" s="20">
        <v>29810.279689999999</v>
      </c>
      <c r="P57" s="20"/>
      <c r="Q57" s="20"/>
      <c r="R57" s="92">
        <v>21557.473999999998</v>
      </c>
      <c r="S57" s="20">
        <v>23274.726999999999</v>
      </c>
      <c r="T57" s="20">
        <v>25340.102999999999</v>
      </c>
      <c r="U57" s="20">
        <v>30915.546999999999</v>
      </c>
      <c r="V57" s="20">
        <v>32952.283000000003</v>
      </c>
      <c r="W57" s="33">
        <v>36701.947</v>
      </c>
      <c r="X57" s="33">
        <v>32773.582999999999</v>
      </c>
      <c r="Y57" s="33">
        <v>41556.993000000002</v>
      </c>
      <c r="Z57" s="33">
        <v>42825.951999999997</v>
      </c>
      <c r="AA57" s="33">
        <v>50503.618999999999</v>
      </c>
      <c r="AB57" s="33">
        <v>53396.303999999996</v>
      </c>
      <c r="AC57" s="33">
        <v>61131</v>
      </c>
      <c r="AD57" s="20">
        <v>65004.322</v>
      </c>
      <c r="AE57" s="20">
        <v>71470.462</v>
      </c>
      <c r="AF57" s="20">
        <v>66520.673999999999</v>
      </c>
      <c r="AG57" s="20">
        <v>63467.58</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161440.514</v>
      </c>
      <c r="K58" s="20"/>
      <c r="L58" s="20"/>
      <c r="M58" s="20">
        <v>197263.23800000001</v>
      </c>
      <c r="N58" s="20"/>
      <c r="O58" s="20">
        <v>255803.45800000001</v>
      </c>
      <c r="P58" s="20"/>
      <c r="Q58" s="20"/>
      <c r="R58" s="92">
        <v>227335.33600000001</v>
      </c>
      <c r="S58" s="20">
        <v>238370.106</v>
      </c>
      <c r="T58" s="20">
        <v>276594.39899999998</v>
      </c>
      <c r="U58" s="20">
        <v>238741.198</v>
      </c>
      <c r="V58" s="20">
        <v>262876.78200000001</v>
      </c>
      <c r="W58" s="33">
        <v>372447.29700000002</v>
      </c>
      <c r="X58" s="33">
        <v>302247.50400000002</v>
      </c>
      <c r="Y58" s="33">
        <v>330007.53899999999</v>
      </c>
      <c r="Z58" s="33">
        <v>352725.88199999998</v>
      </c>
      <c r="AA58" s="33">
        <v>516359.08899999998</v>
      </c>
      <c r="AB58" s="33">
        <v>620877.29500000004</v>
      </c>
      <c r="AC58" s="33">
        <v>646914</v>
      </c>
      <c r="AD58" s="20">
        <v>657337.18599999999</v>
      </c>
      <c r="AE58" s="20">
        <v>653251.83600000001</v>
      </c>
      <c r="AF58" s="20">
        <v>652320.71699999995</v>
      </c>
      <c r="AG58" s="20">
        <v>650483.02</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308450.79800000001</v>
      </c>
      <c r="K59" s="20"/>
      <c r="L59" s="20"/>
      <c r="M59" s="20">
        <v>390431.85800000001</v>
      </c>
      <c r="N59" s="20"/>
      <c r="O59" s="20">
        <v>629568.40099999995</v>
      </c>
      <c r="P59" s="20"/>
      <c r="Q59" s="20"/>
      <c r="R59" s="92">
        <v>428535.15600000002</v>
      </c>
      <c r="S59" s="20">
        <v>514062.01299999998</v>
      </c>
      <c r="T59" s="20">
        <v>560830.46</v>
      </c>
      <c r="U59" s="20">
        <v>406480.24400000001</v>
      </c>
      <c r="V59" s="20">
        <v>431108.46299999999</v>
      </c>
      <c r="W59" s="33">
        <v>717297.17799999996</v>
      </c>
      <c r="X59" s="33">
        <v>499442.45400000003</v>
      </c>
      <c r="Y59" s="33">
        <v>517697.53</v>
      </c>
      <c r="Z59" s="33">
        <v>547656.70900000003</v>
      </c>
      <c r="AA59" s="33">
        <v>906861.63</v>
      </c>
      <c r="AB59" s="33">
        <v>1027639.107</v>
      </c>
      <c r="AC59" s="33">
        <v>1077493</v>
      </c>
      <c r="AD59" s="20">
        <v>1145802.0630000001</v>
      </c>
      <c r="AE59" s="20">
        <v>1200986.68</v>
      </c>
      <c r="AF59" s="20">
        <v>1230639.365</v>
      </c>
      <c r="AG59" s="20">
        <v>1251410.2990000001</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134322.45199999999</v>
      </c>
      <c r="K60" s="20"/>
      <c r="L60" s="20"/>
      <c r="M60" s="20">
        <v>150106.29999999999</v>
      </c>
      <c r="N60" s="20"/>
      <c r="O60" s="20">
        <v>203342.46831</v>
      </c>
      <c r="P60" s="20"/>
      <c r="Q60" s="20"/>
      <c r="R60" s="66">
        <v>181753.04500000001</v>
      </c>
      <c r="S60" s="20">
        <v>193993.364</v>
      </c>
      <c r="T60" s="20">
        <v>220074.679</v>
      </c>
      <c r="U60" s="20">
        <v>208862.136</v>
      </c>
      <c r="V60" s="20">
        <v>232042.72</v>
      </c>
      <c r="W60" s="33">
        <v>301551.58199999999</v>
      </c>
      <c r="X60" s="33">
        <v>269247.196</v>
      </c>
      <c r="Y60" s="33">
        <v>284129.58</v>
      </c>
      <c r="Z60" s="33">
        <v>307474.462</v>
      </c>
      <c r="AA60" s="33">
        <v>416145.64199999999</v>
      </c>
      <c r="AB60" s="33">
        <v>481364.10399999999</v>
      </c>
      <c r="AC60" s="33">
        <v>500402</v>
      </c>
      <c r="AD60" s="20">
        <v>514505.99599999998</v>
      </c>
      <c r="AE60" s="20">
        <v>517074.23200000002</v>
      </c>
      <c r="AF60" s="20">
        <v>518941.21500000003</v>
      </c>
      <c r="AG60" s="20">
        <v>518037.67300000001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17002.288</v>
      </c>
      <c r="K61" s="20"/>
      <c r="L61" s="20"/>
      <c r="M61" s="20">
        <v>18955.266</v>
      </c>
      <c r="N61" s="20"/>
      <c r="O61" s="20">
        <v>23173.539000000001</v>
      </c>
      <c r="P61" s="20"/>
      <c r="Q61" s="20"/>
      <c r="R61" s="66">
        <v>19170.609</v>
      </c>
      <c r="S61" s="20">
        <v>20274.240000000002</v>
      </c>
      <c r="T61" s="20">
        <v>21753.453000000001</v>
      </c>
      <c r="U61" s="20">
        <v>19274.587</v>
      </c>
      <c r="V61" s="20">
        <v>20756.797999999999</v>
      </c>
      <c r="W61" s="33">
        <v>28366.582999999999</v>
      </c>
      <c r="X61" s="33">
        <v>23019.379000000001</v>
      </c>
      <c r="Y61" s="33">
        <v>26169.082999999999</v>
      </c>
      <c r="Z61" s="33">
        <v>29262.144</v>
      </c>
      <c r="AA61" s="33">
        <v>42866.491000000002</v>
      </c>
      <c r="AB61" s="33">
        <v>46762.752</v>
      </c>
      <c r="AC61" s="33">
        <v>51019</v>
      </c>
      <c r="AD61" s="20">
        <v>52471.819000000003</v>
      </c>
      <c r="AE61" s="20">
        <v>54433.485000000001</v>
      </c>
      <c r="AF61" s="20">
        <v>53031.476000000002</v>
      </c>
      <c r="AG61" s="20">
        <v>51697.93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7472.22</v>
      </c>
      <c r="K62" s="51"/>
      <c r="L62" s="51"/>
      <c r="M62" s="51">
        <v>6468.8519999999999</v>
      </c>
      <c r="N62" s="51"/>
      <c r="O62" s="51">
        <v>9819.143</v>
      </c>
      <c r="P62" s="51"/>
      <c r="Q62" s="51"/>
      <c r="R62" s="67">
        <v>8791.6810000000005</v>
      </c>
      <c r="S62" s="51">
        <v>9877.232</v>
      </c>
      <c r="T62" s="51">
        <v>10563.571</v>
      </c>
      <c r="U62" s="51">
        <v>9416.1720000000005</v>
      </c>
      <c r="V62" s="51">
        <v>10501.195</v>
      </c>
      <c r="W62" s="50">
        <v>14462.272000000001</v>
      </c>
      <c r="X62" s="50">
        <v>12888.674000000001</v>
      </c>
      <c r="Y62" s="50">
        <v>14220.924999999999</v>
      </c>
      <c r="Z62" s="50">
        <v>14757.483</v>
      </c>
      <c r="AA62" s="50">
        <v>37192.879999999997</v>
      </c>
      <c r="AB62" s="50">
        <v>23647.275000000001</v>
      </c>
      <c r="AC62" s="50">
        <v>25286</v>
      </c>
      <c r="AD62" s="51">
        <v>25507.081999999999</v>
      </c>
      <c r="AE62" s="51">
        <v>46249.144</v>
      </c>
      <c r="AF62" s="51">
        <v>45893.04</v>
      </c>
      <c r="AG62" s="51">
        <v>46528.004000000001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51"/>
      <c r="AE63" s="51"/>
      <c r="AF63" s="51"/>
      <c r="AG63" s="51"/>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t="s">
        <v>17</v>
      </c>
      <c r="B66" s="12" t="s">
        <v>16</v>
      </c>
      <c r="C66" s="12"/>
      <c r="D66" s="12"/>
      <c r="E66" s="12"/>
      <c r="F66" s="12"/>
      <c r="G66" s="12"/>
      <c r="H66" s="12"/>
      <c r="I66" s="12" t="s">
        <v>18</v>
      </c>
      <c r="J66" s="12" t="s">
        <v>70</v>
      </c>
      <c r="K66" s="12"/>
      <c r="L66" s="12"/>
      <c r="M66" s="56" t="s">
        <v>86</v>
      </c>
      <c r="N66" s="35" t="s">
        <v>75</v>
      </c>
      <c r="O66" s="12" t="s">
        <v>71</v>
      </c>
      <c r="P66" s="12"/>
      <c r="Q66" s="12"/>
      <c r="R66" s="12" t="s">
        <v>71</v>
      </c>
      <c r="S66" s="12"/>
      <c r="T66" s="12"/>
      <c r="U66" s="56" t="s">
        <v>86</v>
      </c>
      <c r="V66" s="56" t="s">
        <v>86</v>
      </c>
      <c r="W66" s="56" t="s">
        <v>86</v>
      </c>
      <c r="X66" s="56" t="s">
        <v>86</v>
      </c>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t="s">
        <v>19</v>
      </c>
      <c r="B67" s="12" t="s">
        <v>18</v>
      </c>
      <c r="C67" s="12"/>
      <c r="D67" s="12"/>
      <c r="E67" s="12"/>
      <c r="F67" s="12"/>
      <c r="G67" s="12"/>
      <c r="H67" s="12"/>
      <c r="I67" s="12" t="s">
        <v>20</v>
      </c>
      <c r="J67" s="12" t="s">
        <v>69</v>
      </c>
      <c r="K67" s="12"/>
      <c r="L67" s="12"/>
      <c r="M67" s="12" t="s">
        <v>87</v>
      </c>
      <c r="N67" s="12" t="s">
        <v>74</v>
      </c>
      <c r="O67" s="12" t="s">
        <v>72</v>
      </c>
      <c r="P67" s="12"/>
      <c r="Q67" s="12"/>
      <c r="R67" s="12" t="s">
        <v>80</v>
      </c>
      <c r="S67" s="12"/>
      <c r="T67" s="12"/>
      <c r="U67" s="12" t="s">
        <v>87</v>
      </c>
      <c r="V67" s="12" t="s">
        <v>87</v>
      </c>
      <c r="W67" s="12" t="s">
        <v>87</v>
      </c>
      <c r="X67" s="12" t="s">
        <v>87</v>
      </c>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t="s">
        <v>21</v>
      </c>
      <c r="B68" s="12" t="s">
        <v>20</v>
      </c>
      <c r="C68" s="12"/>
      <c r="D68" s="12"/>
      <c r="E68" s="12"/>
      <c r="F68" s="12"/>
      <c r="G68" s="12"/>
      <c r="H68" s="12"/>
      <c r="I68" s="12" t="s">
        <v>22</v>
      </c>
      <c r="J68" s="12" t="s">
        <v>68</v>
      </c>
      <c r="K68" s="12"/>
      <c r="L68" s="12"/>
      <c r="M68" s="12" t="s">
        <v>88</v>
      </c>
      <c r="N68" s="12" t="s">
        <v>73</v>
      </c>
      <c r="O68" s="12"/>
      <c r="P68" s="12"/>
      <c r="Q68" s="12"/>
      <c r="R68" s="12"/>
      <c r="S68" s="12"/>
      <c r="T68" s="12"/>
      <c r="U68" s="12" t="s">
        <v>88</v>
      </c>
      <c r="V68" s="12" t="s">
        <v>88</v>
      </c>
      <c r="W68" s="12" t="s">
        <v>88</v>
      </c>
      <c r="X68" s="12" t="s">
        <v>88</v>
      </c>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t="s">
        <v>23</v>
      </c>
      <c r="B69" s="12" t="s">
        <v>22</v>
      </c>
      <c r="C69" s="12"/>
      <c r="D69" s="12"/>
      <c r="E69" s="12"/>
      <c r="F69" s="12"/>
      <c r="G69" s="12"/>
      <c r="H69" s="12"/>
      <c r="I69" s="12" t="s">
        <v>24</v>
      </c>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t="s">
        <v>25</v>
      </c>
      <c r="B70" s="12" t="s">
        <v>24</v>
      </c>
      <c r="C70" s="12"/>
      <c r="D70" s="12"/>
      <c r="E70" s="12"/>
      <c r="F70" s="12"/>
      <c r="G70" s="12"/>
      <c r="H70" s="12"/>
      <c r="I70" s="12" t="s">
        <v>26</v>
      </c>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t="s">
        <v>27</v>
      </c>
      <c r="B71" s="12" t="s">
        <v>26</v>
      </c>
      <c r="C71" s="12"/>
      <c r="D71" s="12"/>
      <c r="E71" s="12"/>
      <c r="F71" s="12"/>
      <c r="G71" s="12"/>
      <c r="H71" s="12"/>
      <c r="I71" s="12" t="s">
        <v>28</v>
      </c>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t="s">
        <v>29</v>
      </c>
      <c r="B72" s="12" t="s">
        <v>28</v>
      </c>
      <c r="C72" s="12"/>
      <c r="D72" s="12"/>
      <c r="E72" s="12"/>
      <c r="F72" s="12"/>
      <c r="G72" s="12"/>
      <c r="H72" s="12"/>
      <c r="I72" s="12" t="s">
        <v>30</v>
      </c>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t="s">
        <v>31</v>
      </c>
      <c r="B73" s="12" t="s">
        <v>30</v>
      </c>
      <c r="C73" s="12"/>
      <c r="D73" s="12"/>
      <c r="E73" s="12"/>
      <c r="F73" s="12"/>
      <c r="G73" s="12"/>
      <c r="H73" s="12"/>
      <c r="I73" s="12" t="s">
        <v>32</v>
      </c>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t="s">
        <v>33</v>
      </c>
      <c r="B74" s="12" t="s">
        <v>32</v>
      </c>
      <c r="C74" s="12"/>
      <c r="D74" s="12"/>
      <c r="E74" s="12"/>
      <c r="F74" s="12"/>
      <c r="G74" s="12"/>
      <c r="H74" s="12"/>
      <c r="I74" s="12" t="s">
        <v>34</v>
      </c>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t="s">
        <v>35</v>
      </c>
      <c r="B75" s="12" t="s">
        <v>34</v>
      </c>
      <c r="C75" s="12"/>
      <c r="D75" s="12"/>
      <c r="E75" s="12"/>
      <c r="F75" s="12"/>
      <c r="G75" s="12"/>
      <c r="H75" s="12"/>
      <c r="I75" s="12" t="s">
        <v>36</v>
      </c>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t="s">
        <v>37</v>
      </c>
      <c r="B76" s="12" t="s">
        <v>36</v>
      </c>
      <c r="C76" s="12"/>
      <c r="D76" s="12"/>
      <c r="E76" s="12"/>
      <c r="F76" s="12"/>
      <c r="G76" s="12"/>
      <c r="H76" s="12"/>
      <c r="I76" s="12" t="s">
        <v>38</v>
      </c>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t="s">
        <v>39</v>
      </c>
      <c r="B77" s="12" t="s">
        <v>91</v>
      </c>
      <c r="C77" s="12"/>
      <c r="D77" s="12"/>
      <c r="E77" s="12"/>
      <c r="F77" s="12"/>
      <c r="G77" s="12"/>
      <c r="H77" s="12"/>
      <c r="I77" s="12" t="s">
        <v>40</v>
      </c>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t="s">
        <v>41</v>
      </c>
      <c r="B78" s="12" t="s">
        <v>40</v>
      </c>
      <c r="C78" s="12"/>
      <c r="D78" s="12"/>
      <c r="E78" s="12"/>
      <c r="F78" s="12"/>
      <c r="G78" s="12"/>
      <c r="H78" s="12"/>
      <c r="I78" s="12" t="s">
        <v>43</v>
      </c>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t="s">
        <v>44</v>
      </c>
      <c r="B79" s="12" t="s">
        <v>42</v>
      </c>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t="s">
        <v>45</v>
      </c>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t="s">
        <v>46</v>
      </c>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t="s">
        <v>47</v>
      </c>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t="s">
        <v>27</v>
      </c>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t="s">
        <v>48</v>
      </c>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t="s">
        <v>49</v>
      </c>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pageSetup orientation="portrait" r:id="rId1"/>
  <headerFooter alignWithMargins="0"/>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1" width="10.14062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t="s">
        <v>0</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t="s">
        <v>81</v>
      </c>
      <c r="T3" s="81" t="s">
        <v>103</v>
      </c>
      <c r="U3" s="52" t="s">
        <v>106</v>
      </c>
      <c r="V3" s="52" t="s">
        <v>107</v>
      </c>
      <c r="W3" s="52" t="s">
        <v>85</v>
      </c>
      <c r="X3" s="52" t="s">
        <v>108</v>
      </c>
      <c r="Y3" s="52" t="s">
        <v>101</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4537533</v>
      </c>
      <c r="C4" s="12">
        <v>4904241</v>
      </c>
      <c r="D4" s="12">
        <v>5310845</v>
      </c>
      <c r="E4" s="12"/>
      <c r="F4" s="12"/>
      <c r="G4" s="12"/>
      <c r="H4" s="12"/>
      <c r="I4" s="12">
        <v>7187532.2759999996</v>
      </c>
      <c r="J4" s="98">
        <f>+J5+J23+J38+J52+J63</f>
        <v>7314497.0140000004</v>
      </c>
      <c r="K4" s="69">
        <v>7725636.3669999996</v>
      </c>
      <c r="L4" s="69">
        <v>7746930.9330000002</v>
      </c>
      <c r="M4" s="98">
        <f>+M5+M23+M38+M52+M63</f>
        <v>7812713.7759999996</v>
      </c>
      <c r="N4" s="69">
        <v>8370395.4589999998</v>
      </c>
      <c r="O4" s="98">
        <f>+O5+O23+O38+O52+O63</f>
        <v>8862560.1203000005</v>
      </c>
      <c r="P4" s="12"/>
      <c r="Q4" s="12"/>
      <c r="R4" s="98">
        <f t="shared" ref="R4:AA4" si="0">+R5+R23+R38+R52+R63</f>
        <v>10206406.172</v>
      </c>
      <c r="S4" s="98">
        <f t="shared" si="0"/>
        <v>11209292.739</v>
      </c>
      <c r="T4" s="98">
        <f t="shared" si="0"/>
        <v>10829765.460999999</v>
      </c>
      <c r="U4" s="98">
        <f t="shared" si="0"/>
        <v>10450588.353000002</v>
      </c>
      <c r="V4" s="98">
        <f t="shared" si="0"/>
        <v>10387816.403000001</v>
      </c>
      <c r="W4" s="98">
        <f t="shared" si="0"/>
        <v>11805226.380999999</v>
      </c>
      <c r="X4" s="98">
        <f t="shared" si="0"/>
        <v>12770814.723999999</v>
      </c>
      <c r="Y4" s="98">
        <f t="shared" si="0"/>
        <v>13798052.59</v>
      </c>
      <c r="Z4" s="98">
        <f t="shared" si="0"/>
        <v>14979345.662999999</v>
      </c>
      <c r="AA4" s="98">
        <f t="shared" si="0"/>
        <v>15007221.460999997</v>
      </c>
      <c r="AB4" s="98">
        <f t="shared" ref="AB4:AC4" si="1">+AB5+AB23+AB38+AB52+AB63</f>
        <v>14494578.248</v>
      </c>
      <c r="AC4" s="98">
        <f t="shared" si="1"/>
        <v>14958619</v>
      </c>
      <c r="AD4" s="98">
        <f t="shared" ref="AD4:AE4" si="2">+AD5+AD23+AD38+AD52+AD63</f>
        <v>14114681.317000002</v>
      </c>
      <c r="AE4" s="98">
        <f t="shared" si="2"/>
        <v>14086167.488000002</v>
      </c>
      <c r="AF4" s="98">
        <f t="shared" ref="AF4:AG4" si="3">+AF5+AF23+AF38+AF52+AF63</f>
        <v>13325721.373</v>
      </c>
      <c r="AG4" s="98">
        <f t="shared" si="3"/>
        <v>13577765.482000001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 t="shared" ref="B5:AA5" si="4">SUM(B7:B22)</f>
        <v>1637632</v>
      </c>
      <c r="C5" s="101">
        <f t="shared" si="4"/>
        <v>1801552</v>
      </c>
      <c r="D5" s="101">
        <f t="shared" si="4"/>
        <v>1916039</v>
      </c>
      <c r="E5" s="101">
        <f t="shared" si="4"/>
        <v>0</v>
      </c>
      <c r="F5" s="101">
        <f t="shared" si="4"/>
        <v>0</v>
      </c>
      <c r="G5" s="101">
        <f t="shared" si="4"/>
        <v>0</v>
      </c>
      <c r="H5" s="101">
        <f t="shared" si="4"/>
        <v>0</v>
      </c>
      <c r="I5" s="101">
        <f t="shared" si="4"/>
        <v>2656350.7159999995</v>
      </c>
      <c r="J5" s="101">
        <f t="shared" si="4"/>
        <v>2652717.3999999994</v>
      </c>
      <c r="K5" s="101">
        <f t="shared" si="4"/>
        <v>2814461.389</v>
      </c>
      <c r="L5" s="101">
        <f t="shared" si="4"/>
        <v>3043547.9950000001</v>
      </c>
      <c r="M5" s="101">
        <f t="shared" si="4"/>
        <v>3224505.9749999996</v>
      </c>
      <c r="N5" s="101">
        <f t="shared" si="4"/>
        <v>3338493.227</v>
      </c>
      <c r="O5" s="101">
        <f t="shared" si="4"/>
        <v>3511825.6950999997</v>
      </c>
      <c r="P5" s="101">
        <f t="shared" si="4"/>
        <v>0</v>
      </c>
      <c r="Q5" s="101">
        <f t="shared" si="4"/>
        <v>0</v>
      </c>
      <c r="R5" s="101">
        <f t="shared" si="4"/>
        <v>4337939.9819999998</v>
      </c>
      <c r="S5" s="101">
        <f t="shared" si="4"/>
        <v>4697471.7170000002</v>
      </c>
      <c r="T5" s="101">
        <f t="shared" si="4"/>
        <v>4302894.2309999997</v>
      </c>
      <c r="U5" s="101">
        <f t="shared" si="4"/>
        <v>4135132.4819999998</v>
      </c>
      <c r="V5" s="101">
        <f t="shared" si="4"/>
        <v>4170258.2910000007</v>
      </c>
      <c r="W5" s="101">
        <f t="shared" si="4"/>
        <v>4667966.8669999996</v>
      </c>
      <c r="X5" s="101">
        <f t="shared" si="4"/>
        <v>5062436.4329999993</v>
      </c>
      <c r="Y5" s="101">
        <f t="shared" si="4"/>
        <v>5531279.3149999995</v>
      </c>
      <c r="Z5" s="101">
        <f t="shared" si="4"/>
        <v>5938853.5269999988</v>
      </c>
      <c r="AA5" s="101">
        <f t="shared" si="4"/>
        <v>5595143.0579999993</v>
      </c>
      <c r="AB5" s="101">
        <f t="shared" ref="AB5:AC5" si="5">SUM(AB7:AB22)</f>
        <v>5631242.6770000001</v>
      </c>
      <c r="AC5" s="101">
        <f t="shared" si="5"/>
        <v>5790267</v>
      </c>
      <c r="AD5" s="101">
        <f t="shared" ref="AD5:AE5" si="6">SUM(AD7:AD22)</f>
        <v>5663165.4060000004</v>
      </c>
      <c r="AE5" s="101">
        <f t="shared" si="6"/>
        <v>5713665.2819999997</v>
      </c>
      <c r="AF5" s="101">
        <f t="shared" ref="AF5:AG5" si="7">SUM(AF7:AF22)</f>
        <v>5581646.3629999999</v>
      </c>
      <c r="AG5" s="101">
        <f t="shared" si="7"/>
        <v>5611380.9309999999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60205</v>
      </c>
      <c r="C7" s="12">
        <v>97664</v>
      </c>
      <c r="D7" s="12">
        <v>112452</v>
      </c>
      <c r="E7" s="12"/>
      <c r="F7" s="12"/>
      <c r="G7" s="12"/>
      <c r="H7" s="12"/>
      <c r="I7" s="12">
        <v>141408.68599999999</v>
      </c>
      <c r="J7" s="32">
        <v>146800.929</v>
      </c>
      <c r="K7" s="12">
        <v>154504.83300000001</v>
      </c>
      <c r="L7" s="12">
        <v>171378.69899999999</v>
      </c>
      <c r="M7" s="12">
        <v>186998.65</v>
      </c>
      <c r="N7" s="12">
        <v>189386.42300000001</v>
      </c>
      <c r="O7" s="12">
        <v>195496.00816999999</v>
      </c>
      <c r="P7" s="12"/>
      <c r="Q7" s="12"/>
      <c r="R7" s="44">
        <v>218670.696</v>
      </c>
      <c r="S7" s="12">
        <v>224851.37400000001</v>
      </c>
      <c r="T7" s="82">
        <v>226192.878</v>
      </c>
      <c r="U7" s="12">
        <v>230965.80300000001</v>
      </c>
      <c r="V7" s="12">
        <v>232960.95199999999</v>
      </c>
      <c r="W7" s="32">
        <v>245655.122</v>
      </c>
      <c r="X7" s="32">
        <v>285012.28200000001</v>
      </c>
      <c r="Y7" s="32">
        <v>326693.22899999999</v>
      </c>
      <c r="Z7" s="32">
        <v>379863.02799999999</v>
      </c>
      <c r="AA7" s="32">
        <v>288398.99599999998</v>
      </c>
      <c r="AB7" s="32">
        <v>282036.745</v>
      </c>
      <c r="AC7" s="32">
        <v>280590</v>
      </c>
      <c r="AD7" s="12">
        <v>282802.10100000002</v>
      </c>
      <c r="AE7" s="12">
        <v>276870.43199999997</v>
      </c>
      <c r="AF7" s="12">
        <v>266177.30499999999</v>
      </c>
      <c r="AG7" s="12">
        <v>270268.06099999999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19191</v>
      </c>
      <c r="C8" s="12">
        <v>24758</v>
      </c>
      <c r="D8" s="12">
        <v>25961</v>
      </c>
      <c r="E8" s="12"/>
      <c r="F8" s="12"/>
      <c r="G8" s="12"/>
      <c r="H8" s="12"/>
      <c r="I8" s="12">
        <v>33327.468000000001</v>
      </c>
      <c r="J8" s="32">
        <v>37616.618999999999</v>
      </c>
      <c r="K8" s="12">
        <v>45726.561000000002</v>
      </c>
      <c r="L8" s="12">
        <v>43922.502</v>
      </c>
      <c r="M8" s="12">
        <v>55192.389000000003</v>
      </c>
      <c r="N8" s="12">
        <v>75645.078999999998</v>
      </c>
      <c r="O8" s="12">
        <v>74156.466</v>
      </c>
      <c r="P8" s="12"/>
      <c r="Q8" s="12"/>
      <c r="R8" s="63">
        <v>117095.70600000001</v>
      </c>
      <c r="S8" s="12">
        <v>117062.625</v>
      </c>
      <c r="T8" s="82">
        <v>112616.83199999999</v>
      </c>
      <c r="U8" s="12">
        <v>108249.52899999999</v>
      </c>
      <c r="V8" s="12">
        <v>122743.16800000001</v>
      </c>
      <c r="W8" s="32">
        <v>125350.43399999999</v>
      </c>
      <c r="X8" s="32">
        <v>138468.55600000001</v>
      </c>
      <c r="Y8" s="32">
        <v>166572.299</v>
      </c>
      <c r="Z8" s="32">
        <v>191084.56899999999</v>
      </c>
      <c r="AA8" s="32">
        <v>167148.87299999999</v>
      </c>
      <c r="AB8" s="32">
        <v>168196.84700000001</v>
      </c>
      <c r="AC8" s="32">
        <v>171774</v>
      </c>
      <c r="AD8" s="12">
        <v>173322.04699999999</v>
      </c>
      <c r="AE8" s="12">
        <v>174108.62599999999</v>
      </c>
      <c r="AF8" s="12">
        <v>177951.36600000001</v>
      </c>
      <c r="AG8" s="12">
        <v>176234.416</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18131</v>
      </c>
      <c r="E9" s="12"/>
      <c r="F9" s="12"/>
      <c r="G9" s="12"/>
      <c r="H9" s="12"/>
      <c r="I9" s="12">
        <v>31500.085999999999</v>
      </c>
      <c r="J9" s="32">
        <v>31424.400000000001</v>
      </c>
      <c r="K9" s="12"/>
      <c r="L9" s="12"/>
      <c r="M9" s="12">
        <v>36989.800000000003</v>
      </c>
      <c r="N9" s="12">
        <v>31074.14</v>
      </c>
      <c r="O9" s="12">
        <v>44352.601000000002</v>
      </c>
      <c r="P9" s="12"/>
      <c r="Q9" s="12"/>
      <c r="R9" s="63">
        <v>49215.074999999997</v>
      </c>
      <c r="S9" s="61">
        <v>51837.457999999999</v>
      </c>
      <c r="T9" s="83">
        <v>51737</v>
      </c>
      <c r="U9" s="61">
        <v>52085.1</v>
      </c>
      <c r="V9" s="61">
        <v>51817.648999999998</v>
      </c>
      <c r="W9" s="32">
        <v>54126.635999999999</v>
      </c>
      <c r="X9" s="32">
        <v>58578.139000000003</v>
      </c>
      <c r="Y9" s="32">
        <v>64117.1</v>
      </c>
      <c r="Z9" s="32">
        <v>66862.5</v>
      </c>
      <c r="AA9" s="32">
        <v>56061.120999999999</v>
      </c>
      <c r="AB9" s="32">
        <v>57967.207000000002</v>
      </c>
      <c r="AC9" s="32">
        <v>62079</v>
      </c>
      <c r="AD9" s="12">
        <v>66651.403000000006</v>
      </c>
      <c r="AE9" s="12">
        <v>66677.198999999993</v>
      </c>
      <c r="AF9" s="12">
        <v>68443.941000000006</v>
      </c>
      <c r="AG9" s="12">
        <v>68443.941000000006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324338</v>
      </c>
      <c r="C10" s="12">
        <v>338222</v>
      </c>
      <c r="D10" s="12">
        <v>354149</v>
      </c>
      <c r="E10" s="12"/>
      <c r="F10" s="12"/>
      <c r="G10" s="12"/>
      <c r="H10" s="12"/>
      <c r="I10" s="12">
        <v>571845.90899999999</v>
      </c>
      <c r="J10" s="32">
        <v>548497.64899999998</v>
      </c>
      <c r="K10" s="12">
        <v>564391.43099999998</v>
      </c>
      <c r="L10" s="12">
        <v>602956.28</v>
      </c>
      <c r="M10" s="12">
        <v>632627.53700000001</v>
      </c>
      <c r="N10" s="12">
        <v>649491.99199999997</v>
      </c>
      <c r="O10" s="12">
        <v>699173.52599999995</v>
      </c>
      <c r="P10" s="12"/>
      <c r="Q10" s="12"/>
      <c r="R10" s="63">
        <v>813530.08600000001</v>
      </c>
      <c r="S10" s="12">
        <v>975362.70600000001</v>
      </c>
      <c r="T10" s="82">
        <v>802312.51899999997</v>
      </c>
      <c r="U10" s="12">
        <v>712028.53200000001</v>
      </c>
      <c r="V10" s="12">
        <v>689496.70200000005</v>
      </c>
      <c r="W10" s="32">
        <v>741016.06599999999</v>
      </c>
      <c r="X10" s="32">
        <v>784179.66899999999</v>
      </c>
      <c r="Y10" s="32">
        <v>950359.11899999995</v>
      </c>
      <c r="Z10" s="32">
        <v>939275.39899999998</v>
      </c>
      <c r="AA10" s="32">
        <v>1056251.4069999999</v>
      </c>
      <c r="AB10" s="32">
        <v>969689.64599999995</v>
      </c>
      <c r="AC10" s="32">
        <v>1037400</v>
      </c>
      <c r="AD10" s="12">
        <v>1029540.813</v>
      </c>
      <c r="AE10" s="12">
        <v>1057480.5959999999</v>
      </c>
      <c r="AF10" s="12">
        <v>1108266.571</v>
      </c>
      <c r="AG10" s="12">
        <v>1143463.0519999999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52938</v>
      </c>
      <c r="C11" s="12">
        <v>56015</v>
      </c>
      <c r="D11" s="12">
        <v>58728</v>
      </c>
      <c r="E11" s="12"/>
      <c r="F11" s="12"/>
      <c r="G11" s="12"/>
      <c r="H11" s="12"/>
      <c r="I11" s="12">
        <v>155899.05499999999</v>
      </c>
      <c r="J11" s="32">
        <v>170744.22399999999</v>
      </c>
      <c r="K11" s="12">
        <v>195021.149</v>
      </c>
      <c r="L11" s="12">
        <v>227070.31599999999</v>
      </c>
      <c r="M11" s="12">
        <v>253856.88699999999</v>
      </c>
      <c r="N11" s="12">
        <v>208408.04500000001</v>
      </c>
      <c r="O11" s="12">
        <v>223911.12257000001</v>
      </c>
      <c r="P11" s="12"/>
      <c r="Q11" s="12"/>
      <c r="R11" s="63">
        <v>366974.22499999998</v>
      </c>
      <c r="S11" s="12">
        <v>393424.48700000002</v>
      </c>
      <c r="T11" s="82">
        <v>410631.97</v>
      </c>
      <c r="U11" s="12">
        <v>379376.77100000001</v>
      </c>
      <c r="V11" s="12">
        <v>410919.21100000001</v>
      </c>
      <c r="W11" s="32">
        <v>430348.56300000002</v>
      </c>
      <c r="X11" s="32">
        <v>467285.17099999997</v>
      </c>
      <c r="Y11" s="32">
        <v>454336.103</v>
      </c>
      <c r="Z11" s="32">
        <v>488575.58799999999</v>
      </c>
      <c r="AA11" s="32">
        <v>210540.99299999999</v>
      </c>
      <c r="AB11" s="32">
        <v>403011.4</v>
      </c>
      <c r="AC11" s="32">
        <v>469785</v>
      </c>
      <c r="AD11" s="12">
        <v>474601.32</v>
      </c>
      <c r="AE11" s="12">
        <v>421034.34899999999</v>
      </c>
      <c r="AF11" s="12">
        <v>175956.16099999999</v>
      </c>
      <c r="AG11" s="12">
        <v>173396.783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28145</v>
      </c>
      <c r="C12" s="12">
        <v>29442</v>
      </c>
      <c r="D12" s="12">
        <v>31737</v>
      </c>
      <c r="E12" s="12"/>
      <c r="F12" s="12"/>
      <c r="G12" s="12"/>
      <c r="H12" s="12"/>
      <c r="I12" s="12">
        <v>58530.06</v>
      </c>
      <c r="J12" s="32">
        <v>68711.600000000006</v>
      </c>
      <c r="K12" s="12">
        <v>69650.225999999995</v>
      </c>
      <c r="L12" s="12">
        <v>71610.993000000002</v>
      </c>
      <c r="M12" s="12">
        <v>74300.646999999997</v>
      </c>
      <c r="N12" s="12">
        <v>76183.324999999997</v>
      </c>
      <c r="O12" s="12">
        <v>82609.5</v>
      </c>
      <c r="P12" s="12"/>
      <c r="Q12" s="12"/>
      <c r="R12" s="34">
        <v>177852.38800000001</v>
      </c>
      <c r="S12" s="12">
        <v>181628.636</v>
      </c>
      <c r="T12" s="82">
        <v>8542.4</v>
      </c>
      <c r="U12" s="12">
        <v>9081.5</v>
      </c>
      <c r="V12" s="12">
        <v>9054.5</v>
      </c>
      <c r="W12" s="32">
        <v>135987.81099999999</v>
      </c>
      <c r="X12" s="32">
        <v>152980.51999999999</v>
      </c>
      <c r="Y12" s="32">
        <v>154969.46299999999</v>
      </c>
      <c r="Z12" s="32">
        <v>162563.62</v>
      </c>
      <c r="AA12" s="32">
        <v>146058.098</v>
      </c>
      <c r="AB12" s="32">
        <v>149242.71599999999</v>
      </c>
      <c r="AC12" s="32">
        <v>138450</v>
      </c>
      <c r="AD12" s="12">
        <v>156762.74</v>
      </c>
      <c r="AE12" s="12">
        <v>129862.194</v>
      </c>
      <c r="AF12" s="12">
        <v>116406.173</v>
      </c>
      <c r="AG12" s="12">
        <v>114413.549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23312</v>
      </c>
      <c r="C13" s="12">
        <v>25580</v>
      </c>
      <c r="D13" s="12">
        <v>26331</v>
      </c>
      <c r="E13" s="12"/>
      <c r="F13" s="12"/>
      <c r="G13" s="12"/>
      <c r="H13" s="12"/>
      <c r="I13" s="12">
        <v>33599.508000000002</v>
      </c>
      <c r="J13" s="32">
        <v>39990.722999999998</v>
      </c>
      <c r="K13" s="12">
        <v>40801.212</v>
      </c>
      <c r="L13" s="12">
        <v>40989.072</v>
      </c>
      <c r="M13" s="12">
        <v>44089.091999999997</v>
      </c>
      <c r="N13" s="12">
        <v>53444.55</v>
      </c>
      <c r="O13" s="12">
        <v>66626.520999999993</v>
      </c>
      <c r="P13" s="12"/>
      <c r="Q13" s="12"/>
      <c r="R13" s="34">
        <v>118754.10400000001</v>
      </c>
      <c r="S13" s="12">
        <v>125175.95</v>
      </c>
      <c r="T13" s="82">
        <v>137177.821</v>
      </c>
      <c r="U13" s="12">
        <v>149820.69099999999</v>
      </c>
      <c r="V13" s="12">
        <v>160670.413</v>
      </c>
      <c r="W13" s="32">
        <v>164158.522</v>
      </c>
      <c r="X13" s="32">
        <v>156252.155</v>
      </c>
      <c r="Y13" s="32">
        <v>185724.99900000001</v>
      </c>
      <c r="Z13" s="32">
        <v>213985.117</v>
      </c>
      <c r="AA13" s="32">
        <v>130774.561</v>
      </c>
      <c r="AB13" s="32">
        <v>159686.83799999999</v>
      </c>
      <c r="AC13" s="32">
        <v>163246</v>
      </c>
      <c r="AD13" s="12">
        <v>150404.614</v>
      </c>
      <c r="AE13" s="12">
        <v>126833.51700000001</v>
      </c>
      <c r="AF13" s="12">
        <v>90272.244999999995</v>
      </c>
      <c r="AG13" s="12">
        <v>92263.523000000001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76354</v>
      </c>
      <c r="C14" s="12">
        <v>80689</v>
      </c>
      <c r="D14" s="12">
        <v>87897</v>
      </c>
      <c r="E14" s="12"/>
      <c r="F14" s="12"/>
      <c r="G14" s="12"/>
      <c r="H14" s="12"/>
      <c r="I14" s="12">
        <v>101340.13099999999</v>
      </c>
      <c r="J14" s="32">
        <v>73233.455000000002</v>
      </c>
      <c r="K14" s="12">
        <v>101576.879</v>
      </c>
      <c r="L14" s="12">
        <v>106316.85400000001</v>
      </c>
      <c r="M14" s="12">
        <v>94127.092000000004</v>
      </c>
      <c r="N14" s="12">
        <v>110118.405</v>
      </c>
      <c r="O14" s="12">
        <v>112606.413</v>
      </c>
      <c r="P14" s="12"/>
      <c r="Q14" s="12"/>
      <c r="R14" s="34">
        <v>144313.117</v>
      </c>
      <c r="S14" s="12">
        <v>168657.84400000001</v>
      </c>
      <c r="T14" s="82">
        <v>175633.46299999999</v>
      </c>
      <c r="U14" s="12">
        <v>187789.62599999999</v>
      </c>
      <c r="V14" s="12">
        <v>185664.76800000001</v>
      </c>
      <c r="W14" s="32">
        <v>191193.253</v>
      </c>
      <c r="X14" s="32">
        <v>200857.03200000001</v>
      </c>
      <c r="Y14" s="32">
        <v>212765.80900000001</v>
      </c>
      <c r="Z14" s="32">
        <v>250205.95600000001</v>
      </c>
      <c r="AA14" s="32">
        <v>262072.29399999999</v>
      </c>
      <c r="AB14" s="32">
        <v>261609.83600000001</v>
      </c>
      <c r="AC14" s="32">
        <v>258774</v>
      </c>
      <c r="AD14" s="12">
        <v>257411.136</v>
      </c>
      <c r="AE14" s="12">
        <v>263605.09100000001</v>
      </c>
      <c r="AF14" s="12">
        <v>280894.90500000003</v>
      </c>
      <c r="AG14" s="12">
        <v>282236.23200000002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55957</v>
      </c>
      <c r="C15" s="12">
        <v>62621</v>
      </c>
      <c r="D15" s="12">
        <v>71412</v>
      </c>
      <c r="E15" s="12"/>
      <c r="F15" s="12"/>
      <c r="G15" s="12"/>
      <c r="H15" s="12"/>
      <c r="I15" s="12">
        <v>77232.108999999997</v>
      </c>
      <c r="J15" s="32">
        <v>72673.285000000003</v>
      </c>
      <c r="K15" s="12">
        <v>86064.773000000001</v>
      </c>
      <c r="L15" s="12">
        <v>95637.771999999997</v>
      </c>
      <c r="M15" s="12">
        <v>130134.04</v>
      </c>
      <c r="N15" s="12">
        <v>148221.802</v>
      </c>
      <c r="O15" s="12">
        <v>147198.51199999999</v>
      </c>
      <c r="P15" s="12"/>
      <c r="Q15" s="12"/>
      <c r="R15" s="34">
        <v>188906.47500000001</v>
      </c>
      <c r="S15" s="12">
        <v>181494.65100000001</v>
      </c>
      <c r="T15" s="82">
        <v>156020.435</v>
      </c>
      <c r="U15" s="12">
        <v>154458.962</v>
      </c>
      <c r="V15" s="12">
        <v>154556.15700000001</v>
      </c>
      <c r="W15" s="32">
        <v>158367.658</v>
      </c>
      <c r="X15" s="32">
        <v>172743.88099999999</v>
      </c>
      <c r="Y15" s="32">
        <v>190309.86799999999</v>
      </c>
      <c r="Z15" s="32">
        <v>229524.39300000001</v>
      </c>
      <c r="AA15" s="32">
        <v>227557.56200000001</v>
      </c>
      <c r="AB15" s="32">
        <v>222251.56899999999</v>
      </c>
      <c r="AC15" s="32">
        <v>205892</v>
      </c>
      <c r="AD15" s="12">
        <v>226937.87</v>
      </c>
      <c r="AE15" s="12">
        <v>230551.516</v>
      </c>
      <c r="AF15" s="12">
        <v>234576.416</v>
      </c>
      <c r="AG15" s="12">
        <v>249306.63399999999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219118</v>
      </c>
      <c r="C16" s="20">
        <v>244830</v>
      </c>
      <c r="D16" s="20">
        <v>265358</v>
      </c>
      <c r="E16" s="20"/>
      <c r="F16" s="20"/>
      <c r="G16" s="20"/>
      <c r="H16" s="20"/>
      <c r="I16" s="20">
        <v>368645.08899999998</v>
      </c>
      <c r="J16" s="33">
        <v>349576.71500000003</v>
      </c>
      <c r="K16" s="20">
        <v>387416.46299999999</v>
      </c>
      <c r="L16" s="20">
        <v>424498.48</v>
      </c>
      <c r="M16" s="20">
        <v>452371.88400000002</v>
      </c>
      <c r="N16" s="20">
        <v>465130.12800000003</v>
      </c>
      <c r="O16" s="20">
        <v>492547.95342999999</v>
      </c>
      <c r="P16" s="20"/>
      <c r="Q16" s="20"/>
      <c r="R16" s="66">
        <v>477850.984</v>
      </c>
      <c r="S16" s="20">
        <v>504881.804</v>
      </c>
      <c r="T16" s="20">
        <v>554460.15500000003</v>
      </c>
      <c r="U16" s="20">
        <v>571120.37899999996</v>
      </c>
      <c r="V16" s="20">
        <v>598406.11199999996</v>
      </c>
      <c r="W16" s="33">
        <v>675442.88100000005</v>
      </c>
      <c r="X16" s="33">
        <v>728489.63800000004</v>
      </c>
      <c r="Y16" s="33">
        <v>816583.32299999997</v>
      </c>
      <c r="Z16" s="33">
        <v>859073.39500000002</v>
      </c>
      <c r="AA16" s="33">
        <v>872199.57499999995</v>
      </c>
      <c r="AB16" s="33">
        <v>834958.78899999999</v>
      </c>
      <c r="AC16" s="33">
        <v>895382</v>
      </c>
      <c r="AD16" s="20">
        <v>872165.42</v>
      </c>
      <c r="AE16" s="20">
        <v>916488.09699999995</v>
      </c>
      <c r="AF16" s="20">
        <v>921191.81099999999</v>
      </c>
      <c r="AG16" s="20">
        <v>952633.85199999996</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66493</v>
      </c>
      <c r="C17" s="20">
        <v>67243</v>
      </c>
      <c r="D17" s="20">
        <v>76683</v>
      </c>
      <c r="E17" s="20"/>
      <c r="F17" s="20"/>
      <c r="G17" s="20"/>
      <c r="H17" s="20"/>
      <c r="I17" s="20">
        <v>96498.122000000003</v>
      </c>
      <c r="J17" s="33">
        <v>108018.533</v>
      </c>
      <c r="K17" s="20">
        <v>103147.696</v>
      </c>
      <c r="L17" s="20">
        <v>100400.641</v>
      </c>
      <c r="M17" s="20">
        <v>100699.341</v>
      </c>
      <c r="N17" s="20">
        <v>105188.872</v>
      </c>
      <c r="O17" s="20">
        <v>115660.9103</v>
      </c>
      <c r="P17" s="20"/>
      <c r="Q17" s="20"/>
      <c r="R17" s="66">
        <v>136768.68599999999</v>
      </c>
      <c r="S17" s="20">
        <v>162662.497</v>
      </c>
      <c r="T17" s="20">
        <v>162914.571</v>
      </c>
      <c r="U17" s="20">
        <v>137080.63200000001</v>
      </c>
      <c r="V17" s="20">
        <v>120028.595</v>
      </c>
      <c r="W17" s="33">
        <v>123527.735</v>
      </c>
      <c r="X17" s="33">
        <v>134274.068</v>
      </c>
      <c r="Y17" s="33">
        <v>147198.29199999999</v>
      </c>
      <c r="Z17" s="33">
        <v>171680.77499999999</v>
      </c>
      <c r="AA17" s="33">
        <v>185197.48300000001</v>
      </c>
      <c r="AB17" s="33">
        <v>182798.008</v>
      </c>
      <c r="AC17" s="33">
        <v>180112</v>
      </c>
      <c r="AD17" s="20">
        <v>175254.60800000001</v>
      </c>
      <c r="AE17" s="20">
        <v>176399.584</v>
      </c>
      <c r="AF17" s="20">
        <v>184365.64199999999</v>
      </c>
      <c r="AG17" s="20">
        <v>184741.91500000001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58019</v>
      </c>
      <c r="C18" s="20">
        <v>66721</v>
      </c>
      <c r="D18" s="20">
        <v>79471</v>
      </c>
      <c r="E18" s="20"/>
      <c r="F18" s="20"/>
      <c r="G18" s="20"/>
      <c r="H18" s="20"/>
      <c r="I18" s="20">
        <v>110149.147</v>
      </c>
      <c r="J18" s="33">
        <v>111239.966</v>
      </c>
      <c r="K18" s="20">
        <v>117076.30899999999</v>
      </c>
      <c r="L18" s="20">
        <v>122096.766</v>
      </c>
      <c r="M18" s="20">
        <v>127452.16</v>
      </c>
      <c r="N18" s="20">
        <v>133808.17000000001</v>
      </c>
      <c r="O18" s="20">
        <v>141274.86199999999</v>
      </c>
      <c r="P18" s="20"/>
      <c r="Q18" s="20"/>
      <c r="R18" s="66">
        <v>174833.15400000001</v>
      </c>
      <c r="S18" s="20">
        <v>183645.52900000001</v>
      </c>
      <c r="T18" s="20">
        <v>177624.783</v>
      </c>
      <c r="U18" s="20">
        <v>167396.408</v>
      </c>
      <c r="V18" s="20">
        <v>142766.035</v>
      </c>
      <c r="W18" s="33">
        <v>148751.467</v>
      </c>
      <c r="X18" s="33">
        <v>153916.27900000001</v>
      </c>
      <c r="Y18" s="33">
        <v>168908.18799999999</v>
      </c>
      <c r="Z18" s="33">
        <v>182846.44500000001</v>
      </c>
      <c r="AA18" s="33">
        <v>140420.984</v>
      </c>
      <c r="AB18" s="33">
        <v>123635.978</v>
      </c>
      <c r="AC18" s="33">
        <v>104570</v>
      </c>
      <c r="AD18" s="20">
        <v>104848.88099999999</v>
      </c>
      <c r="AE18" s="20">
        <v>111134.851</v>
      </c>
      <c r="AF18" s="20">
        <v>116757.94</v>
      </c>
      <c r="AG18" s="20">
        <v>124082.183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61258</v>
      </c>
      <c r="C19" s="20">
        <v>74454</v>
      </c>
      <c r="D19" s="20">
        <v>81990</v>
      </c>
      <c r="E19" s="20"/>
      <c r="F19" s="20"/>
      <c r="G19" s="20"/>
      <c r="H19" s="20"/>
      <c r="I19" s="20">
        <v>111957.94</v>
      </c>
      <c r="J19" s="33">
        <v>108321.163</v>
      </c>
      <c r="K19" s="20">
        <v>129064.139</v>
      </c>
      <c r="L19" s="20">
        <v>142803.861</v>
      </c>
      <c r="M19" s="20">
        <v>155672.071</v>
      </c>
      <c r="N19" s="20">
        <v>159545.53200000001</v>
      </c>
      <c r="O19" s="20">
        <v>162328.91099999999</v>
      </c>
      <c r="P19" s="20"/>
      <c r="Q19" s="20"/>
      <c r="R19" s="90">
        <v>179999.53099999999</v>
      </c>
      <c r="S19" s="20">
        <v>196100.23300000001</v>
      </c>
      <c r="T19" s="20">
        <v>191578.83</v>
      </c>
      <c r="U19" s="20">
        <v>193729.9</v>
      </c>
      <c r="V19" s="20">
        <v>190696.4</v>
      </c>
      <c r="W19" s="33">
        <v>202079.1</v>
      </c>
      <c r="X19" s="33">
        <v>204837.3</v>
      </c>
      <c r="Y19" s="33">
        <v>219939.5</v>
      </c>
      <c r="Z19" s="33">
        <v>232664.85800000001</v>
      </c>
      <c r="AA19" s="33">
        <v>221936.614</v>
      </c>
      <c r="AB19" s="33">
        <v>208197.43799999999</v>
      </c>
      <c r="AC19" s="33">
        <v>235605</v>
      </c>
      <c r="AD19" s="20">
        <v>193998.16099999999</v>
      </c>
      <c r="AE19" s="20">
        <v>200031.53</v>
      </c>
      <c r="AF19" s="20">
        <v>212663.625</v>
      </c>
      <c r="AG19" s="20">
        <v>209673.12599999999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470216</v>
      </c>
      <c r="C20" s="20">
        <v>491337</v>
      </c>
      <c r="D20" s="20">
        <v>476881</v>
      </c>
      <c r="E20" s="20"/>
      <c r="F20" s="20"/>
      <c r="G20" s="20"/>
      <c r="H20" s="20"/>
      <c r="I20" s="20">
        <v>574601.58700000006</v>
      </c>
      <c r="J20" s="33">
        <v>606673.45700000005</v>
      </c>
      <c r="K20" s="20">
        <v>643927.91299999994</v>
      </c>
      <c r="L20" s="20">
        <v>708847.49399999995</v>
      </c>
      <c r="M20" s="20">
        <v>682731.67099999997</v>
      </c>
      <c r="N20" s="20">
        <v>735120.576</v>
      </c>
      <c r="O20" s="20">
        <v>747637.51899999997</v>
      </c>
      <c r="P20" s="20"/>
      <c r="Q20" s="20"/>
      <c r="R20" s="66">
        <v>889954.81799999997</v>
      </c>
      <c r="S20" s="20">
        <v>913774.96799999999</v>
      </c>
      <c r="T20" s="20">
        <v>827503.19299999997</v>
      </c>
      <c r="U20" s="20">
        <v>792648.43900000001</v>
      </c>
      <c r="V20" s="20">
        <v>822103.35</v>
      </c>
      <c r="W20" s="33">
        <v>951577.47499999998</v>
      </c>
      <c r="X20" s="33">
        <v>1057375.378</v>
      </c>
      <c r="Y20" s="33">
        <v>1072346.419</v>
      </c>
      <c r="Z20" s="33">
        <v>1132075.9779999999</v>
      </c>
      <c r="AA20" s="33">
        <v>1197527.9839999999</v>
      </c>
      <c r="AB20" s="33">
        <v>1221152.4080000001</v>
      </c>
      <c r="AC20" s="33">
        <v>1197188</v>
      </c>
      <c r="AD20" s="20">
        <v>1124722.196</v>
      </c>
      <c r="AE20" s="20">
        <v>1120402.764</v>
      </c>
      <c r="AF20" s="20">
        <v>1186235.5689999999</v>
      </c>
      <c r="AG20" s="20">
        <v>1123551.1070000001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111097</v>
      </c>
      <c r="C21" s="20">
        <v>129788</v>
      </c>
      <c r="D21" s="20">
        <v>136062</v>
      </c>
      <c r="E21" s="20"/>
      <c r="F21" s="20"/>
      <c r="G21" s="20"/>
      <c r="H21" s="20"/>
      <c r="I21" s="20">
        <v>179048.43599999999</v>
      </c>
      <c r="J21" s="33">
        <v>167621.74</v>
      </c>
      <c r="K21" s="20">
        <v>164593.80499999999</v>
      </c>
      <c r="L21" s="20">
        <v>172817.32800000001</v>
      </c>
      <c r="M21" s="20">
        <v>184527.851</v>
      </c>
      <c r="N21" s="20">
        <v>183680.557</v>
      </c>
      <c r="O21" s="20">
        <v>191595.63099999999</v>
      </c>
      <c r="P21" s="20"/>
      <c r="Q21" s="20"/>
      <c r="R21" s="66">
        <v>266973.217</v>
      </c>
      <c r="S21" s="20">
        <v>291281.17700000003</v>
      </c>
      <c r="T21" s="20">
        <v>289049.88400000002</v>
      </c>
      <c r="U21" s="20">
        <v>268691.19699999999</v>
      </c>
      <c r="V21" s="20">
        <v>261955.32699999999</v>
      </c>
      <c r="W21" s="33">
        <v>287051.60700000002</v>
      </c>
      <c r="X21" s="33">
        <v>334857.61700000003</v>
      </c>
      <c r="Y21" s="33">
        <v>358571.04800000001</v>
      </c>
      <c r="Z21" s="33">
        <v>390007.04399999999</v>
      </c>
      <c r="AA21" s="33">
        <v>379304.65700000001</v>
      </c>
      <c r="AB21" s="33">
        <v>330287.03899999999</v>
      </c>
      <c r="AC21" s="33">
        <v>333162</v>
      </c>
      <c r="AD21" s="20">
        <v>310998.59600000002</v>
      </c>
      <c r="AE21" s="20">
        <v>376654.28</v>
      </c>
      <c r="AF21" s="20">
        <v>381823.63400000002</v>
      </c>
      <c r="AG21" s="20">
        <v>387904.739</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10991</v>
      </c>
      <c r="C22" s="51">
        <v>12188</v>
      </c>
      <c r="D22" s="51">
        <v>12796</v>
      </c>
      <c r="E22" s="51"/>
      <c r="F22" s="51"/>
      <c r="G22" s="51"/>
      <c r="H22" s="51"/>
      <c r="I22" s="51">
        <v>10767.383</v>
      </c>
      <c r="J22" s="50">
        <v>11572.941999999999</v>
      </c>
      <c r="K22" s="51">
        <v>11498</v>
      </c>
      <c r="L22" s="51">
        <v>12200.937</v>
      </c>
      <c r="M22" s="51">
        <v>12734.862999999999</v>
      </c>
      <c r="N22" s="51">
        <v>14045.630999999999</v>
      </c>
      <c r="O22" s="51">
        <v>14649.238630000002</v>
      </c>
      <c r="P22" s="51"/>
      <c r="Q22" s="51"/>
      <c r="R22" s="51">
        <v>16247.72</v>
      </c>
      <c r="S22" s="51">
        <v>25629.777999999998</v>
      </c>
      <c r="T22" s="51">
        <v>18897.496999999999</v>
      </c>
      <c r="U22" s="51">
        <v>20609.012999999999</v>
      </c>
      <c r="V22" s="51">
        <v>16418.952000000001</v>
      </c>
      <c r="W22" s="50">
        <v>33332.536999999997</v>
      </c>
      <c r="X22" s="50">
        <v>32328.748</v>
      </c>
      <c r="Y22" s="50">
        <v>41884.555999999997</v>
      </c>
      <c r="Z22" s="50">
        <v>48564.862000000001</v>
      </c>
      <c r="AA22" s="50">
        <v>53691.856</v>
      </c>
      <c r="AB22" s="50">
        <v>56520.213000000003</v>
      </c>
      <c r="AC22" s="50">
        <v>56258</v>
      </c>
      <c r="AD22" s="51">
        <v>62743.5</v>
      </c>
      <c r="AE22" s="51">
        <v>65530.656000000003</v>
      </c>
      <c r="AF22" s="51">
        <v>59663.059000000001</v>
      </c>
      <c r="AG22" s="51">
        <v>58767.817999999999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2562289.3310000002</v>
      </c>
      <c r="K23" s="104">
        <f t="shared" si="8"/>
        <v>0</v>
      </c>
      <c r="L23" s="104">
        <f t="shared" si="8"/>
        <v>0</v>
      </c>
      <c r="M23" s="104">
        <f t="shared" si="8"/>
        <v>2232641.165</v>
      </c>
      <c r="N23" s="104">
        <f t="shared" si="8"/>
        <v>0</v>
      </c>
      <c r="O23" s="104">
        <f t="shared" si="8"/>
        <v>2685966.0266400003</v>
      </c>
      <c r="P23" s="104">
        <f t="shared" si="8"/>
        <v>0</v>
      </c>
      <c r="Q23" s="104">
        <f t="shared" si="8"/>
        <v>0</v>
      </c>
      <c r="R23" s="104">
        <f t="shared" si="8"/>
        <v>2806036.8430000003</v>
      </c>
      <c r="S23" s="104">
        <f t="shared" si="8"/>
        <v>3131465.5729999999</v>
      </c>
      <c r="T23" s="104">
        <f t="shared" si="8"/>
        <v>3201920.3279999997</v>
      </c>
      <c r="U23" s="104">
        <f t="shared" si="8"/>
        <v>2977852.3840000001</v>
      </c>
      <c r="V23" s="104">
        <f t="shared" si="8"/>
        <v>2872351.1719999998</v>
      </c>
      <c r="W23" s="104">
        <f t="shared" si="8"/>
        <v>3799761.639</v>
      </c>
      <c r="X23" s="104">
        <f t="shared" si="8"/>
        <v>4206877.5329999998</v>
      </c>
      <c r="Y23" s="104">
        <f t="shared" si="8"/>
        <v>4608251.7640000004</v>
      </c>
      <c r="Z23" s="104">
        <f t="shared" si="8"/>
        <v>5077383.7609999999</v>
      </c>
      <c r="AA23" s="104">
        <f t="shared" si="8"/>
        <v>5338464.7989999996</v>
      </c>
      <c r="AB23" s="104">
        <f t="shared" si="8"/>
        <v>5072165.0949999997</v>
      </c>
      <c r="AC23" s="104">
        <f t="shared" si="8"/>
        <v>5332755</v>
      </c>
      <c r="AD23" s="104">
        <f t="shared" si="8"/>
        <v>4552120.381000001</v>
      </c>
      <c r="AE23" s="104">
        <f t="shared" si="8"/>
        <v>4178682.2069999999</v>
      </c>
      <c r="AF23" s="104">
        <f t="shared" si="8"/>
        <v>3689836.2609999999</v>
      </c>
      <c r="AG23" s="104">
        <f t="shared" si="8"/>
        <v>3726225.6730000004</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1294.2329999999999</v>
      </c>
      <c r="K25" s="20"/>
      <c r="L25" s="20"/>
      <c r="M25" s="20">
        <v>1621.5160000000001</v>
      </c>
      <c r="N25" s="20"/>
      <c r="O25" s="20">
        <v>1582.472</v>
      </c>
      <c r="P25" s="20"/>
      <c r="Q25" s="20"/>
      <c r="R25" s="66">
        <v>1574.4</v>
      </c>
      <c r="S25" s="20">
        <v>1691.895</v>
      </c>
      <c r="T25" s="20">
        <v>1764.806</v>
      </c>
      <c r="U25" s="20">
        <v>1906.9</v>
      </c>
      <c r="V25" s="20">
        <v>1949.134</v>
      </c>
      <c r="W25" s="33">
        <v>2034.6</v>
      </c>
      <c r="X25" s="33">
        <v>2353.4499999999998</v>
      </c>
      <c r="Y25" s="33">
        <v>2849.6709999999998</v>
      </c>
      <c r="Z25" s="33">
        <v>3253.2240000000002</v>
      </c>
      <c r="AA25" s="33">
        <v>3118.393</v>
      </c>
      <c r="AB25" s="33">
        <v>3236.8670000000002</v>
      </c>
      <c r="AC25" s="33">
        <v>3400</v>
      </c>
      <c r="AD25" s="20">
        <v>3676.2020000000002</v>
      </c>
      <c r="AE25" s="20">
        <v>10103.174000000001</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72588.133000000002</v>
      </c>
      <c r="K26" s="20"/>
      <c r="L26" s="20"/>
      <c r="M26" s="20">
        <v>82201.551000000007</v>
      </c>
      <c r="N26" s="20"/>
      <c r="O26" s="20">
        <v>95198.289569999994</v>
      </c>
      <c r="P26" s="20"/>
      <c r="Q26" s="20"/>
      <c r="R26" s="66">
        <v>114872.503</v>
      </c>
      <c r="S26" s="20">
        <v>120984.753</v>
      </c>
      <c r="T26" s="20">
        <v>119860.694</v>
      </c>
      <c r="U26" s="20">
        <v>115280.36</v>
      </c>
      <c r="V26" s="20">
        <v>114417.773</v>
      </c>
      <c r="W26" s="33">
        <v>128700.508</v>
      </c>
      <c r="X26" s="33">
        <v>134110.10699999999</v>
      </c>
      <c r="Y26" s="33">
        <v>141177.033</v>
      </c>
      <c r="Z26" s="33">
        <v>145791.908</v>
      </c>
      <c r="AA26" s="33">
        <v>136772.804</v>
      </c>
      <c r="AB26" s="33">
        <v>133432.02900000001</v>
      </c>
      <c r="AC26" s="33">
        <v>133283</v>
      </c>
      <c r="AD26" s="20">
        <v>69742.03</v>
      </c>
      <c r="AE26" s="20">
        <v>64614.298999999999</v>
      </c>
      <c r="AF26" s="20">
        <v>16204.323</v>
      </c>
      <c r="AG26" s="20">
        <v>16886.224999999999</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1730916.942</v>
      </c>
      <c r="K27" s="20"/>
      <c r="L27" s="20"/>
      <c r="M27" s="20">
        <v>1249387.243</v>
      </c>
      <c r="N27" s="20"/>
      <c r="O27" s="20">
        <v>1552899.5030799999</v>
      </c>
      <c r="P27" s="20"/>
      <c r="Q27" s="20"/>
      <c r="R27" s="66">
        <v>1480542.8259999999</v>
      </c>
      <c r="S27" s="20">
        <v>1704993.5179999999</v>
      </c>
      <c r="T27" s="20">
        <v>1750291.827</v>
      </c>
      <c r="U27" s="20">
        <v>1575236.0390000001</v>
      </c>
      <c r="V27" s="20">
        <v>1423897.5319999999</v>
      </c>
      <c r="W27" s="33">
        <v>2377657.0189999999</v>
      </c>
      <c r="X27" s="33">
        <v>2667344.4049999998</v>
      </c>
      <c r="Y27" s="33">
        <v>3163011.1430000002</v>
      </c>
      <c r="Z27" s="33">
        <v>3353571.1830000002</v>
      </c>
      <c r="AA27" s="33">
        <v>3477650.9479999999</v>
      </c>
      <c r="AB27" s="33">
        <v>3286944.4870000002</v>
      </c>
      <c r="AC27" s="33">
        <v>3620025</v>
      </c>
      <c r="AD27" s="20">
        <v>2944547.9730000002</v>
      </c>
      <c r="AE27" s="20">
        <v>2642987.5660000001</v>
      </c>
      <c r="AF27" s="20">
        <v>2255129.36</v>
      </c>
      <c r="AG27" s="20">
        <v>2328263.608</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80621.755000000005</v>
      </c>
      <c r="K28" s="20"/>
      <c r="L28" s="20"/>
      <c r="M28" s="20">
        <v>90437.58</v>
      </c>
      <c r="N28" s="20"/>
      <c r="O28" s="20">
        <v>103276.47</v>
      </c>
      <c r="P28" s="20"/>
      <c r="Q28" s="20"/>
      <c r="R28" s="66">
        <v>128990.523</v>
      </c>
      <c r="S28" s="20">
        <v>133108.973</v>
      </c>
      <c r="T28" s="20">
        <v>125218.65300000001</v>
      </c>
      <c r="U28" s="20">
        <v>116233.068</v>
      </c>
      <c r="V28" s="20">
        <v>105247.845</v>
      </c>
      <c r="W28" s="33">
        <v>106962.444</v>
      </c>
      <c r="X28" s="33">
        <v>12601.933999999999</v>
      </c>
      <c r="Y28" s="33">
        <v>13668.050999999999</v>
      </c>
      <c r="Z28" s="33">
        <v>15590.198</v>
      </c>
      <c r="AA28" s="33">
        <v>13452.748</v>
      </c>
      <c r="AB28" s="33">
        <v>8500.0030000000006</v>
      </c>
      <c r="AC28" s="33">
        <v>12293</v>
      </c>
      <c r="AD28" s="20">
        <v>13833.313</v>
      </c>
      <c r="AE28" s="20">
        <v>13847.338</v>
      </c>
      <c r="AF28" s="20">
        <v>6990.9040000000005</v>
      </c>
      <c r="AG28" s="20">
        <v>7940.7870000000003</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79710.885999999999</v>
      </c>
      <c r="K29" s="20"/>
      <c r="L29" s="20"/>
      <c r="M29" s="20">
        <v>82745.259000000005</v>
      </c>
      <c r="N29" s="20"/>
      <c r="O29" s="20">
        <v>62727.360999999997</v>
      </c>
      <c r="P29" s="20"/>
      <c r="Q29" s="20"/>
      <c r="R29" s="66">
        <v>64345.838000000003</v>
      </c>
      <c r="S29" s="20">
        <v>65133.091</v>
      </c>
      <c r="T29" s="20">
        <v>69584.606</v>
      </c>
      <c r="U29" s="20">
        <v>73674.384999999995</v>
      </c>
      <c r="V29" s="20">
        <v>66318.612999999998</v>
      </c>
      <c r="W29" s="33">
        <v>68383.146999999997</v>
      </c>
      <c r="X29" s="33">
        <v>73891.437999999995</v>
      </c>
      <c r="Y29" s="33">
        <v>88009.304000000004</v>
      </c>
      <c r="Z29" s="33">
        <v>97004.769</v>
      </c>
      <c r="AA29" s="33">
        <v>122440.864</v>
      </c>
      <c r="AB29" s="33">
        <v>101983.879</v>
      </c>
      <c r="AC29" s="33">
        <v>99013</v>
      </c>
      <c r="AD29" s="20">
        <v>107133.63</v>
      </c>
      <c r="AE29" s="20">
        <v>104369.48</v>
      </c>
      <c r="AF29" s="20">
        <v>111693.37</v>
      </c>
      <c r="AG29" s="20">
        <v>115327.73299999999</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14289.692999999999</v>
      </c>
      <c r="K30" s="20"/>
      <c r="L30" s="20"/>
      <c r="M30" s="20">
        <v>16308.821</v>
      </c>
      <c r="N30" s="20"/>
      <c r="O30" s="20">
        <v>22025.536</v>
      </c>
      <c r="P30" s="20"/>
      <c r="Q30" s="20"/>
      <c r="R30" s="66">
        <v>27193.861000000001</v>
      </c>
      <c r="S30" s="20">
        <v>29955.256000000001</v>
      </c>
      <c r="T30" s="20">
        <v>35190.470999999998</v>
      </c>
      <c r="U30" s="20">
        <v>32471.743999999999</v>
      </c>
      <c r="V30" s="20">
        <v>34049.375999999997</v>
      </c>
      <c r="W30" s="33">
        <v>35446.688000000002</v>
      </c>
      <c r="X30" s="33">
        <v>36792.262999999999</v>
      </c>
      <c r="Y30" s="33">
        <v>39462.345000000001</v>
      </c>
      <c r="Z30" s="33">
        <v>43055.065000000002</v>
      </c>
      <c r="AA30" s="33">
        <v>43564.394999999997</v>
      </c>
      <c r="AB30" s="33">
        <v>38639.182000000001</v>
      </c>
      <c r="AC30" s="33">
        <v>38260</v>
      </c>
      <c r="AD30" s="20">
        <v>46971.692999999999</v>
      </c>
      <c r="AE30" s="20">
        <v>52447.258999999998</v>
      </c>
      <c r="AF30" s="20">
        <v>47137.569000000003</v>
      </c>
      <c r="AG30" s="20">
        <v>51210.978000000003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3670.2689999999998</v>
      </c>
      <c r="K31" s="20"/>
      <c r="L31" s="20"/>
      <c r="M31" s="20">
        <v>11860.811</v>
      </c>
      <c r="N31" s="20"/>
      <c r="O31" s="20">
        <v>10301.754140000001</v>
      </c>
      <c r="P31" s="20"/>
      <c r="Q31" s="20"/>
      <c r="R31" s="90">
        <v>10135.204</v>
      </c>
      <c r="S31" s="20">
        <v>10719.752</v>
      </c>
      <c r="T31" s="20">
        <v>11336.412</v>
      </c>
      <c r="U31" s="20">
        <v>11397.541999999999</v>
      </c>
      <c r="V31" s="20">
        <v>12992.628000000001</v>
      </c>
      <c r="W31" s="33">
        <v>13095.439</v>
      </c>
      <c r="X31" s="33">
        <v>15216.058000000001</v>
      </c>
      <c r="Y31" s="33">
        <v>15243.236999999999</v>
      </c>
      <c r="Z31" s="33">
        <v>18588.682000000001</v>
      </c>
      <c r="AA31" s="33">
        <v>19748.503000000001</v>
      </c>
      <c r="AB31" s="33">
        <v>20010.186000000002</v>
      </c>
      <c r="AC31" s="33">
        <v>19128</v>
      </c>
      <c r="AD31" s="20">
        <v>21929.727999999999</v>
      </c>
      <c r="AE31" s="20">
        <v>21617.838</v>
      </c>
      <c r="AF31" s="20">
        <v>25543.603999999999</v>
      </c>
      <c r="AG31" s="20">
        <v>26716.437000000002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41354.178999999996</v>
      </c>
      <c r="K32" s="20"/>
      <c r="L32" s="20"/>
      <c r="M32" s="20">
        <v>49683.332999999999</v>
      </c>
      <c r="N32" s="20"/>
      <c r="O32" s="20">
        <v>61329</v>
      </c>
      <c r="P32" s="20"/>
      <c r="Q32" s="20"/>
      <c r="R32" s="92">
        <v>86110</v>
      </c>
      <c r="S32" s="20">
        <v>91358</v>
      </c>
      <c r="T32" s="20">
        <v>92804</v>
      </c>
      <c r="U32" s="20">
        <v>96610</v>
      </c>
      <c r="V32" s="20">
        <v>46625</v>
      </c>
      <c r="W32" s="33">
        <v>48368</v>
      </c>
      <c r="X32" s="33">
        <v>53852</v>
      </c>
      <c r="Y32" s="33">
        <v>36876</v>
      </c>
      <c r="Z32" s="33">
        <v>40633</v>
      </c>
      <c r="AA32" s="33">
        <v>169232</v>
      </c>
      <c r="AB32" s="33">
        <v>100503</v>
      </c>
      <c r="AC32" s="33">
        <v>159880</v>
      </c>
      <c r="AD32" s="20">
        <v>137230</v>
      </c>
      <c r="AE32" s="20">
        <v>137227</v>
      </c>
      <c r="AF32" s="20">
        <v>141113</v>
      </c>
      <c r="AG32" s="20">
        <v>142357</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56122.303999999996</v>
      </c>
      <c r="K33" s="20"/>
      <c r="L33" s="20"/>
      <c r="M33" s="20">
        <v>78060.004000000001</v>
      </c>
      <c r="N33" s="20"/>
      <c r="O33" s="20">
        <v>103708.43584999999</v>
      </c>
      <c r="P33" s="20"/>
      <c r="Q33" s="20"/>
      <c r="R33" s="92">
        <v>125964.91099999999</v>
      </c>
      <c r="S33" s="20">
        <v>133179.03099999999</v>
      </c>
      <c r="T33" s="20">
        <v>141609.068</v>
      </c>
      <c r="U33" s="20">
        <v>141572.323</v>
      </c>
      <c r="V33" s="20">
        <v>145017.321</v>
      </c>
      <c r="W33" s="33">
        <v>157894.74</v>
      </c>
      <c r="X33" s="33">
        <v>171499.701</v>
      </c>
      <c r="Y33" s="33">
        <v>187010.902</v>
      </c>
      <c r="Z33" s="33">
        <v>206009.255</v>
      </c>
      <c r="AA33" s="33">
        <v>215504.58499999999</v>
      </c>
      <c r="AB33" s="33">
        <v>201140.068</v>
      </c>
      <c r="AC33" s="33">
        <v>195694</v>
      </c>
      <c r="AD33" s="20">
        <v>178847.239</v>
      </c>
      <c r="AE33" s="20">
        <v>188062.878</v>
      </c>
      <c r="AF33" s="20">
        <v>118764.15399999999</v>
      </c>
      <c r="AG33" s="20">
        <v>123489.74099999999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83227.858999999997</v>
      </c>
      <c r="K34" s="20"/>
      <c r="L34" s="20"/>
      <c r="M34" s="20">
        <v>127637.647</v>
      </c>
      <c r="N34" s="20"/>
      <c r="O34" s="20">
        <v>163733.39506000001</v>
      </c>
      <c r="P34" s="20"/>
      <c r="Q34" s="20"/>
      <c r="R34" s="66">
        <v>202353.19</v>
      </c>
      <c r="S34" s="20">
        <v>207281.302</v>
      </c>
      <c r="T34" s="20">
        <v>219361.78</v>
      </c>
      <c r="U34" s="20">
        <v>144769.18</v>
      </c>
      <c r="V34" s="20">
        <v>243732.666</v>
      </c>
      <c r="W34" s="33">
        <v>157104.77799999999</v>
      </c>
      <c r="X34" s="33">
        <v>263941.42300000001</v>
      </c>
      <c r="Y34" s="33">
        <v>165662.06599999999</v>
      </c>
      <c r="Z34" s="33">
        <v>303000.14399999997</v>
      </c>
      <c r="AA34" s="33">
        <v>192092.74799999999</v>
      </c>
      <c r="AB34" s="33">
        <v>283377.53899999999</v>
      </c>
      <c r="AC34" s="33">
        <v>152189</v>
      </c>
      <c r="AD34" s="20">
        <v>255171.24</v>
      </c>
      <c r="AE34" s="20">
        <v>137348.41099999999</v>
      </c>
      <c r="AF34" s="20">
        <v>271869.42499999999</v>
      </c>
      <c r="AG34" s="20">
        <v>185124.364</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64777.947999999997</v>
      </c>
      <c r="K35" s="20"/>
      <c r="L35" s="20"/>
      <c r="M35" s="20">
        <v>64540.226999999999</v>
      </c>
      <c r="N35" s="20"/>
      <c r="O35" s="20">
        <v>73851.839000000007</v>
      </c>
      <c r="P35" s="20"/>
      <c r="Q35" s="20"/>
      <c r="R35" s="66">
        <v>74498.835999999996</v>
      </c>
      <c r="S35" s="20">
        <v>86864.171000000002</v>
      </c>
      <c r="T35" s="20">
        <v>83291.153000000006</v>
      </c>
      <c r="U35" s="20">
        <v>88551.638000000006</v>
      </c>
      <c r="V35" s="20">
        <v>104711.818</v>
      </c>
      <c r="W35" s="33">
        <v>108372.242</v>
      </c>
      <c r="X35" s="33">
        <v>114338.523</v>
      </c>
      <c r="Y35" s="33">
        <v>129728.73299999999</v>
      </c>
      <c r="Z35" s="33">
        <v>144134.02100000001</v>
      </c>
      <c r="AA35" s="33">
        <v>122721.567</v>
      </c>
      <c r="AB35" s="33">
        <v>123705.932</v>
      </c>
      <c r="AC35" s="33">
        <v>113183</v>
      </c>
      <c r="AD35" s="20">
        <v>84260.831000000006</v>
      </c>
      <c r="AE35" s="20">
        <v>115443.71</v>
      </c>
      <c r="AF35" s="20">
        <v>121174.14599999999</v>
      </c>
      <c r="AG35" s="20">
        <v>146600.815</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290055.82500000001</v>
      </c>
      <c r="K36" s="20"/>
      <c r="L36" s="20"/>
      <c r="M36" s="20">
        <v>335005.40999999997</v>
      </c>
      <c r="N36" s="20"/>
      <c r="O36" s="20">
        <v>390356.65893999999</v>
      </c>
      <c r="P36" s="20"/>
      <c r="Q36" s="20"/>
      <c r="R36" s="66">
        <v>444726.57699999999</v>
      </c>
      <c r="S36" s="20">
        <v>498110.83399999997</v>
      </c>
      <c r="T36" s="20">
        <v>493904.20799999998</v>
      </c>
      <c r="U36" s="20">
        <v>515266.82900000003</v>
      </c>
      <c r="V36" s="20">
        <v>505617.03499999997</v>
      </c>
      <c r="W36" s="33">
        <v>524971.34400000004</v>
      </c>
      <c r="X36" s="33">
        <v>581528.21</v>
      </c>
      <c r="Y36" s="33">
        <v>537994.76800000004</v>
      </c>
      <c r="Z36" s="33">
        <v>605971.55799999996</v>
      </c>
      <c r="AA36" s="33">
        <v>711844.16599999997</v>
      </c>
      <c r="AB36" s="33">
        <v>672846.90700000001</v>
      </c>
      <c r="AC36" s="33">
        <v>673095</v>
      </c>
      <c r="AD36" s="20">
        <v>573690.86899999995</v>
      </c>
      <c r="AE36" s="20">
        <v>564347.39899999998</v>
      </c>
      <c r="AF36" s="20">
        <v>463079.85</v>
      </c>
      <c r="AG36" s="20">
        <v>460071.12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43659.305</v>
      </c>
      <c r="K37" s="51"/>
      <c r="L37" s="51"/>
      <c r="M37" s="51">
        <v>43151.762999999999</v>
      </c>
      <c r="N37" s="51"/>
      <c r="O37" s="51">
        <v>44975.311999999998</v>
      </c>
      <c r="P37" s="51"/>
      <c r="Q37" s="51"/>
      <c r="R37" s="67">
        <v>44728.173999999999</v>
      </c>
      <c r="S37" s="51">
        <v>48084.997000000003</v>
      </c>
      <c r="T37" s="51">
        <v>57702.65</v>
      </c>
      <c r="U37" s="51">
        <v>64882.375999999997</v>
      </c>
      <c r="V37" s="51">
        <v>67774.430999999997</v>
      </c>
      <c r="W37" s="50">
        <v>70770.69</v>
      </c>
      <c r="X37" s="50">
        <v>79408.020999999993</v>
      </c>
      <c r="Y37" s="50">
        <v>87558.510999999999</v>
      </c>
      <c r="Z37" s="50">
        <v>100780.754</v>
      </c>
      <c r="AA37" s="50">
        <v>110321.07799999999</v>
      </c>
      <c r="AB37" s="50">
        <v>97845.016000000003</v>
      </c>
      <c r="AC37" s="50">
        <v>113312</v>
      </c>
      <c r="AD37" s="51">
        <v>115085.633</v>
      </c>
      <c r="AE37" s="51">
        <v>126265.855</v>
      </c>
      <c r="AF37" s="51">
        <v>111136.556</v>
      </c>
      <c r="AG37" s="51">
        <v>122236.86500000001</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1315374.9169999999</v>
      </c>
      <c r="K38" s="104">
        <f t="shared" si="9"/>
        <v>0</v>
      </c>
      <c r="L38" s="104">
        <f t="shared" si="9"/>
        <v>0</v>
      </c>
      <c r="M38" s="104">
        <f t="shared" si="9"/>
        <v>1433847.2490000001</v>
      </c>
      <c r="N38" s="104">
        <f t="shared" si="9"/>
        <v>0</v>
      </c>
      <c r="O38" s="104">
        <f t="shared" si="9"/>
        <v>1665274.4393000002</v>
      </c>
      <c r="P38" s="104">
        <f t="shared" si="9"/>
        <v>0</v>
      </c>
      <c r="Q38" s="104">
        <f t="shared" si="9"/>
        <v>0</v>
      </c>
      <c r="R38" s="104">
        <f t="shared" si="9"/>
        <v>1947140.976</v>
      </c>
      <c r="S38" s="104">
        <f t="shared" si="9"/>
        <v>2112662.6290000002</v>
      </c>
      <c r="T38" s="104">
        <f t="shared" si="9"/>
        <v>1980952.4439999997</v>
      </c>
      <c r="U38" s="104">
        <f t="shared" si="9"/>
        <v>2004338.4160000002</v>
      </c>
      <c r="V38" s="104">
        <f t="shared" si="9"/>
        <v>1979027.98</v>
      </c>
      <c r="W38" s="104">
        <f t="shared" si="9"/>
        <v>1928110.5549999997</v>
      </c>
      <c r="X38" s="104">
        <f t="shared" si="9"/>
        <v>1990467.0489999999</v>
      </c>
      <c r="Y38" s="104">
        <f t="shared" si="9"/>
        <v>2050219.6459999999</v>
      </c>
      <c r="Z38" s="104">
        <f t="shared" si="9"/>
        <v>2247461.4629999995</v>
      </c>
      <c r="AA38" s="104">
        <f t="shared" si="9"/>
        <v>2358872.4609999997</v>
      </c>
      <c r="AB38" s="104">
        <f t="shared" si="9"/>
        <v>2201861.5219999999</v>
      </c>
      <c r="AC38" s="104">
        <f t="shared" si="9"/>
        <v>2274687</v>
      </c>
      <c r="AD38" s="104">
        <f t="shared" si="9"/>
        <v>2320623.3560000001</v>
      </c>
      <c r="AE38" s="104">
        <f t="shared" si="9"/>
        <v>2485980.6190000004</v>
      </c>
      <c r="AF38" s="104">
        <f t="shared" si="9"/>
        <v>2243142.8279999997</v>
      </c>
      <c r="AG38" s="104">
        <f t="shared" si="9"/>
        <v>2397737.7430000002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211557.25099999999</v>
      </c>
      <c r="K40" s="20"/>
      <c r="L40" s="20"/>
      <c r="M40" s="20">
        <v>246425.59700000001</v>
      </c>
      <c r="N40" s="20"/>
      <c r="O40" s="20">
        <v>191134.66500000001</v>
      </c>
      <c r="P40" s="20"/>
      <c r="Q40" s="20"/>
      <c r="R40" s="66">
        <v>278426.84000000003</v>
      </c>
      <c r="S40" s="20">
        <v>291277.47899999999</v>
      </c>
      <c r="T40" s="20">
        <v>300798.54700000002</v>
      </c>
      <c r="U40" s="20">
        <v>290924.91899999999</v>
      </c>
      <c r="V40" s="20">
        <v>344328.728</v>
      </c>
      <c r="W40" s="33">
        <v>222401.67199999999</v>
      </c>
      <c r="X40" s="33">
        <v>224269.34700000001</v>
      </c>
      <c r="Y40" s="33">
        <v>272115.99</v>
      </c>
      <c r="Z40" s="33">
        <v>272000.96299999999</v>
      </c>
      <c r="AA40" s="33">
        <v>275396.076</v>
      </c>
      <c r="AB40" s="33">
        <v>287711.56300000002</v>
      </c>
      <c r="AC40" s="33">
        <v>317275</v>
      </c>
      <c r="AD40" s="20">
        <v>329038.17</v>
      </c>
      <c r="AE40" s="20">
        <v>364482.30499999999</v>
      </c>
      <c r="AF40" s="20">
        <v>247891.57699999999</v>
      </c>
      <c r="AG40" s="20">
        <v>269909.57699999999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72227.11</v>
      </c>
      <c r="K41" s="20"/>
      <c r="L41" s="20"/>
      <c r="M41" s="20">
        <v>80703.303</v>
      </c>
      <c r="N41" s="20"/>
      <c r="O41" s="20">
        <v>106777.197</v>
      </c>
      <c r="P41" s="20"/>
      <c r="Q41" s="20"/>
      <c r="R41" s="66">
        <v>117210.30100000001</v>
      </c>
      <c r="S41" s="20">
        <v>124210.274</v>
      </c>
      <c r="T41" s="20">
        <v>125557.376</v>
      </c>
      <c r="U41" s="20">
        <v>135680.83300000001</v>
      </c>
      <c r="V41" s="20">
        <v>113392.003</v>
      </c>
      <c r="W41" s="33">
        <v>124863.546</v>
      </c>
      <c r="X41" s="33">
        <v>129934.851</v>
      </c>
      <c r="Y41" s="33">
        <v>136632.58100000001</v>
      </c>
      <c r="Z41" s="33">
        <v>155393.81099999999</v>
      </c>
      <c r="AA41" s="33">
        <v>123344.00599999999</v>
      </c>
      <c r="AB41" s="33">
        <v>115001.072</v>
      </c>
      <c r="AC41" s="33">
        <v>102920</v>
      </c>
      <c r="AD41" s="20">
        <v>216235.174</v>
      </c>
      <c r="AE41" s="20">
        <v>259120.18700000001</v>
      </c>
      <c r="AF41" s="20">
        <v>279766.51</v>
      </c>
      <c r="AG41" s="20">
        <v>284182.46299999999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116746.469</v>
      </c>
      <c r="K42" s="20"/>
      <c r="L42" s="20"/>
      <c r="M42" s="20">
        <v>119863.285</v>
      </c>
      <c r="N42" s="20"/>
      <c r="O42" s="20">
        <v>131266.68299999999</v>
      </c>
      <c r="P42" s="20"/>
      <c r="Q42" s="20"/>
      <c r="R42" s="66">
        <v>151318.27600000001</v>
      </c>
      <c r="S42" s="20">
        <v>157678.07399999999</v>
      </c>
      <c r="T42" s="20">
        <v>145386.15400000001</v>
      </c>
      <c r="U42" s="20">
        <v>148828.52100000001</v>
      </c>
      <c r="V42" s="20">
        <v>151443.02900000001</v>
      </c>
      <c r="W42" s="33">
        <v>154580.76999999999</v>
      </c>
      <c r="X42" s="33">
        <v>172470.973</v>
      </c>
      <c r="Y42" s="33">
        <v>180629.12899999999</v>
      </c>
      <c r="Z42" s="33">
        <v>200635.25599999999</v>
      </c>
      <c r="AA42" s="33">
        <v>213126.53700000001</v>
      </c>
      <c r="AB42" s="33">
        <v>178066.41</v>
      </c>
      <c r="AC42" s="33">
        <v>182705</v>
      </c>
      <c r="AD42" s="20">
        <v>188359.25</v>
      </c>
      <c r="AE42" s="20">
        <v>207872.853</v>
      </c>
      <c r="AF42" s="20">
        <v>225597.00200000001</v>
      </c>
      <c r="AG42" s="20">
        <v>239733.41699999999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49452.080999999998</v>
      </c>
      <c r="K43" s="20"/>
      <c r="L43" s="20"/>
      <c r="M43" s="20">
        <v>62916.154999999999</v>
      </c>
      <c r="N43" s="20"/>
      <c r="O43" s="20">
        <v>79431.118290000013</v>
      </c>
      <c r="P43" s="20"/>
      <c r="Q43" s="20"/>
      <c r="R43" s="66">
        <v>86332.703999999998</v>
      </c>
      <c r="S43" s="20">
        <v>102328.41</v>
      </c>
      <c r="T43" s="20">
        <v>110583.07</v>
      </c>
      <c r="U43" s="20">
        <v>106967.91099999999</v>
      </c>
      <c r="V43" s="20">
        <v>104282.70600000001</v>
      </c>
      <c r="W43" s="33">
        <v>109668.61</v>
      </c>
      <c r="X43" s="33">
        <v>119102.97100000001</v>
      </c>
      <c r="Y43" s="33">
        <v>130930.678</v>
      </c>
      <c r="Z43" s="33">
        <v>139953.50700000001</v>
      </c>
      <c r="AA43" s="33">
        <v>146126.89799999999</v>
      </c>
      <c r="AB43" s="33">
        <v>137346.66</v>
      </c>
      <c r="AC43" s="33">
        <v>137634</v>
      </c>
      <c r="AD43" s="20">
        <v>131023.939</v>
      </c>
      <c r="AE43" s="20">
        <v>148732.57199999999</v>
      </c>
      <c r="AF43" s="20">
        <v>108267.448</v>
      </c>
      <c r="AG43" s="20">
        <v>109910.54700000001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245368.21</v>
      </c>
      <c r="K44" s="20"/>
      <c r="L44" s="20"/>
      <c r="M44" s="20">
        <v>219118.94899999999</v>
      </c>
      <c r="N44" s="20"/>
      <c r="O44" s="20">
        <v>259967.47812000001</v>
      </c>
      <c r="P44" s="20"/>
      <c r="Q44" s="20"/>
      <c r="R44" s="66">
        <v>295087.67099999997</v>
      </c>
      <c r="S44" s="20">
        <v>313057.136</v>
      </c>
      <c r="T44" s="20">
        <v>283547.565</v>
      </c>
      <c r="U44" s="20">
        <v>304969.09899999999</v>
      </c>
      <c r="V44" s="20">
        <v>273053.47399999999</v>
      </c>
      <c r="W44" s="33">
        <v>287047.799</v>
      </c>
      <c r="X44" s="33">
        <v>278703.50699999998</v>
      </c>
      <c r="Y44" s="33">
        <v>248991.481</v>
      </c>
      <c r="Z44" s="33">
        <v>317085.01899999997</v>
      </c>
      <c r="AA44" s="33">
        <v>294283.38799999998</v>
      </c>
      <c r="AB44" s="33">
        <v>294192.255</v>
      </c>
      <c r="AC44" s="33">
        <v>293546</v>
      </c>
      <c r="AD44" s="20">
        <v>283506.31800000003</v>
      </c>
      <c r="AE44" s="20">
        <v>308422.91100000002</v>
      </c>
      <c r="AF44" s="20">
        <v>312372.68</v>
      </c>
      <c r="AG44" s="20">
        <v>339582.72600000002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172213.15100000001</v>
      </c>
      <c r="K45" s="20"/>
      <c r="L45" s="20"/>
      <c r="M45" s="20">
        <v>237734.52499999999</v>
      </c>
      <c r="N45" s="20"/>
      <c r="O45" s="20">
        <v>298883.37488999998</v>
      </c>
      <c r="P45" s="20"/>
      <c r="Q45" s="20"/>
      <c r="R45" s="66">
        <v>313936.76400000002</v>
      </c>
      <c r="S45" s="20">
        <v>342804.42800000001</v>
      </c>
      <c r="T45" s="20">
        <v>343159.375</v>
      </c>
      <c r="U45" s="20">
        <v>341605.33</v>
      </c>
      <c r="V45" s="20">
        <v>320636.21899999998</v>
      </c>
      <c r="W45" s="33">
        <v>316220</v>
      </c>
      <c r="X45" s="33">
        <v>338840</v>
      </c>
      <c r="Y45" s="33">
        <v>353801</v>
      </c>
      <c r="Z45" s="33">
        <v>392145</v>
      </c>
      <c r="AA45" s="33">
        <v>397912</v>
      </c>
      <c r="AB45" s="33">
        <v>355654</v>
      </c>
      <c r="AC45" s="33">
        <v>352808</v>
      </c>
      <c r="AD45" s="20">
        <v>315292</v>
      </c>
      <c r="AE45" s="20">
        <v>314757</v>
      </c>
      <c r="AF45" s="20">
        <v>258440</v>
      </c>
      <c r="AG45" s="20">
        <v>275601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64891.307999999997</v>
      </c>
      <c r="K46" s="20"/>
      <c r="L46" s="20"/>
      <c r="M46" s="20">
        <v>30379.616000000002</v>
      </c>
      <c r="N46" s="20"/>
      <c r="O46" s="20">
        <v>109236.958</v>
      </c>
      <c r="P46" s="20"/>
      <c r="Q46" s="20"/>
      <c r="R46" s="66">
        <v>60747.264999999999</v>
      </c>
      <c r="S46" s="20">
        <v>76689.607000000004</v>
      </c>
      <c r="T46" s="20">
        <v>56537.4</v>
      </c>
      <c r="U46" s="20">
        <v>60024.686000000002</v>
      </c>
      <c r="V46" s="20">
        <v>59278.468999999997</v>
      </c>
      <c r="W46" s="33">
        <v>61455.697</v>
      </c>
      <c r="X46" s="33">
        <v>61376.095000000001</v>
      </c>
      <c r="Y46" s="33">
        <v>63633.033000000003</v>
      </c>
      <c r="Z46" s="33">
        <v>76721.231</v>
      </c>
      <c r="AA46" s="33">
        <v>72271.494999999995</v>
      </c>
      <c r="AB46" s="33">
        <v>73010.490999999995</v>
      </c>
      <c r="AC46" s="33">
        <v>112566</v>
      </c>
      <c r="AD46" s="20">
        <v>108494.534</v>
      </c>
      <c r="AE46" s="20">
        <v>107883.568</v>
      </c>
      <c r="AF46" s="20">
        <v>137890.128</v>
      </c>
      <c r="AG46" s="20">
        <v>147850.38099999999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25757.611000000001</v>
      </c>
      <c r="K47" s="20"/>
      <c r="L47" s="20"/>
      <c r="M47" s="20">
        <v>24836.01</v>
      </c>
      <c r="N47" s="20"/>
      <c r="O47" s="20">
        <v>39467.71</v>
      </c>
      <c r="P47" s="20"/>
      <c r="Q47" s="20"/>
      <c r="R47" s="92">
        <v>86187.822</v>
      </c>
      <c r="S47" s="20">
        <v>94264.123999999996</v>
      </c>
      <c r="T47" s="20">
        <v>67146.937000000005</v>
      </c>
      <c r="U47" s="20">
        <v>67474.842999999993</v>
      </c>
      <c r="V47" s="20">
        <v>64502.057999999997</v>
      </c>
      <c r="W47" s="33">
        <v>65036.349000000002</v>
      </c>
      <c r="X47" s="33">
        <v>67601.406000000003</v>
      </c>
      <c r="Y47" s="33">
        <v>70990.866999999998</v>
      </c>
      <c r="Z47" s="33">
        <v>86564.286999999997</v>
      </c>
      <c r="AA47" s="33">
        <v>89866.576000000001</v>
      </c>
      <c r="AB47" s="33">
        <v>89484.149000000005</v>
      </c>
      <c r="AC47" s="33">
        <v>89391</v>
      </c>
      <c r="AD47" s="20">
        <v>89367.892000000007</v>
      </c>
      <c r="AE47" s="20">
        <v>90503.854000000007</v>
      </c>
      <c r="AF47" s="20">
        <v>85476.481</v>
      </c>
      <c r="AG47" s="20">
        <v>88718.611000000004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16014.184999999999</v>
      </c>
      <c r="K48" s="20"/>
      <c r="L48" s="20"/>
      <c r="M48" s="20">
        <v>18710.338</v>
      </c>
      <c r="N48" s="20"/>
      <c r="O48" s="20">
        <v>20414.848000000002</v>
      </c>
      <c r="P48" s="20"/>
      <c r="Q48" s="20"/>
      <c r="R48" s="66">
        <v>24996.534</v>
      </c>
      <c r="S48" s="20">
        <v>26849.297999999999</v>
      </c>
      <c r="T48" s="20">
        <v>26262.888999999999</v>
      </c>
      <c r="U48" s="20">
        <v>28129.772000000001</v>
      </c>
      <c r="V48" s="20">
        <v>27016.248</v>
      </c>
      <c r="W48" s="33">
        <v>27241.776999999998</v>
      </c>
      <c r="X48" s="33">
        <v>29204.948</v>
      </c>
      <c r="Y48" s="33">
        <v>29155.838</v>
      </c>
      <c r="Z48" s="33">
        <v>22768.911</v>
      </c>
      <c r="AA48" s="33">
        <v>33169.754000000001</v>
      </c>
      <c r="AB48" s="33">
        <v>37974.232000000004</v>
      </c>
      <c r="AC48" s="33">
        <v>39421</v>
      </c>
      <c r="AD48" s="20">
        <v>43370.49</v>
      </c>
      <c r="AE48" s="20">
        <v>44511.33</v>
      </c>
      <c r="AF48" s="20">
        <v>57968.097999999998</v>
      </c>
      <c r="AG48" s="20">
        <v>53646.557000000001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208597.23300000001</v>
      </c>
      <c r="K49" s="20"/>
      <c r="L49" s="20"/>
      <c r="M49" s="20">
        <v>242478.42</v>
      </c>
      <c r="N49" s="20"/>
      <c r="O49" s="20">
        <v>275236.34100000001</v>
      </c>
      <c r="P49" s="20"/>
      <c r="Q49" s="20"/>
      <c r="R49" s="66">
        <v>362249.68199999997</v>
      </c>
      <c r="S49" s="20">
        <v>400347.87300000002</v>
      </c>
      <c r="T49" s="20">
        <v>344440.83299999998</v>
      </c>
      <c r="U49" s="20">
        <v>352844.67300000001</v>
      </c>
      <c r="V49" s="20">
        <v>351178.36700000003</v>
      </c>
      <c r="W49" s="33">
        <v>388844.16600000003</v>
      </c>
      <c r="X49" s="33">
        <v>396924.73</v>
      </c>
      <c r="Y49" s="33">
        <v>402591.05499999999</v>
      </c>
      <c r="Z49" s="33">
        <v>427932.141</v>
      </c>
      <c r="AA49" s="33">
        <v>552824.277</v>
      </c>
      <c r="AB49" s="33">
        <v>460354.95799999998</v>
      </c>
      <c r="AC49" s="33">
        <v>470234</v>
      </c>
      <c r="AD49" s="20">
        <v>477991.64600000001</v>
      </c>
      <c r="AE49" s="20">
        <v>498918.86499999999</v>
      </c>
      <c r="AF49" s="20">
        <v>462348.74599999998</v>
      </c>
      <c r="AG49" s="20">
        <v>461865.22600000002</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3435.029</v>
      </c>
      <c r="P50" s="20"/>
      <c r="Q50" s="20"/>
      <c r="R50" s="66">
        <v>10571.973</v>
      </c>
      <c r="S50" s="20">
        <v>10638.546</v>
      </c>
      <c r="T50" s="20">
        <v>9811.6939999999995</v>
      </c>
      <c r="U50" s="20">
        <v>9988.9349999999995</v>
      </c>
      <c r="V50" s="20">
        <v>9289.6370000000006</v>
      </c>
      <c r="W50" s="33">
        <v>9592.5660000000007</v>
      </c>
      <c r="X50" s="33">
        <v>10858.275</v>
      </c>
      <c r="Y50" s="33">
        <v>11412.442999999999</v>
      </c>
      <c r="Z50" s="33">
        <v>12399.361000000001</v>
      </c>
      <c r="AA50" s="33">
        <v>12985.800999999999</v>
      </c>
      <c r="AB50" s="33">
        <v>11751.227000000001</v>
      </c>
      <c r="AC50" s="33">
        <v>13144</v>
      </c>
      <c r="AD50" s="20">
        <v>12652.383</v>
      </c>
      <c r="AE50" s="20">
        <v>13420.504000000001</v>
      </c>
      <c r="AF50" s="20">
        <v>14557.397000000001</v>
      </c>
      <c r="AG50" s="20">
        <v>18890.879000000001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132550.30799999999</v>
      </c>
      <c r="K51" s="51"/>
      <c r="L51" s="51"/>
      <c r="M51" s="51">
        <v>150681.05100000001</v>
      </c>
      <c r="N51" s="51"/>
      <c r="O51" s="51">
        <v>150023.03700000001</v>
      </c>
      <c r="P51" s="51"/>
      <c r="Q51" s="51"/>
      <c r="R51" s="67">
        <v>160075.144</v>
      </c>
      <c r="S51" s="51">
        <v>172517.38</v>
      </c>
      <c r="T51" s="51">
        <v>167720.60399999999</v>
      </c>
      <c r="U51" s="51">
        <v>156898.894</v>
      </c>
      <c r="V51" s="51">
        <v>160627.04199999999</v>
      </c>
      <c r="W51" s="50">
        <v>161157.603</v>
      </c>
      <c r="X51" s="50">
        <v>161179.946</v>
      </c>
      <c r="Y51" s="50">
        <v>149335.55100000001</v>
      </c>
      <c r="Z51" s="50">
        <v>143861.976</v>
      </c>
      <c r="AA51" s="50">
        <v>147565.65299999999</v>
      </c>
      <c r="AB51" s="50">
        <v>161314.505</v>
      </c>
      <c r="AC51" s="50">
        <v>163043</v>
      </c>
      <c r="AD51" s="51">
        <v>125291.56</v>
      </c>
      <c r="AE51" s="51">
        <v>127354.67</v>
      </c>
      <c r="AF51" s="51">
        <v>52566.760999999999</v>
      </c>
      <c r="AG51" s="51">
        <v>107846.359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784115.36600000004</v>
      </c>
      <c r="K52" s="104">
        <f t="shared" si="10"/>
        <v>0</v>
      </c>
      <c r="L52" s="104">
        <f t="shared" si="10"/>
        <v>0</v>
      </c>
      <c r="M52" s="104">
        <f t="shared" si="10"/>
        <v>921719.38699999999</v>
      </c>
      <c r="N52" s="104">
        <f t="shared" si="10"/>
        <v>0</v>
      </c>
      <c r="O52" s="104">
        <f t="shared" si="10"/>
        <v>999493.95926000003</v>
      </c>
      <c r="P52" s="104">
        <f t="shared" si="10"/>
        <v>0</v>
      </c>
      <c r="Q52" s="104">
        <f t="shared" si="10"/>
        <v>0</v>
      </c>
      <c r="R52" s="104">
        <f t="shared" si="10"/>
        <v>1115288.3709999998</v>
      </c>
      <c r="S52" s="104">
        <f t="shared" si="10"/>
        <v>1267692.82</v>
      </c>
      <c r="T52" s="104">
        <f t="shared" si="10"/>
        <v>1343998.4579999999</v>
      </c>
      <c r="U52" s="104">
        <f t="shared" si="10"/>
        <v>1333265.071</v>
      </c>
      <c r="V52" s="104">
        <f t="shared" si="10"/>
        <v>1366178.96</v>
      </c>
      <c r="W52" s="104">
        <f t="shared" si="10"/>
        <v>1409387.3199999998</v>
      </c>
      <c r="X52" s="104">
        <f t="shared" si="10"/>
        <v>1511033.709</v>
      </c>
      <c r="Y52" s="104">
        <f t="shared" si="10"/>
        <v>1608301.8650000002</v>
      </c>
      <c r="Z52" s="104">
        <f t="shared" si="10"/>
        <v>1715646.912</v>
      </c>
      <c r="AA52" s="104">
        <f t="shared" si="10"/>
        <v>1714741.1429999999</v>
      </c>
      <c r="AB52" s="104">
        <f t="shared" si="10"/>
        <v>1589308.9539999999</v>
      </c>
      <c r="AC52" s="104">
        <f t="shared" si="10"/>
        <v>1560910</v>
      </c>
      <c r="AD52" s="104">
        <f t="shared" si="10"/>
        <v>1578772.1740000001</v>
      </c>
      <c r="AE52" s="104">
        <f t="shared" si="10"/>
        <v>1707839.3800000001</v>
      </c>
      <c r="AF52" s="104">
        <f t="shared" si="10"/>
        <v>1811095.9210000001</v>
      </c>
      <c r="AG52" s="104">
        <f t="shared" si="10"/>
        <v>1842421.1350000005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76090.073999999993</v>
      </c>
      <c r="K54" s="20"/>
      <c r="L54" s="20"/>
      <c r="M54" s="65">
        <v>80315.760999999999</v>
      </c>
      <c r="N54" s="20"/>
      <c r="O54" s="20">
        <v>128011.32245000001</v>
      </c>
      <c r="P54" s="20"/>
      <c r="Q54" s="20"/>
      <c r="R54" s="66">
        <v>142975.28400000001</v>
      </c>
      <c r="S54" s="20">
        <v>145003.174</v>
      </c>
      <c r="T54" s="20">
        <v>197932.44099999999</v>
      </c>
      <c r="U54" s="20">
        <v>161572.18599999999</v>
      </c>
      <c r="V54" s="20">
        <v>157393.492</v>
      </c>
      <c r="W54" s="33">
        <v>179761.26199999999</v>
      </c>
      <c r="X54" s="33">
        <v>190035.56599999999</v>
      </c>
      <c r="Y54" s="33">
        <v>209026.88</v>
      </c>
      <c r="Z54" s="33">
        <v>222613.394</v>
      </c>
      <c r="AA54" s="33">
        <v>221881.552</v>
      </c>
      <c r="AB54" s="33">
        <v>220218.554</v>
      </c>
      <c r="AC54" s="33">
        <v>225432</v>
      </c>
      <c r="AD54" s="20">
        <v>202562.424</v>
      </c>
      <c r="AE54" s="20">
        <v>209922.69699999999</v>
      </c>
      <c r="AF54" s="20">
        <v>237642.47</v>
      </c>
      <c r="AG54" s="20">
        <v>242971.57399999999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21372.800999999999</v>
      </c>
      <c r="K55" s="20"/>
      <c r="L55" s="20"/>
      <c r="M55" s="20">
        <v>21710.403999999999</v>
      </c>
      <c r="N55" s="20"/>
      <c r="O55" s="20">
        <v>25984.078000000001</v>
      </c>
      <c r="P55" s="20"/>
      <c r="Q55" s="20"/>
      <c r="R55" s="66">
        <v>31072.558000000001</v>
      </c>
      <c r="S55" s="20">
        <v>35434.550000000003</v>
      </c>
      <c r="T55" s="20">
        <v>36274.324000000001</v>
      </c>
      <c r="U55" s="20">
        <v>37971.942000000003</v>
      </c>
      <c r="V55" s="20">
        <v>37119.052000000003</v>
      </c>
      <c r="W55" s="33">
        <v>39655.533000000003</v>
      </c>
      <c r="X55" s="33">
        <v>39653.483</v>
      </c>
      <c r="Y55" s="33">
        <v>43341.557999999997</v>
      </c>
      <c r="Z55" s="33">
        <v>47430.91</v>
      </c>
      <c r="AA55" s="33">
        <v>48280.824000000001</v>
      </c>
      <c r="AB55" s="33">
        <v>47421.252999999997</v>
      </c>
      <c r="AC55" s="33">
        <v>48991</v>
      </c>
      <c r="AD55" s="20">
        <v>49250.213000000003</v>
      </c>
      <c r="AE55" s="20">
        <v>53315.584999999999</v>
      </c>
      <c r="AF55" s="20">
        <v>51169.608999999997</v>
      </c>
      <c r="AG55" s="20">
        <v>50842.909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91667.811000000002</v>
      </c>
      <c r="K56" s="20"/>
      <c r="L56" s="20"/>
      <c r="M56" s="20">
        <v>152291.516</v>
      </c>
      <c r="N56" s="20"/>
      <c r="O56" s="20">
        <v>199017.04699999999</v>
      </c>
      <c r="P56" s="20"/>
      <c r="Q56" s="20"/>
      <c r="R56" s="66">
        <v>250573.06200000001</v>
      </c>
      <c r="S56" s="20">
        <v>294024.08</v>
      </c>
      <c r="T56" s="20">
        <v>287449.40999999997</v>
      </c>
      <c r="U56" s="20">
        <v>257143.33900000001</v>
      </c>
      <c r="V56" s="20">
        <v>228977.15599999999</v>
      </c>
      <c r="W56" s="33">
        <v>242617.84400000001</v>
      </c>
      <c r="X56" s="33">
        <v>271470.228</v>
      </c>
      <c r="Y56" s="33">
        <v>297082.48200000002</v>
      </c>
      <c r="Z56" s="33">
        <v>319803.81599999999</v>
      </c>
      <c r="AA56" s="33">
        <v>278539.06400000001</v>
      </c>
      <c r="AB56" s="33">
        <v>234001.473</v>
      </c>
      <c r="AC56" s="33">
        <v>273278</v>
      </c>
      <c r="AD56" s="20">
        <v>277887.19699999999</v>
      </c>
      <c r="AE56" s="20">
        <v>268970.69</v>
      </c>
      <c r="AF56" s="20">
        <v>310755.30599999998</v>
      </c>
      <c r="AG56" s="20">
        <v>329922.266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15379.05</v>
      </c>
      <c r="K57" s="20"/>
      <c r="L57" s="20"/>
      <c r="M57" s="20">
        <v>14990.29</v>
      </c>
      <c r="N57" s="20"/>
      <c r="O57" s="20">
        <v>19745.130710000001</v>
      </c>
      <c r="P57" s="20"/>
      <c r="Q57" s="20"/>
      <c r="R57" s="92">
        <v>20635.651999999998</v>
      </c>
      <c r="S57" s="20">
        <v>20791.648000000001</v>
      </c>
      <c r="T57" s="20">
        <v>22344.596000000001</v>
      </c>
      <c r="U57" s="20">
        <v>21637.566999999999</v>
      </c>
      <c r="V57" s="20">
        <v>23314.843000000001</v>
      </c>
      <c r="W57" s="33">
        <v>24851.923999999999</v>
      </c>
      <c r="X57" s="33">
        <v>18941.822</v>
      </c>
      <c r="Y57" s="33">
        <v>26827.71</v>
      </c>
      <c r="Z57" s="33">
        <v>31667.092000000001</v>
      </c>
      <c r="AA57" s="33">
        <v>34297.46</v>
      </c>
      <c r="AB57" s="33">
        <v>33581.945</v>
      </c>
      <c r="AC57" s="33">
        <v>34592</v>
      </c>
      <c r="AD57" s="20">
        <v>29242.036</v>
      </c>
      <c r="AE57" s="20">
        <v>40724.415000000001</v>
      </c>
      <c r="AF57" s="20">
        <v>36639.203000000001</v>
      </c>
      <c r="AG57" s="20">
        <v>33226.908000000003</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82546.922999999995</v>
      </c>
      <c r="K58" s="20"/>
      <c r="L58" s="20"/>
      <c r="M58" s="20">
        <v>98051.775999999998</v>
      </c>
      <c r="N58" s="20"/>
      <c r="O58" s="20">
        <v>100679.103</v>
      </c>
      <c r="P58" s="20"/>
      <c r="Q58" s="20"/>
      <c r="R58" s="92">
        <v>132121.10699999999</v>
      </c>
      <c r="S58" s="20">
        <v>146294.72200000001</v>
      </c>
      <c r="T58" s="20">
        <v>156570.77799999999</v>
      </c>
      <c r="U58" s="20">
        <v>155272.78700000001</v>
      </c>
      <c r="V58" s="20">
        <v>165030.049</v>
      </c>
      <c r="W58" s="33">
        <v>163028.587</v>
      </c>
      <c r="X58" s="33">
        <v>162782.82500000001</v>
      </c>
      <c r="Y58" s="33">
        <v>158023.81400000001</v>
      </c>
      <c r="Z58" s="33">
        <v>169567.63500000001</v>
      </c>
      <c r="AA58" s="33">
        <v>151001.179</v>
      </c>
      <c r="AB58" s="33">
        <v>139358.20300000001</v>
      </c>
      <c r="AC58" s="33">
        <v>136820</v>
      </c>
      <c r="AD58" s="20">
        <v>135743.63</v>
      </c>
      <c r="AE58" s="20">
        <v>135744.60999999999</v>
      </c>
      <c r="AF58" s="20">
        <v>134949.204</v>
      </c>
      <c r="AG58" s="20">
        <v>134949.783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344403.56</v>
      </c>
      <c r="K59" s="20"/>
      <c r="L59" s="20"/>
      <c r="M59" s="20">
        <v>392636.55200000003</v>
      </c>
      <c r="N59" s="20"/>
      <c r="O59" s="20">
        <v>363375.38299999997</v>
      </c>
      <c r="P59" s="20"/>
      <c r="Q59" s="20"/>
      <c r="R59" s="92">
        <v>353317.89</v>
      </c>
      <c r="S59" s="20">
        <v>425555.55</v>
      </c>
      <c r="T59" s="20">
        <v>415285.17599999998</v>
      </c>
      <c r="U59" s="20">
        <v>450540.90899999999</v>
      </c>
      <c r="V59" s="20">
        <v>498056.51400000002</v>
      </c>
      <c r="W59" s="33">
        <v>489987.158</v>
      </c>
      <c r="X59" s="33">
        <v>533938.01500000001</v>
      </c>
      <c r="Y59" s="33">
        <v>565094.10499999998</v>
      </c>
      <c r="Z59" s="33">
        <v>612267.37399999995</v>
      </c>
      <c r="AA59" s="33">
        <v>657995.09199999995</v>
      </c>
      <c r="AB59" s="33">
        <v>625869.74199999997</v>
      </c>
      <c r="AC59" s="33">
        <v>554721</v>
      </c>
      <c r="AD59" s="20">
        <v>599927.69700000004</v>
      </c>
      <c r="AE59" s="20">
        <v>707353.84</v>
      </c>
      <c r="AF59" s="20">
        <v>748603.04500000004</v>
      </c>
      <c r="AG59" s="20">
        <v>751503.57299999997</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123679.22199999999</v>
      </c>
      <c r="K60" s="20"/>
      <c r="L60" s="20"/>
      <c r="M60" s="20">
        <v>133332.78700000001</v>
      </c>
      <c r="N60" s="20"/>
      <c r="O60" s="20">
        <v>132382.4241</v>
      </c>
      <c r="P60" s="20"/>
      <c r="Q60" s="20"/>
      <c r="R60" s="66">
        <v>147906.69500000001</v>
      </c>
      <c r="S60" s="20">
        <v>163465.073</v>
      </c>
      <c r="T60" s="20">
        <v>183670.283</v>
      </c>
      <c r="U60" s="20">
        <v>205471.16899999999</v>
      </c>
      <c r="V60" s="20">
        <v>212036.408</v>
      </c>
      <c r="W60" s="33">
        <v>223303.524</v>
      </c>
      <c r="X60" s="33">
        <v>244362.80600000001</v>
      </c>
      <c r="Y60" s="33">
        <v>257162.09700000001</v>
      </c>
      <c r="Z60" s="33">
        <v>259736.38200000001</v>
      </c>
      <c r="AA60" s="33">
        <v>266249.89500000002</v>
      </c>
      <c r="AB60" s="33">
        <v>240723.67199999999</v>
      </c>
      <c r="AC60" s="33">
        <v>239096</v>
      </c>
      <c r="AD60" s="20">
        <v>234971.15900000001</v>
      </c>
      <c r="AE60" s="20">
        <v>236232.598</v>
      </c>
      <c r="AF60" s="20">
        <v>234436.84599999999</v>
      </c>
      <c r="AG60" s="20">
        <v>240890.573</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24097.424999999999</v>
      </c>
      <c r="K61" s="20"/>
      <c r="L61" s="20"/>
      <c r="M61" s="20">
        <v>27246.800999999999</v>
      </c>
      <c r="N61" s="20"/>
      <c r="O61" s="20">
        <v>29068.571</v>
      </c>
      <c r="P61" s="20"/>
      <c r="Q61" s="20"/>
      <c r="R61" s="66">
        <v>35215.923000000003</v>
      </c>
      <c r="S61" s="20">
        <v>35215.923000000003</v>
      </c>
      <c r="T61" s="20">
        <v>40743.15</v>
      </c>
      <c r="U61" s="20">
        <v>39601.400999999998</v>
      </c>
      <c r="V61" s="20">
        <v>40114.595999999998</v>
      </c>
      <c r="W61" s="33">
        <v>41928.112000000001</v>
      </c>
      <c r="X61" s="33">
        <v>45445.377999999997</v>
      </c>
      <c r="Y61" s="33">
        <v>47113.49</v>
      </c>
      <c r="Z61" s="33">
        <v>47820.29</v>
      </c>
      <c r="AA61" s="33">
        <v>44808.724999999999</v>
      </c>
      <c r="AB61" s="33">
        <v>42719.728999999999</v>
      </c>
      <c r="AC61" s="33">
        <v>42884</v>
      </c>
      <c r="AD61" s="20">
        <v>44482.656999999999</v>
      </c>
      <c r="AE61" s="20">
        <v>44169.98</v>
      </c>
      <c r="AF61" s="20">
        <v>44433.286</v>
      </c>
      <c r="AG61" s="20">
        <v>45542.769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4878.5</v>
      </c>
      <c r="K62" s="51"/>
      <c r="L62" s="51"/>
      <c r="M62" s="51">
        <v>1143.5</v>
      </c>
      <c r="N62" s="51"/>
      <c r="O62" s="51">
        <v>1230.9000000000001</v>
      </c>
      <c r="P62" s="51"/>
      <c r="Q62" s="51"/>
      <c r="R62" s="67">
        <v>1470.2</v>
      </c>
      <c r="S62" s="51">
        <v>1908.1</v>
      </c>
      <c r="T62" s="51">
        <v>3728.3</v>
      </c>
      <c r="U62" s="51">
        <v>4053.7710000000002</v>
      </c>
      <c r="V62" s="51">
        <v>4136.8500000000004</v>
      </c>
      <c r="W62" s="50">
        <v>4253.3760000000002</v>
      </c>
      <c r="X62" s="50">
        <v>4403.5860000000002</v>
      </c>
      <c r="Y62" s="50">
        <v>4629.7290000000003</v>
      </c>
      <c r="Z62" s="50">
        <v>4740.0190000000002</v>
      </c>
      <c r="AA62" s="50">
        <v>11687.352000000001</v>
      </c>
      <c r="AB62" s="50">
        <v>5414.3829999999998</v>
      </c>
      <c r="AC62" s="50">
        <v>5096</v>
      </c>
      <c r="AD62" s="20">
        <v>4705.1610000000001</v>
      </c>
      <c r="AE62" s="20">
        <v>11404.965</v>
      </c>
      <c r="AF62" s="51">
        <v>12466.951999999999</v>
      </c>
      <c r="AG62" s="51">
        <v>12570.78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51"/>
      <c r="AG63" s="51"/>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93</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1668124</v>
      </c>
      <c r="C4" s="12">
        <v>1803286</v>
      </c>
      <c r="D4" s="12">
        <v>1979525</v>
      </c>
      <c r="E4" s="12"/>
      <c r="F4" s="12"/>
      <c r="G4" s="12"/>
      <c r="H4" s="12"/>
      <c r="I4" s="12">
        <v>2937994.2790000001</v>
      </c>
      <c r="J4" s="98">
        <f>+J5+J23+J38+J52+J63</f>
        <v>2938461.1489999997</v>
      </c>
      <c r="K4" s="69">
        <v>3391107.7080000001</v>
      </c>
      <c r="L4" s="69">
        <v>3815250.111</v>
      </c>
      <c r="M4" s="98">
        <f>+M5+M23+M38+M52+M63</f>
        <v>3635006.2800000003</v>
      </c>
      <c r="N4" s="69">
        <v>4118681.443</v>
      </c>
      <c r="O4" s="98">
        <f>+O5+O23+O38+O52+O63</f>
        <v>4223805.8438400002</v>
      </c>
      <c r="P4" s="12"/>
      <c r="Q4" s="12"/>
      <c r="R4" s="98">
        <f t="shared" ref="R4:AA4" si="0">+R5+R23+R38+R52+R63</f>
        <v>4238761.1689999998</v>
      </c>
      <c r="S4" s="98">
        <f t="shared" si="0"/>
        <v>4614899.1369999992</v>
      </c>
      <c r="T4" s="98">
        <f t="shared" si="0"/>
        <v>5188291.1380000003</v>
      </c>
      <c r="U4" s="98">
        <f t="shared" si="0"/>
        <v>5816957.7430000007</v>
      </c>
      <c r="V4" s="98">
        <f t="shared" si="0"/>
        <v>6253053.1740000006</v>
      </c>
      <c r="W4" s="98">
        <f t="shared" si="0"/>
        <v>6878201.7579999994</v>
      </c>
      <c r="X4" s="98">
        <f t="shared" si="0"/>
        <v>7394730.7120000003</v>
      </c>
      <c r="Y4" s="98">
        <f t="shared" si="0"/>
        <v>7842461.1280000005</v>
      </c>
      <c r="Z4" s="98">
        <f t="shared" si="0"/>
        <v>8325143.949</v>
      </c>
      <c r="AA4" s="98">
        <f t="shared" si="0"/>
        <v>8825091.284</v>
      </c>
      <c r="AB4" s="98">
        <f t="shared" ref="AB4:AC4" si="1">+AB5+AB23+AB38+AB52+AB63</f>
        <v>9085502.8489999995</v>
      </c>
      <c r="AC4" s="98">
        <f t="shared" si="1"/>
        <v>9225381</v>
      </c>
      <c r="AD4" s="98">
        <f t="shared" ref="AD4:AE4" si="2">+AD5+AD23+AD38+AD52+AD63</f>
        <v>9370181.1450000014</v>
      </c>
      <c r="AE4" s="98">
        <f t="shared" si="2"/>
        <v>9774541.8000000007</v>
      </c>
      <c r="AF4" s="98">
        <f t="shared" ref="AF4:AG4" si="3">+AF5+AF23+AF38+AF52+AF63</f>
        <v>7574008.0220000008</v>
      </c>
      <c r="AG4" s="98">
        <f t="shared" si="3"/>
        <v>7852787.1970000006</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214813</v>
      </c>
      <c r="C5" s="101">
        <f t="shared" ref="C5:AA5" si="4">SUM(C7:C22)</f>
        <v>258879</v>
      </c>
      <c r="D5" s="101">
        <f t="shared" si="4"/>
        <v>289868</v>
      </c>
      <c r="E5" s="101">
        <f t="shared" si="4"/>
        <v>0</v>
      </c>
      <c r="F5" s="101">
        <f t="shared" si="4"/>
        <v>0</v>
      </c>
      <c r="G5" s="101">
        <f t="shared" si="4"/>
        <v>0</v>
      </c>
      <c r="H5" s="101">
        <f t="shared" si="4"/>
        <v>0</v>
      </c>
      <c r="I5" s="101">
        <f t="shared" si="4"/>
        <v>468844.15700000001</v>
      </c>
      <c r="J5" s="101">
        <f t="shared" si="4"/>
        <v>440526.93700000003</v>
      </c>
      <c r="K5" s="101">
        <f t="shared" si="4"/>
        <v>495719.56700000004</v>
      </c>
      <c r="L5" s="101">
        <f t="shared" si="4"/>
        <v>526273.85199999996</v>
      </c>
      <c r="M5" s="101">
        <f t="shared" si="4"/>
        <v>480423.99599999993</v>
      </c>
      <c r="N5" s="101">
        <f t="shared" si="4"/>
        <v>602467.16500000004</v>
      </c>
      <c r="O5" s="101">
        <f t="shared" si="4"/>
        <v>618598.91442000004</v>
      </c>
      <c r="P5" s="101">
        <f t="shared" si="4"/>
        <v>0</v>
      </c>
      <c r="Q5" s="101">
        <f t="shared" si="4"/>
        <v>0</v>
      </c>
      <c r="R5" s="101">
        <f t="shared" si="4"/>
        <v>705173.28599999996</v>
      </c>
      <c r="S5" s="101">
        <f t="shared" si="4"/>
        <v>896048.75399999996</v>
      </c>
      <c r="T5" s="101">
        <f t="shared" si="4"/>
        <v>916681.71499999997</v>
      </c>
      <c r="U5" s="101">
        <f t="shared" si="4"/>
        <v>1120254.047</v>
      </c>
      <c r="V5" s="101">
        <f t="shared" si="4"/>
        <v>1200780.5680000002</v>
      </c>
      <c r="W5" s="101">
        <f t="shared" si="4"/>
        <v>1269076.9099999999</v>
      </c>
      <c r="X5" s="101">
        <f t="shared" si="4"/>
        <v>1396427.7729999998</v>
      </c>
      <c r="Y5" s="101">
        <f t="shared" si="4"/>
        <v>1537913.9930000002</v>
      </c>
      <c r="Z5" s="101">
        <f t="shared" si="4"/>
        <v>1674521.0889999997</v>
      </c>
      <c r="AA5" s="101">
        <f t="shared" si="4"/>
        <v>1921421.5129999998</v>
      </c>
      <c r="AB5" s="101">
        <f t="shared" ref="AB5:AC5" si="5">SUM(AB7:AB22)</f>
        <v>1984901.4310000001</v>
      </c>
      <c r="AC5" s="101">
        <f t="shared" si="5"/>
        <v>2026371</v>
      </c>
      <c r="AD5" s="101">
        <f t="shared" ref="AD5:AE5" si="6">SUM(AD7:AD22)</f>
        <v>2089445.362</v>
      </c>
      <c r="AE5" s="101">
        <f t="shared" si="6"/>
        <v>2161122.1800000002</v>
      </c>
      <c r="AF5" s="101">
        <f t="shared" ref="AF5:AG5" si="7">SUM(AF7:AF22)</f>
        <v>2300765.15</v>
      </c>
      <c r="AG5" s="101">
        <f t="shared" si="7"/>
        <v>2467739.2860000003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284</v>
      </c>
      <c r="C7" s="12">
        <v>773</v>
      </c>
      <c r="D7" s="12">
        <v>33</v>
      </c>
      <c r="E7" s="12"/>
      <c r="F7" s="12"/>
      <c r="G7" s="12"/>
      <c r="H7" s="12"/>
      <c r="I7" s="12">
        <v>2382.308</v>
      </c>
      <c r="J7" s="32">
        <v>1597.49</v>
      </c>
      <c r="K7" s="12">
        <v>366.96600000000001</v>
      </c>
      <c r="L7" s="12">
        <v>544.375</v>
      </c>
      <c r="M7" s="12">
        <v>1056.4549999999999</v>
      </c>
      <c r="N7" s="12">
        <v>1552.066</v>
      </c>
      <c r="O7" s="12">
        <v>1784.242</v>
      </c>
      <c r="P7" s="12"/>
      <c r="Q7" s="12"/>
      <c r="R7" s="44">
        <v>2012.63</v>
      </c>
      <c r="S7" s="12">
        <v>2032.7809999999999</v>
      </c>
      <c r="T7" s="82">
        <v>0</v>
      </c>
      <c r="U7" s="12">
        <v>0</v>
      </c>
      <c r="V7" s="12">
        <v>712.35799999999995</v>
      </c>
      <c r="W7" s="32">
        <v>666.62800000000004</v>
      </c>
      <c r="X7" s="32">
        <v>733.41600000000005</v>
      </c>
      <c r="Y7" s="32">
        <v>10</v>
      </c>
      <c r="Z7" s="32">
        <v>0</v>
      </c>
      <c r="AA7" s="32">
        <v>1206.2829999999999</v>
      </c>
      <c r="AB7" s="32">
        <v>1123.559</v>
      </c>
      <c r="AC7" s="32">
        <v>1204</v>
      </c>
      <c r="AD7" s="12">
        <v>1277.347</v>
      </c>
      <c r="AE7" s="12">
        <v>1337.248</v>
      </c>
      <c r="AF7" s="12">
        <v>1894.623</v>
      </c>
      <c r="AG7" s="12">
        <v>1862.3710000000001</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0</v>
      </c>
      <c r="C8" s="12">
        <v>0</v>
      </c>
      <c r="D8" s="12">
        <v>0</v>
      </c>
      <c r="E8" s="12"/>
      <c r="F8" s="12"/>
      <c r="G8" s="12"/>
      <c r="H8" s="12"/>
      <c r="I8" s="12">
        <v>216.47900000000001</v>
      </c>
      <c r="J8" s="32">
        <v>145.048</v>
      </c>
      <c r="K8" s="12">
        <v>473.10500000000002</v>
      </c>
      <c r="L8" s="12">
        <v>2512.61</v>
      </c>
      <c r="M8" s="12">
        <v>4701.607</v>
      </c>
      <c r="N8" s="12">
        <v>2523.5650000000001</v>
      </c>
      <c r="O8" s="12">
        <v>3567.1170000000002</v>
      </c>
      <c r="P8" s="12"/>
      <c r="Q8" s="12"/>
      <c r="R8" s="63">
        <v>5377.9359999999997</v>
      </c>
      <c r="S8" s="12">
        <v>7515.598</v>
      </c>
      <c r="T8" s="82">
        <v>10661.236999999999</v>
      </c>
      <c r="U8" s="12">
        <v>12858.547</v>
      </c>
      <c r="V8" s="12">
        <v>15692.206</v>
      </c>
      <c r="W8" s="32">
        <v>16962.341</v>
      </c>
      <c r="X8" s="32">
        <v>18103.22</v>
      </c>
      <c r="Y8" s="32">
        <v>24579.244999999999</v>
      </c>
      <c r="Z8" s="32">
        <v>27250.108</v>
      </c>
      <c r="AA8" s="32">
        <v>22069.577000000001</v>
      </c>
      <c r="AB8" s="32">
        <v>25489.237000000001</v>
      </c>
      <c r="AC8" s="32">
        <v>24978</v>
      </c>
      <c r="AD8" s="12">
        <v>25472.441999999999</v>
      </c>
      <c r="AE8" s="12">
        <v>25204.850999999999</v>
      </c>
      <c r="AF8" s="12">
        <v>26624.236000000001</v>
      </c>
      <c r="AG8" s="12">
        <v>26981.147000000001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12378.86</v>
      </c>
      <c r="O9" s="12">
        <v>0</v>
      </c>
      <c r="P9" s="12"/>
      <c r="Q9" s="12"/>
      <c r="R9" s="63">
        <v>0</v>
      </c>
      <c r="S9" s="61">
        <v>0</v>
      </c>
      <c r="T9" s="83">
        <v>0</v>
      </c>
      <c r="U9" s="61">
        <v>0</v>
      </c>
      <c r="V9" s="61">
        <v>0</v>
      </c>
      <c r="W9" s="32">
        <v>0</v>
      </c>
      <c r="X9" s="32">
        <v>0</v>
      </c>
      <c r="Y9" s="32">
        <v>0</v>
      </c>
      <c r="Z9" s="32">
        <v>0</v>
      </c>
      <c r="AA9" s="32">
        <v>0</v>
      </c>
      <c r="AB9" s="32">
        <v>0</v>
      </c>
      <c r="AC9" s="32">
        <v>0</v>
      </c>
      <c r="AD9" s="12">
        <v>0</v>
      </c>
      <c r="AE9" s="12">
        <v>0</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162</v>
      </c>
      <c r="C10" s="12">
        <v>501</v>
      </c>
      <c r="D10" s="12">
        <v>4236</v>
      </c>
      <c r="E10" s="12"/>
      <c r="F10" s="12"/>
      <c r="G10" s="12"/>
      <c r="H10" s="12"/>
      <c r="I10" s="12">
        <v>1850.1010000000001</v>
      </c>
      <c r="J10" s="32">
        <v>6682.9359999999997</v>
      </c>
      <c r="K10" s="12">
        <v>4489.7209999999995</v>
      </c>
      <c r="L10" s="12">
        <v>4676.5919999999996</v>
      </c>
      <c r="M10" s="12">
        <v>3750.7089999999998</v>
      </c>
      <c r="N10" s="12">
        <v>115.771</v>
      </c>
      <c r="O10" s="12">
        <v>51.521000000000001</v>
      </c>
      <c r="P10" s="12"/>
      <c r="Q10" s="12"/>
      <c r="R10" s="63">
        <v>0</v>
      </c>
      <c r="S10" s="12">
        <v>28618.047999999999</v>
      </c>
      <c r="T10" s="82">
        <v>0</v>
      </c>
      <c r="U10" s="12">
        <v>0</v>
      </c>
      <c r="V10" s="12">
        <v>0</v>
      </c>
      <c r="W10" s="32">
        <v>0</v>
      </c>
      <c r="X10" s="32">
        <v>0</v>
      </c>
      <c r="Y10" s="32">
        <v>0</v>
      </c>
      <c r="Z10" s="32">
        <v>0</v>
      </c>
      <c r="AA10" s="32">
        <v>0</v>
      </c>
      <c r="AB10" s="32">
        <v>0</v>
      </c>
      <c r="AC10" s="32">
        <v>0</v>
      </c>
      <c r="AD10" s="12">
        <v>0</v>
      </c>
      <c r="AE10" s="12">
        <v>0</v>
      </c>
      <c r="AF10" s="12">
        <v>0</v>
      </c>
      <c r="AG10" s="12">
        <v>0</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4281</v>
      </c>
      <c r="C11" s="12">
        <v>4463</v>
      </c>
      <c r="D11" s="12">
        <v>5173</v>
      </c>
      <c r="E11" s="12"/>
      <c r="F11" s="12"/>
      <c r="G11" s="12"/>
      <c r="H11" s="12"/>
      <c r="I11" s="12">
        <v>16944.814999999999</v>
      </c>
      <c r="J11" s="32">
        <v>11329.58</v>
      </c>
      <c r="K11" s="12">
        <v>9868.8140000000003</v>
      </c>
      <c r="L11" s="12">
        <v>7831.9279999999999</v>
      </c>
      <c r="M11" s="12">
        <v>8845.7099999999991</v>
      </c>
      <c r="N11" s="12">
        <v>7190.5029999999997</v>
      </c>
      <c r="O11" s="12">
        <v>5251.8549999999996</v>
      </c>
      <c r="P11" s="12"/>
      <c r="Q11" s="12"/>
      <c r="R11" s="63">
        <v>5862.973</v>
      </c>
      <c r="S11" s="12">
        <v>7045.8490000000002</v>
      </c>
      <c r="T11" s="82">
        <v>15952.736999999999</v>
      </c>
      <c r="U11" s="12">
        <v>9518.2880000000005</v>
      </c>
      <c r="V11" s="12">
        <v>5541.2470000000003</v>
      </c>
      <c r="W11" s="32">
        <v>0</v>
      </c>
      <c r="X11" s="32">
        <v>0</v>
      </c>
      <c r="Y11" s="32">
        <v>0</v>
      </c>
      <c r="Z11" s="32">
        <v>437.197</v>
      </c>
      <c r="AA11" s="32">
        <v>0</v>
      </c>
      <c r="AB11" s="32">
        <v>0</v>
      </c>
      <c r="AC11" s="32">
        <v>23</v>
      </c>
      <c r="AD11" s="12">
        <v>44.213000000000001</v>
      </c>
      <c r="AE11" s="12">
        <v>68.528999999999996</v>
      </c>
      <c r="AF11" s="12">
        <v>0</v>
      </c>
      <c r="AG11" s="12">
        <v>0</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149</v>
      </c>
      <c r="C12" s="12">
        <v>147</v>
      </c>
      <c r="D12" s="12">
        <v>92</v>
      </c>
      <c r="E12" s="12"/>
      <c r="F12" s="12"/>
      <c r="G12" s="12"/>
      <c r="H12" s="12"/>
      <c r="I12" s="12">
        <v>0</v>
      </c>
      <c r="J12" s="32">
        <v>0</v>
      </c>
      <c r="K12" s="12">
        <v>76</v>
      </c>
      <c r="L12" s="12">
        <v>76</v>
      </c>
      <c r="M12" s="12">
        <v>0</v>
      </c>
      <c r="N12" s="12">
        <v>0</v>
      </c>
      <c r="O12" s="12">
        <v>0</v>
      </c>
      <c r="P12" s="12"/>
      <c r="Q12" s="12"/>
      <c r="R12" s="34">
        <v>0</v>
      </c>
      <c r="S12" s="12">
        <v>6969.3609999999999</v>
      </c>
      <c r="T12" s="82">
        <v>0</v>
      </c>
      <c r="U12" s="12">
        <v>0</v>
      </c>
      <c r="V12" s="12">
        <v>0</v>
      </c>
      <c r="W12" s="32">
        <v>37.5</v>
      </c>
      <c r="X12" s="32">
        <v>37</v>
      </c>
      <c r="Y12" s="32">
        <v>40</v>
      </c>
      <c r="Z12" s="32">
        <v>42.725000000000001</v>
      </c>
      <c r="AA12" s="32">
        <v>42.85</v>
      </c>
      <c r="AB12" s="32">
        <v>42.85</v>
      </c>
      <c r="AC12" s="32">
        <v>44</v>
      </c>
      <c r="AD12" s="12">
        <v>44.13</v>
      </c>
      <c r="AE12" s="12">
        <v>37.642000000000003</v>
      </c>
      <c r="AF12" s="12">
        <v>39.027999999999999</v>
      </c>
      <c r="AG12" s="12">
        <v>39.42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810</v>
      </c>
      <c r="C13" s="12">
        <v>797</v>
      </c>
      <c r="D13" s="12">
        <v>621</v>
      </c>
      <c r="E13" s="12"/>
      <c r="F13" s="12"/>
      <c r="G13" s="12"/>
      <c r="H13" s="12"/>
      <c r="I13" s="12">
        <v>1006.607</v>
      </c>
      <c r="J13" s="32">
        <v>0</v>
      </c>
      <c r="K13" s="12">
        <v>103.577</v>
      </c>
      <c r="L13" s="12">
        <v>2074.893</v>
      </c>
      <c r="M13" s="12">
        <v>2706.8319999999999</v>
      </c>
      <c r="N13" s="12">
        <v>7646.59</v>
      </c>
      <c r="O13" s="12">
        <v>3753.5934999999999</v>
      </c>
      <c r="P13" s="12"/>
      <c r="Q13" s="12"/>
      <c r="R13" s="34">
        <v>0</v>
      </c>
      <c r="S13" s="12">
        <v>0</v>
      </c>
      <c r="T13" s="82">
        <v>0</v>
      </c>
      <c r="U13" s="12">
        <v>0</v>
      </c>
      <c r="V13" s="12">
        <v>0</v>
      </c>
      <c r="W13" s="32">
        <v>0</v>
      </c>
      <c r="X13" s="32">
        <v>0</v>
      </c>
      <c r="Y13" s="32">
        <v>0</v>
      </c>
      <c r="Z13" s="32">
        <v>0</v>
      </c>
      <c r="AA13" s="32">
        <v>0</v>
      </c>
      <c r="AB13" s="32">
        <v>0</v>
      </c>
      <c r="AC13" s="32">
        <v>0</v>
      </c>
      <c r="AD13" s="12">
        <v>0</v>
      </c>
      <c r="AE13" s="12">
        <v>0</v>
      </c>
      <c r="AF13" s="12">
        <v>0</v>
      </c>
      <c r="AG13" s="12">
        <v>0</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60745</v>
      </c>
      <c r="C14" s="12">
        <v>68946</v>
      </c>
      <c r="D14" s="12">
        <v>76462</v>
      </c>
      <c r="E14" s="12"/>
      <c r="F14" s="12"/>
      <c r="G14" s="12"/>
      <c r="H14" s="12"/>
      <c r="I14" s="12">
        <v>117912.739</v>
      </c>
      <c r="J14" s="32">
        <v>86442.547999999995</v>
      </c>
      <c r="K14" s="12">
        <v>111636.743</v>
      </c>
      <c r="L14" s="12">
        <v>121434.96</v>
      </c>
      <c r="M14" s="12">
        <v>97789.055999999997</v>
      </c>
      <c r="N14" s="12">
        <v>136661.24400000001</v>
      </c>
      <c r="O14" s="12">
        <v>138775.08499999999</v>
      </c>
      <c r="P14" s="12"/>
      <c r="Q14" s="12"/>
      <c r="R14" s="34">
        <v>174853.52100000001</v>
      </c>
      <c r="S14" s="12">
        <v>185033.85500000001</v>
      </c>
      <c r="T14" s="82">
        <v>173475.16399999999</v>
      </c>
      <c r="U14" s="12">
        <v>194127.03200000001</v>
      </c>
      <c r="V14" s="12">
        <v>216456.45199999999</v>
      </c>
      <c r="W14" s="32">
        <v>233261.67600000001</v>
      </c>
      <c r="X14" s="32">
        <v>253485.60800000001</v>
      </c>
      <c r="Y14" s="32">
        <v>283633.75199999998</v>
      </c>
      <c r="Z14" s="32">
        <v>311559.527</v>
      </c>
      <c r="AA14" s="32">
        <v>331230.62599999999</v>
      </c>
      <c r="AB14" s="32">
        <v>328703.98499999999</v>
      </c>
      <c r="AC14" s="32">
        <v>319337</v>
      </c>
      <c r="AD14" s="12">
        <v>310463.21600000001</v>
      </c>
      <c r="AE14" s="12">
        <v>318137.59899999999</v>
      </c>
      <c r="AF14" s="12">
        <v>329688.86200000002</v>
      </c>
      <c r="AG14" s="12">
        <v>355706.02799999999</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16211</v>
      </c>
      <c r="C15" s="12">
        <v>17061</v>
      </c>
      <c r="D15" s="12">
        <v>17041</v>
      </c>
      <c r="E15" s="12"/>
      <c r="F15" s="12"/>
      <c r="G15" s="12"/>
      <c r="H15" s="12"/>
      <c r="I15" s="12">
        <v>22375.404999999999</v>
      </c>
      <c r="J15" s="32">
        <v>23986.058000000001</v>
      </c>
      <c r="K15" s="12">
        <v>25237.9</v>
      </c>
      <c r="L15" s="12">
        <v>26003.370999999999</v>
      </c>
      <c r="M15" s="12">
        <v>27791.39</v>
      </c>
      <c r="N15" s="12">
        <v>29106.203000000001</v>
      </c>
      <c r="O15" s="12">
        <v>30349.673999999999</v>
      </c>
      <c r="P15" s="12"/>
      <c r="Q15" s="12"/>
      <c r="R15" s="34">
        <v>34961.767</v>
      </c>
      <c r="S15" s="12">
        <v>35145.724000000002</v>
      </c>
      <c r="T15" s="82">
        <v>39450.324000000001</v>
      </c>
      <c r="U15" s="12">
        <v>52968.478999999999</v>
      </c>
      <c r="V15" s="12">
        <v>55810.946000000004</v>
      </c>
      <c r="W15" s="32">
        <v>57257.692000000003</v>
      </c>
      <c r="X15" s="32">
        <v>57538.5</v>
      </c>
      <c r="Y15" s="32">
        <v>58165.682000000001</v>
      </c>
      <c r="Z15" s="32">
        <v>43608.385999999999</v>
      </c>
      <c r="AA15" s="32">
        <v>55670.074000000001</v>
      </c>
      <c r="AB15" s="32">
        <v>57730.216</v>
      </c>
      <c r="AC15" s="32">
        <v>58179</v>
      </c>
      <c r="AD15" s="12">
        <v>59716.232000000004</v>
      </c>
      <c r="AE15" s="12">
        <v>63052.987000000001</v>
      </c>
      <c r="AF15" s="12">
        <v>64211.673999999999</v>
      </c>
      <c r="AG15" s="12">
        <v>65090.785000000003</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33451</v>
      </c>
      <c r="C16" s="20">
        <v>36855</v>
      </c>
      <c r="D16" s="20">
        <v>39577</v>
      </c>
      <c r="E16" s="20"/>
      <c r="F16" s="20"/>
      <c r="G16" s="20"/>
      <c r="H16" s="20"/>
      <c r="I16" s="20">
        <v>62784.838000000003</v>
      </c>
      <c r="J16" s="33">
        <v>66425.36</v>
      </c>
      <c r="K16" s="20">
        <v>73868.070000000007</v>
      </c>
      <c r="L16" s="20">
        <v>73798.554000000004</v>
      </c>
      <c r="M16" s="20">
        <v>77742.909</v>
      </c>
      <c r="N16" s="20">
        <v>79489.664000000004</v>
      </c>
      <c r="O16" s="20">
        <v>85489.541259999998</v>
      </c>
      <c r="P16" s="20"/>
      <c r="Q16" s="20"/>
      <c r="R16" s="66">
        <v>106933.386</v>
      </c>
      <c r="S16" s="20">
        <v>113447.99</v>
      </c>
      <c r="T16" s="20">
        <v>118798.538</v>
      </c>
      <c r="U16" s="20">
        <v>121914.44100000001</v>
      </c>
      <c r="V16" s="20">
        <v>130036.98299999999</v>
      </c>
      <c r="W16" s="33">
        <v>142293.92499999999</v>
      </c>
      <c r="X16" s="33">
        <v>156170.91399999999</v>
      </c>
      <c r="Y16" s="33">
        <v>170546.91500000001</v>
      </c>
      <c r="Z16" s="33">
        <v>185256.946</v>
      </c>
      <c r="AA16" s="33">
        <v>196114.31599999999</v>
      </c>
      <c r="AB16" s="33">
        <v>194949.065</v>
      </c>
      <c r="AC16" s="33">
        <v>196168</v>
      </c>
      <c r="AD16" s="20">
        <v>200979.897</v>
      </c>
      <c r="AE16" s="20">
        <v>206763.141</v>
      </c>
      <c r="AF16" s="20">
        <v>217479.856</v>
      </c>
      <c r="AG16" s="20">
        <v>229527.08900000001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3402</v>
      </c>
      <c r="C17" s="20">
        <v>5524</v>
      </c>
      <c r="D17" s="20">
        <v>8948</v>
      </c>
      <c r="E17" s="20"/>
      <c r="F17" s="20"/>
      <c r="G17" s="20"/>
      <c r="H17" s="20"/>
      <c r="I17" s="20">
        <v>12821.857</v>
      </c>
      <c r="J17" s="33">
        <v>13524.073</v>
      </c>
      <c r="K17" s="20">
        <v>13970.608</v>
      </c>
      <c r="L17" s="20">
        <v>14771.242</v>
      </c>
      <c r="M17" s="20">
        <v>16373.995000000001</v>
      </c>
      <c r="N17" s="20">
        <v>18578</v>
      </c>
      <c r="O17" s="20">
        <v>18571.666000000001</v>
      </c>
      <c r="P17" s="20"/>
      <c r="Q17" s="20"/>
      <c r="R17" s="66">
        <v>21942.473999999998</v>
      </c>
      <c r="S17" s="20">
        <v>96999.585999999996</v>
      </c>
      <c r="T17" s="20">
        <v>35401.694000000003</v>
      </c>
      <c r="U17" s="20">
        <v>36909.184000000001</v>
      </c>
      <c r="V17" s="20">
        <v>38114.421000000002</v>
      </c>
      <c r="W17" s="33">
        <v>35850.881000000001</v>
      </c>
      <c r="X17" s="33">
        <v>38080.938999999998</v>
      </c>
      <c r="Y17" s="33">
        <v>41404.911</v>
      </c>
      <c r="Z17" s="33">
        <v>44625.760999999999</v>
      </c>
      <c r="AA17" s="33">
        <v>44518</v>
      </c>
      <c r="AB17" s="33">
        <v>48196.733999999997</v>
      </c>
      <c r="AC17" s="33">
        <v>49488</v>
      </c>
      <c r="AD17" s="20">
        <v>50287.86</v>
      </c>
      <c r="AE17" s="20">
        <v>53708.855000000003</v>
      </c>
      <c r="AF17" s="20">
        <v>54484.402000000002</v>
      </c>
      <c r="AG17" s="20">
        <v>57759.271999999997</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9034</v>
      </c>
      <c r="C18" s="20">
        <v>10288</v>
      </c>
      <c r="D18" s="20">
        <v>10980</v>
      </c>
      <c r="E18" s="20"/>
      <c r="F18" s="20"/>
      <c r="G18" s="20"/>
      <c r="H18" s="20"/>
      <c r="I18" s="20">
        <v>18669.647000000001</v>
      </c>
      <c r="J18" s="33">
        <v>19975.723999999998</v>
      </c>
      <c r="K18" s="20">
        <v>20919.785</v>
      </c>
      <c r="L18" s="20">
        <v>21972.346000000001</v>
      </c>
      <c r="M18" s="20">
        <v>23315.361000000001</v>
      </c>
      <c r="N18" s="20">
        <v>25736.965</v>
      </c>
      <c r="O18" s="20">
        <v>26823.088</v>
      </c>
      <c r="P18" s="20"/>
      <c r="Q18" s="20"/>
      <c r="R18" s="66">
        <v>32693.306</v>
      </c>
      <c r="S18" s="20">
        <v>36060.332000000002</v>
      </c>
      <c r="T18" s="20">
        <v>42014.372000000003</v>
      </c>
      <c r="U18" s="20">
        <v>42156.156000000003</v>
      </c>
      <c r="V18" s="20">
        <v>43349.449000000001</v>
      </c>
      <c r="W18" s="33">
        <v>45934.281000000003</v>
      </c>
      <c r="X18" s="33">
        <v>50253.569000000003</v>
      </c>
      <c r="Y18" s="33">
        <v>52743.142</v>
      </c>
      <c r="Z18" s="33">
        <v>55962.514000000003</v>
      </c>
      <c r="AA18" s="33">
        <v>59726.923999999999</v>
      </c>
      <c r="AB18" s="33">
        <v>60984.748</v>
      </c>
      <c r="AC18" s="33">
        <v>62561</v>
      </c>
      <c r="AD18" s="20">
        <v>61813.258999999998</v>
      </c>
      <c r="AE18" s="20">
        <v>61922.561999999998</v>
      </c>
      <c r="AF18" s="20">
        <v>63981.228999999999</v>
      </c>
      <c r="AG18" s="20">
        <v>65139.796999999999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408</v>
      </c>
      <c r="C19" s="20">
        <v>264</v>
      </c>
      <c r="D19" s="20">
        <v>0</v>
      </c>
      <c r="E19" s="20"/>
      <c r="F19" s="20"/>
      <c r="G19" s="20"/>
      <c r="H19" s="20"/>
      <c r="I19" s="20">
        <v>0</v>
      </c>
      <c r="J19" s="33">
        <v>0</v>
      </c>
      <c r="K19" s="20">
        <v>0</v>
      </c>
      <c r="L19" s="20">
        <v>0</v>
      </c>
      <c r="M19" s="20">
        <v>0</v>
      </c>
      <c r="N19" s="20">
        <v>0</v>
      </c>
      <c r="O19" s="20">
        <v>10.199</v>
      </c>
      <c r="P19" s="20"/>
      <c r="Q19" s="20"/>
      <c r="R19" s="90">
        <v>0</v>
      </c>
      <c r="S19" s="20">
        <v>0</v>
      </c>
      <c r="T19" s="20">
        <v>0</v>
      </c>
      <c r="U19" s="20">
        <v>0</v>
      </c>
      <c r="V19" s="20">
        <v>0</v>
      </c>
      <c r="W19" s="33">
        <v>0</v>
      </c>
      <c r="X19" s="33">
        <v>0</v>
      </c>
      <c r="Y19" s="33">
        <v>0</v>
      </c>
      <c r="Z19" s="33">
        <v>0</v>
      </c>
      <c r="AA19" s="33">
        <v>0</v>
      </c>
      <c r="AB19" s="33">
        <v>0</v>
      </c>
      <c r="AC19" s="33">
        <v>0</v>
      </c>
      <c r="AD19" s="20">
        <v>0</v>
      </c>
      <c r="AE19" s="20">
        <v>0</v>
      </c>
      <c r="AF19" s="20">
        <v>0</v>
      </c>
      <c r="AG19" s="20">
        <v>0</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85876</v>
      </c>
      <c r="C20" s="20">
        <v>112337</v>
      </c>
      <c r="D20" s="20">
        <v>126120</v>
      </c>
      <c r="E20" s="20"/>
      <c r="F20" s="20"/>
      <c r="G20" s="20"/>
      <c r="H20" s="20"/>
      <c r="I20" s="20">
        <v>210906.818</v>
      </c>
      <c r="J20" s="33">
        <v>209508.649</v>
      </c>
      <c r="K20" s="20">
        <v>233781.47899999999</v>
      </c>
      <c r="L20" s="20">
        <v>249579.158</v>
      </c>
      <c r="M20" s="20">
        <v>214377.75200000001</v>
      </c>
      <c r="N20" s="20">
        <v>280140.65000000002</v>
      </c>
      <c r="O20" s="20">
        <v>301995.77100000001</v>
      </c>
      <c r="P20" s="20"/>
      <c r="Q20" s="20"/>
      <c r="R20" s="66">
        <v>319042.97200000001</v>
      </c>
      <c r="S20" s="20">
        <v>374883.76899999997</v>
      </c>
      <c r="T20" s="20">
        <v>479068.47</v>
      </c>
      <c r="U20" s="20">
        <v>647994.94499999995</v>
      </c>
      <c r="V20" s="20">
        <v>692884.56200000003</v>
      </c>
      <c r="W20" s="33">
        <v>734536.63800000004</v>
      </c>
      <c r="X20" s="33">
        <v>819827.424</v>
      </c>
      <c r="Y20" s="33">
        <v>904256.05500000005</v>
      </c>
      <c r="Z20" s="33">
        <v>1003554.877</v>
      </c>
      <c r="AA20" s="33">
        <v>1209008.426</v>
      </c>
      <c r="AB20" s="33">
        <v>1264941.459</v>
      </c>
      <c r="AC20" s="33">
        <v>1311860</v>
      </c>
      <c r="AD20" s="20">
        <v>1376332.6470000001</v>
      </c>
      <c r="AE20" s="20">
        <v>1427979.287</v>
      </c>
      <c r="AF20" s="20">
        <v>1539840.3459999999</v>
      </c>
      <c r="AG20" s="20">
        <v>1663357.047</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0</v>
      </c>
      <c r="C21" s="20">
        <v>923</v>
      </c>
      <c r="D21" s="20">
        <v>585</v>
      </c>
      <c r="E21" s="20"/>
      <c r="F21" s="20"/>
      <c r="G21" s="20"/>
      <c r="H21" s="20"/>
      <c r="I21" s="20">
        <v>972.54300000000001</v>
      </c>
      <c r="J21" s="33">
        <v>909.471</v>
      </c>
      <c r="K21" s="20">
        <v>926.79899999999998</v>
      </c>
      <c r="L21" s="20">
        <v>997.82299999999998</v>
      </c>
      <c r="M21" s="20">
        <v>1972.22</v>
      </c>
      <c r="N21" s="20">
        <v>1281.8920000000001</v>
      </c>
      <c r="O21" s="20">
        <v>2110.4870000000001</v>
      </c>
      <c r="P21" s="20"/>
      <c r="Q21" s="20"/>
      <c r="R21" s="66">
        <v>1492.3209999999999</v>
      </c>
      <c r="S21" s="20">
        <v>1569.7550000000001</v>
      </c>
      <c r="T21" s="20">
        <v>1859.1790000000001</v>
      </c>
      <c r="U21" s="20">
        <v>1806.9749999999999</v>
      </c>
      <c r="V21" s="20">
        <v>1871.85</v>
      </c>
      <c r="W21" s="33">
        <v>2062.0520000000001</v>
      </c>
      <c r="X21" s="33">
        <v>1934.05</v>
      </c>
      <c r="Y21" s="33">
        <v>2261.11</v>
      </c>
      <c r="Z21" s="33">
        <v>2026.46</v>
      </c>
      <c r="AA21" s="33">
        <v>1834.4369999999999</v>
      </c>
      <c r="AB21" s="33">
        <v>2288.8069999999998</v>
      </c>
      <c r="AC21" s="33">
        <v>2213</v>
      </c>
      <c r="AD21" s="20">
        <v>2139.7930000000001</v>
      </c>
      <c r="AE21" s="20">
        <v>2190.3330000000001</v>
      </c>
      <c r="AF21" s="20">
        <v>2520.8939999999998</v>
      </c>
      <c r="AG21" s="20">
        <v>2276.33</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v>0</v>
      </c>
      <c r="E22" s="51"/>
      <c r="F22" s="51"/>
      <c r="G22" s="51"/>
      <c r="H22" s="51"/>
      <c r="I22" s="51">
        <v>0</v>
      </c>
      <c r="J22" s="50">
        <v>0</v>
      </c>
      <c r="K22" s="51"/>
      <c r="L22" s="51">
        <v>0</v>
      </c>
      <c r="M22" s="51">
        <v>0</v>
      </c>
      <c r="N22" s="51">
        <v>65.191999999999993</v>
      </c>
      <c r="O22" s="51">
        <v>65.074660000000009</v>
      </c>
      <c r="P22" s="51"/>
      <c r="Q22" s="51"/>
      <c r="R22" s="51">
        <v>0</v>
      </c>
      <c r="S22" s="51">
        <v>726.10599999999999</v>
      </c>
      <c r="T22" s="51">
        <v>0</v>
      </c>
      <c r="U22" s="51">
        <v>0</v>
      </c>
      <c r="V22" s="51">
        <v>310.09399999999999</v>
      </c>
      <c r="W22" s="50">
        <v>213.29599999999999</v>
      </c>
      <c r="X22" s="50">
        <v>263.13299999999998</v>
      </c>
      <c r="Y22" s="50">
        <v>273.18099999999998</v>
      </c>
      <c r="Z22" s="50">
        <v>196.58799999999999</v>
      </c>
      <c r="AA22" s="50">
        <v>0</v>
      </c>
      <c r="AB22" s="50">
        <v>450.77100000000002</v>
      </c>
      <c r="AC22" s="50">
        <v>316</v>
      </c>
      <c r="AD22" s="51">
        <v>874.32600000000002</v>
      </c>
      <c r="AE22" s="51">
        <v>719.14599999999996</v>
      </c>
      <c r="AF22" s="51">
        <v>0</v>
      </c>
      <c r="AG22" s="51">
        <v>0</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1132516.3429999999</v>
      </c>
      <c r="K23" s="104">
        <f t="shared" si="8"/>
        <v>0</v>
      </c>
      <c r="L23" s="104">
        <f t="shared" si="8"/>
        <v>0</v>
      </c>
      <c r="M23" s="104">
        <f t="shared" si="8"/>
        <v>1500700.0330000001</v>
      </c>
      <c r="N23" s="104">
        <f t="shared" si="8"/>
        <v>0</v>
      </c>
      <c r="O23" s="104">
        <f t="shared" si="8"/>
        <v>1789376.1157500001</v>
      </c>
      <c r="P23" s="104">
        <f t="shared" si="8"/>
        <v>0</v>
      </c>
      <c r="Q23" s="104">
        <f t="shared" si="8"/>
        <v>0</v>
      </c>
      <c r="R23" s="104">
        <f t="shared" si="8"/>
        <v>1556476.7390000001</v>
      </c>
      <c r="S23" s="104">
        <f t="shared" si="8"/>
        <v>1598486.1189999999</v>
      </c>
      <c r="T23" s="104">
        <f t="shared" si="8"/>
        <v>1856506.5619999997</v>
      </c>
      <c r="U23" s="104">
        <f t="shared" si="8"/>
        <v>1963220.3530000004</v>
      </c>
      <c r="V23" s="104">
        <f t="shared" si="8"/>
        <v>2184138.6720000003</v>
      </c>
      <c r="W23" s="104">
        <f t="shared" si="8"/>
        <v>2610224.9619999994</v>
      </c>
      <c r="X23" s="104">
        <f t="shared" si="8"/>
        <v>2801338.2529999996</v>
      </c>
      <c r="Y23" s="104">
        <f t="shared" si="8"/>
        <v>2996124.0620000004</v>
      </c>
      <c r="Z23" s="104">
        <f t="shared" si="8"/>
        <v>3160310.7029999997</v>
      </c>
      <c r="AA23" s="104">
        <f t="shared" si="8"/>
        <v>3302403.284</v>
      </c>
      <c r="AB23" s="104">
        <f t="shared" si="8"/>
        <v>3325892.213</v>
      </c>
      <c r="AC23" s="104">
        <f t="shared" si="8"/>
        <v>3345443</v>
      </c>
      <c r="AD23" s="104">
        <f t="shared" si="8"/>
        <v>3406237.8850000002</v>
      </c>
      <c r="AE23" s="104">
        <f t="shared" si="8"/>
        <v>3693738.5100000002</v>
      </c>
      <c r="AF23" s="104">
        <f t="shared" si="8"/>
        <v>2428744.2660000003</v>
      </c>
      <c r="AG23" s="104">
        <f t="shared" si="8"/>
        <v>2520016.9510000004</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523.20100000000002</v>
      </c>
      <c r="K25" s="20"/>
      <c r="L25" s="20"/>
      <c r="M25" s="20">
        <v>679</v>
      </c>
      <c r="N25" s="20"/>
      <c r="O25" s="20">
        <v>647.23099999999999</v>
      </c>
      <c r="P25" s="20"/>
      <c r="Q25" s="20"/>
      <c r="R25" s="66">
        <v>10520.531000000001</v>
      </c>
      <c r="S25" s="20">
        <v>654.73099999999999</v>
      </c>
      <c r="T25" s="20">
        <v>9691.6309999999994</v>
      </c>
      <c r="U25" s="20">
        <v>5800</v>
      </c>
      <c r="V25" s="20">
        <v>5800</v>
      </c>
      <c r="W25" s="33">
        <v>0</v>
      </c>
      <c r="X25" s="33">
        <v>0</v>
      </c>
      <c r="Y25" s="33">
        <v>0</v>
      </c>
      <c r="Z25" s="33">
        <v>6954.94</v>
      </c>
      <c r="AA25" s="33">
        <v>8004.91</v>
      </c>
      <c r="AB25" s="33">
        <v>8993.1290000000008</v>
      </c>
      <c r="AC25" s="33">
        <v>0</v>
      </c>
      <c r="AD25" s="20">
        <v>10031.393</v>
      </c>
      <c r="AE25" s="20">
        <v>10031.393</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159548.68100000001</v>
      </c>
      <c r="K26" s="20"/>
      <c r="L26" s="20"/>
      <c r="M26" s="20">
        <v>184076.821</v>
      </c>
      <c r="N26" s="20"/>
      <c r="O26" s="20">
        <v>236757.61838</v>
      </c>
      <c r="P26" s="20"/>
      <c r="Q26" s="20"/>
      <c r="R26" s="66">
        <v>262503.90399999998</v>
      </c>
      <c r="S26" s="20">
        <v>286815.14</v>
      </c>
      <c r="T26" s="20">
        <v>371644.38699999999</v>
      </c>
      <c r="U26" s="20">
        <v>394423.67200000002</v>
      </c>
      <c r="V26" s="20">
        <v>431020.065</v>
      </c>
      <c r="W26" s="33">
        <v>454624.26799999998</v>
      </c>
      <c r="X26" s="33">
        <v>513745.89199999999</v>
      </c>
      <c r="Y26" s="33">
        <v>569653.17099999997</v>
      </c>
      <c r="Z26" s="33">
        <v>611403.67799999996</v>
      </c>
      <c r="AA26" s="33">
        <v>651433.51100000006</v>
      </c>
      <c r="AB26" s="33">
        <v>652479.13</v>
      </c>
      <c r="AC26" s="33">
        <v>668688</v>
      </c>
      <c r="AD26" s="20">
        <v>664182.44200000004</v>
      </c>
      <c r="AE26" s="20">
        <v>667846.64899999998</v>
      </c>
      <c r="AF26" s="20">
        <v>166162.34299999999</v>
      </c>
      <c r="AG26" s="20">
        <v>173081.522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774185.08100000001</v>
      </c>
      <c r="K27" s="20"/>
      <c r="L27" s="20"/>
      <c r="M27" s="20">
        <v>1130134.7790000001</v>
      </c>
      <c r="N27" s="20"/>
      <c r="O27" s="20">
        <v>1365003.872</v>
      </c>
      <c r="P27" s="20"/>
      <c r="Q27" s="20"/>
      <c r="R27" s="66">
        <v>1073000</v>
      </c>
      <c r="S27" s="20">
        <v>1082111.1470000001</v>
      </c>
      <c r="T27" s="20">
        <v>1216736.683</v>
      </c>
      <c r="U27" s="20">
        <v>1279348.8540000001</v>
      </c>
      <c r="V27" s="20">
        <v>1463729.9280000001</v>
      </c>
      <c r="W27" s="33">
        <v>1843142.416</v>
      </c>
      <c r="X27" s="33">
        <v>1938019.6189999999</v>
      </c>
      <c r="Y27" s="33">
        <v>2057716.6610000001</v>
      </c>
      <c r="Z27" s="33">
        <v>2139912.7250000001</v>
      </c>
      <c r="AA27" s="33">
        <v>2221083.6490000002</v>
      </c>
      <c r="AB27" s="33">
        <v>2180721.9029999999</v>
      </c>
      <c r="AC27" s="33">
        <v>2213318</v>
      </c>
      <c r="AD27" s="20">
        <v>2249116.6639999999</v>
      </c>
      <c r="AE27" s="20">
        <v>2508453.52</v>
      </c>
      <c r="AF27" s="20">
        <v>1851125.0859999999</v>
      </c>
      <c r="AG27" s="20">
        <v>1907391.757</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21879.112000000001</v>
      </c>
      <c r="K28" s="20"/>
      <c r="L28" s="20"/>
      <c r="M28" s="20">
        <v>27548.572</v>
      </c>
      <c r="N28" s="20"/>
      <c r="O28" s="20">
        <v>29260.539000000001</v>
      </c>
      <c r="P28" s="20"/>
      <c r="Q28" s="20"/>
      <c r="R28" s="66">
        <v>26794.026999999998</v>
      </c>
      <c r="S28" s="20">
        <v>36839.603000000003</v>
      </c>
      <c r="T28" s="20">
        <v>40049.572</v>
      </c>
      <c r="U28" s="20">
        <v>42503.188000000002</v>
      </c>
      <c r="V28" s="20">
        <v>42051.51</v>
      </c>
      <c r="W28" s="33">
        <v>46672.546999999999</v>
      </c>
      <c r="X28" s="33">
        <v>54422.358999999997</v>
      </c>
      <c r="Y28" s="33">
        <v>61729.561000000002</v>
      </c>
      <c r="Z28" s="33">
        <v>73246.917000000001</v>
      </c>
      <c r="AA28" s="33">
        <v>74301.494999999995</v>
      </c>
      <c r="AB28" s="33">
        <v>96324.153000000006</v>
      </c>
      <c r="AC28" s="33">
        <v>82141</v>
      </c>
      <c r="AD28" s="20">
        <v>78374.201000000001</v>
      </c>
      <c r="AE28" s="20">
        <v>84923.441000000006</v>
      </c>
      <c r="AF28" s="20">
        <v>42938.218000000001</v>
      </c>
      <c r="AG28" s="20">
        <v>44333.01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0</v>
      </c>
      <c r="K29" s="20"/>
      <c r="L29" s="20"/>
      <c r="M29" s="20">
        <v>0</v>
      </c>
      <c r="N29" s="20"/>
      <c r="O29" s="20">
        <v>0</v>
      </c>
      <c r="P29" s="20"/>
      <c r="Q29" s="20"/>
      <c r="R29" s="66">
        <v>0</v>
      </c>
      <c r="S29" s="20">
        <v>0</v>
      </c>
      <c r="T29" s="20">
        <v>0</v>
      </c>
      <c r="U29" s="20">
        <v>0</v>
      </c>
      <c r="V29" s="20">
        <v>0</v>
      </c>
      <c r="W29" s="33">
        <v>0</v>
      </c>
      <c r="X29" s="33">
        <v>0</v>
      </c>
      <c r="Y29" s="33">
        <v>0</v>
      </c>
      <c r="Z29" s="33">
        <v>0</v>
      </c>
      <c r="AA29" s="33">
        <v>0</v>
      </c>
      <c r="AB29" s="33">
        <v>0</v>
      </c>
      <c r="AC29" s="33">
        <v>0</v>
      </c>
      <c r="AD29" s="20">
        <v>0</v>
      </c>
      <c r="AE29" s="20">
        <v>0</v>
      </c>
      <c r="AF29" s="20">
        <v>0</v>
      </c>
      <c r="AG29" s="20">
        <v>0</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7270.6949999999997</v>
      </c>
      <c r="K30" s="20"/>
      <c r="L30" s="20"/>
      <c r="M30" s="20">
        <v>10101.796</v>
      </c>
      <c r="N30" s="20"/>
      <c r="O30" s="20">
        <v>10519.868</v>
      </c>
      <c r="P30" s="20"/>
      <c r="Q30" s="20"/>
      <c r="R30" s="66">
        <v>10615.061</v>
      </c>
      <c r="S30" s="20">
        <v>11148.427</v>
      </c>
      <c r="T30" s="20">
        <v>8555.9639999999999</v>
      </c>
      <c r="U30" s="20">
        <v>5339.9549999999999</v>
      </c>
      <c r="V30" s="20">
        <v>5634.9639999999999</v>
      </c>
      <c r="W30" s="33">
        <v>6050.1580000000004</v>
      </c>
      <c r="X30" s="33">
        <v>7633.2669999999998</v>
      </c>
      <c r="Y30" s="33">
        <v>8197.56</v>
      </c>
      <c r="Z30" s="33">
        <v>9076.1239999999998</v>
      </c>
      <c r="AA30" s="33">
        <v>12187.547</v>
      </c>
      <c r="AB30" s="33">
        <v>12900.300999999999</v>
      </c>
      <c r="AC30" s="33">
        <v>13398</v>
      </c>
      <c r="AD30" s="20">
        <v>20558.592000000001</v>
      </c>
      <c r="AE30" s="20">
        <v>26482.778999999999</v>
      </c>
      <c r="AF30" s="20">
        <v>27176.379000000001</v>
      </c>
      <c r="AG30" s="20">
        <v>28006.400000000001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2851.58</v>
      </c>
      <c r="K31" s="20"/>
      <c r="L31" s="20"/>
      <c r="M31" s="20">
        <v>4103.9970000000003</v>
      </c>
      <c r="N31" s="20"/>
      <c r="O31" s="20">
        <v>3550.17121</v>
      </c>
      <c r="P31" s="20"/>
      <c r="Q31" s="20"/>
      <c r="R31" s="90">
        <v>3868.0059999999999</v>
      </c>
      <c r="S31" s="20">
        <v>4069.3110000000001</v>
      </c>
      <c r="T31" s="20">
        <v>4296.9399999999996</v>
      </c>
      <c r="U31" s="20">
        <v>4684.933</v>
      </c>
      <c r="V31" s="20">
        <v>5403.9620000000004</v>
      </c>
      <c r="W31" s="33">
        <v>5424.1080000000002</v>
      </c>
      <c r="X31" s="33">
        <v>6282.5050000000001</v>
      </c>
      <c r="Y31" s="33">
        <v>6780.69</v>
      </c>
      <c r="Z31" s="33">
        <v>6966.4070000000002</v>
      </c>
      <c r="AA31" s="33">
        <v>8016.5290000000005</v>
      </c>
      <c r="AB31" s="33">
        <v>8104.9250000000002</v>
      </c>
      <c r="AC31" s="33">
        <v>8151</v>
      </c>
      <c r="AD31" s="20">
        <v>8403.9670000000006</v>
      </c>
      <c r="AE31" s="20">
        <v>8621.7340000000004</v>
      </c>
      <c r="AF31" s="20">
        <v>9066.2929999999997</v>
      </c>
      <c r="AG31" s="20">
        <v>9747.8019999999997</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0</v>
      </c>
      <c r="K32" s="20"/>
      <c r="L32" s="20"/>
      <c r="M32" s="20">
        <v>0</v>
      </c>
      <c r="N32" s="20"/>
      <c r="O32" s="20">
        <v>0</v>
      </c>
      <c r="P32" s="20"/>
      <c r="Q32" s="20"/>
      <c r="R32" s="92">
        <v>0</v>
      </c>
      <c r="S32" s="20">
        <v>0</v>
      </c>
      <c r="T32" s="20">
        <v>3451</v>
      </c>
      <c r="U32" s="20">
        <v>3311</v>
      </c>
      <c r="V32" s="20">
        <v>0</v>
      </c>
      <c r="W32" s="33">
        <v>0</v>
      </c>
      <c r="X32" s="33">
        <v>0</v>
      </c>
      <c r="Y32" s="33">
        <v>0</v>
      </c>
      <c r="Z32" s="33">
        <v>0</v>
      </c>
      <c r="AA32" s="33">
        <v>0</v>
      </c>
      <c r="AB32" s="33">
        <v>0</v>
      </c>
      <c r="AC32" s="33">
        <v>0</v>
      </c>
      <c r="AD32" s="20">
        <v>0</v>
      </c>
      <c r="AE32" s="20">
        <v>0</v>
      </c>
      <c r="AF32" s="20">
        <v>0</v>
      </c>
      <c r="AG32" s="20">
        <v>0</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34012.108999999997</v>
      </c>
      <c r="K33" s="20"/>
      <c r="L33" s="20"/>
      <c r="M33" s="20">
        <v>38219.330999999998</v>
      </c>
      <c r="N33" s="20"/>
      <c r="O33" s="20">
        <v>42603.313179999997</v>
      </c>
      <c r="P33" s="20"/>
      <c r="Q33" s="20"/>
      <c r="R33" s="92">
        <v>52321.601999999999</v>
      </c>
      <c r="S33" s="20">
        <v>57611.23</v>
      </c>
      <c r="T33" s="20">
        <v>61789.315999999999</v>
      </c>
      <c r="U33" s="20">
        <v>72584.191000000006</v>
      </c>
      <c r="V33" s="20">
        <v>75041.384000000005</v>
      </c>
      <c r="W33" s="33">
        <v>82915.805999999997</v>
      </c>
      <c r="X33" s="33">
        <v>92644.305999999997</v>
      </c>
      <c r="Y33" s="33">
        <v>92000.222999999998</v>
      </c>
      <c r="Z33" s="33">
        <v>108044.659</v>
      </c>
      <c r="AA33" s="33">
        <v>113956.13499999999</v>
      </c>
      <c r="AB33" s="33">
        <v>119339.58500000001</v>
      </c>
      <c r="AC33" s="33">
        <v>120930</v>
      </c>
      <c r="AD33" s="20">
        <v>126889.52099999999</v>
      </c>
      <c r="AE33" s="20">
        <v>126528.07</v>
      </c>
      <c r="AF33" s="20">
        <v>70040.778999999995</v>
      </c>
      <c r="AG33" s="20">
        <v>82522.582999999999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115072.508</v>
      </c>
      <c r="K34" s="20"/>
      <c r="L34" s="20"/>
      <c r="M34" s="20">
        <v>91831.161999999997</v>
      </c>
      <c r="N34" s="20"/>
      <c r="O34" s="20">
        <v>86921.056280000004</v>
      </c>
      <c r="P34" s="20"/>
      <c r="Q34" s="20"/>
      <c r="R34" s="66">
        <v>97391.934999999998</v>
      </c>
      <c r="S34" s="20">
        <v>98711.917000000001</v>
      </c>
      <c r="T34" s="20">
        <v>115749.254</v>
      </c>
      <c r="U34" s="20">
        <v>127643.01700000001</v>
      </c>
      <c r="V34" s="20">
        <v>133204.014</v>
      </c>
      <c r="W34" s="33">
        <v>143990.04999999999</v>
      </c>
      <c r="X34" s="33">
        <v>156028.726</v>
      </c>
      <c r="Y34" s="33">
        <v>162135.821</v>
      </c>
      <c r="Z34" s="33">
        <v>166078.30900000001</v>
      </c>
      <c r="AA34" s="33">
        <v>175490.158</v>
      </c>
      <c r="AB34" s="33">
        <v>197312.97</v>
      </c>
      <c r="AC34" s="33">
        <v>199999</v>
      </c>
      <c r="AD34" s="20">
        <v>203406.84899999999</v>
      </c>
      <c r="AE34" s="20">
        <v>212660.93799999999</v>
      </c>
      <c r="AF34" s="20">
        <v>214904.08199999999</v>
      </c>
      <c r="AG34" s="20">
        <v>225103.57500000001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0</v>
      </c>
      <c r="K35" s="20"/>
      <c r="L35" s="20"/>
      <c r="M35" s="20">
        <v>0</v>
      </c>
      <c r="N35" s="20"/>
      <c r="O35" s="20">
        <v>0</v>
      </c>
      <c r="P35" s="20"/>
      <c r="Q35" s="20"/>
      <c r="R35" s="66">
        <v>506.74</v>
      </c>
      <c r="S35" s="20">
        <v>0</v>
      </c>
      <c r="T35" s="20">
        <v>0</v>
      </c>
      <c r="U35" s="20">
        <v>0</v>
      </c>
      <c r="V35" s="20">
        <v>0</v>
      </c>
      <c r="W35" s="33">
        <v>0</v>
      </c>
      <c r="X35" s="33">
        <v>0</v>
      </c>
      <c r="Y35" s="33">
        <v>0</v>
      </c>
      <c r="Z35" s="33">
        <v>0</v>
      </c>
      <c r="AA35" s="33">
        <v>0</v>
      </c>
      <c r="AB35" s="33">
        <v>0</v>
      </c>
      <c r="AC35" s="33">
        <v>0</v>
      </c>
      <c r="AD35" s="20">
        <v>0</v>
      </c>
      <c r="AE35" s="20">
        <v>0</v>
      </c>
      <c r="AF35" s="20">
        <v>0</v>
      </c>
      <c r="AG35" s="20">
        <v>0</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2804.3910000000001</v>
      </c>
      <c r="K36" s="20"/>
      <c r="L36" s="20"/>
      <c r="M36" s="20">
        <v>0</v>
      </c>
      <c r="N36" s="20"/>
      <c r="O36" s="20">
        <v>99.436700000000002</v>
      </c>
      <c r="P36" s="20"/>
      <c r="Q36" s="20"/>
      <c r="R36" s="66">
        <v>0</v>
      </c>
      <c r="S36" s="20">
        <v>0</v>
      </c>
      <c r="T36" s="20">
        <v>0</v>
      </c>
      <c r="U36" s="20">
        <v>0</v>
      </c>
      <c r="V36" s="20">
        <v>0</v>
      </c>
      <c r="W36" s="33">
        <v>0</v>
      </c>
      <c r="X36" s="33">
        <v>0</v>
      </c>
      <c r="Y36" s="33">
        <v>0</v>
      </c>
      <c r="Z36" s="33">
        <v>0</v>
      </c>
      <c r="AA36" s="33">
        <v>0</v>
      </c>
      <c r="AB36" s="33">
        <v>0</v>
      </c>
      <c r="AC36" s="33">
        <v>0</v>
      </c>
      <c r="AD36" s="20">
        <v>0</v>
      </c>
      <c r="AE36" s="20">
        <v>0</v>
      </c>
      <c r="AF36" s="20">
        <v>0</v>
      </c>
      <c r="AG36" s="20">
        <v>0</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14368.985000000001</v>
      </c>
      <c r="K37" s="51"/>
      <c r="L37" s="51"/>
      <c r="M37" s="51">
        <v>14004.575000000001</v>
      </c>
      <c r="N37" s="51"/>
      <c r="O37" s="51">
        <v>14013.01</v>
      </c>
      <c r="P37" s="51"/>
      <c r="Q37" s="51"/>
      <c r="R37" s="67">
        <v>18954.933000000001</v>
      </c>
      <c r="S37" s="51">
        <v>20524.613000000001</v>
      </c>
      <c r="T37" s="51">
        <v>24541.814999999999</v>
      </c>
      <c r="U37" s="51">
        <v>27581.543000000001</v>
      </c>
      <c r="V37" s="51">
        <v>22252.845000000001</v>
      </c>
      <c r="W37" s="50">
        <v>27405.609</v>
      </c>
      <c r="X37" s="50">
        <v>32561.579000000002</v>
      </c>
      <c r="Y37" s="50">
        <v>37910.375</v>
      </c>
      <c r="Z37" s="50">
        <v>38626.944000000003</v>
      </c>
      <c r="AA37" s="50">
        <v>37929.35</v>
      </c>
      <c r="AB37" s="50">
        <v>49716.116999999998</v>
      </c>
      <c r="AC37" s="50">
        <v>38818</v>
      </c>
      <c r="AD37" s="51">
        <v>45274.256000000001</v>
      </c>
      <c r="AE37" s="51">
        <v>48189.985999999997</v>
      </c>
      <c r="AF37" s="51">
        <v>47331.086000000003</v>
      </c>
      <c r="AG37" s="51">
        <v>49830.302000000003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941162.27300000004</v>
      </c>
      <c r="K38" s="104">
        <f t="shared" si="9"/>
        <v>0</v>
      </c>
      <c r="L38" s="104">
        <f t="shared" si="9"/>
        <v>0</v>
      </c>
      <c r="M38" s="104">
        <f t="shared" si="9"/>
        <v>1176290.6710000001</v>
      </c>
      <c r="N38" s="104">
        <f t="shared" si="9"/>
        <v>0</v>
      </c>
      <c r="O38" s="104">
        <f t="shared" si="9"/>
        <v>1277513.49367</v>
      </c>
      <c r="P38" s="104">
        <f t="shared" si="9"/>
        <v>0</v>
      </c>
      <c r="Q38" s="104">
        <f t="shared" si="9"/>
        <v>0</v>
      </c>
      <c r="R38" s="104">
        <f t="shared" si="9"/>
        <v>1419960.2150000001</v>
      </c>
      <c r="S38" s="104">
        <f t="shared" si="9"/>
        <v>1501528.97</v>
      </c>
      <c r="T38" s="104">
        <f t="shared" si="9"/>
        <v>1765165.6720000003</v>
      </c>
      <c r="U38" s="104">
        <f t="shared" si="9"/>
        <v>2050054.8230000003</v>
      </c>
      <c r="V38" s="104">
        <f t="shared" si="9"/>
        <v>2164834.767</v>
      </c>
      <c r="W38" s="104">
        <f t="shared" si="9"/>
        <v>2248718.1050000004</v>
      </c>
      <c r="X38" s="104">
        <f t="shared" si="9"/>
        <v>2399755.088</v>
      </c>
      <c r="Y38" s="104">
        <f t="shared" si="9"/>
        <v>2464068.2000000002</v>
      </c>
      <c r="Z38" s="104">
        <f t="shared" si="9"/>
        <v>2611818.5470000003</v>
      </c>
      <c r="AA38" s="104">
        <f t="shared" si="9"/>
        <v>2702474.8360000001</v>
      </c>
      <c r="AB38" s="104">
        <f t="shared" si="9"/>
        <v>2861820.3739999998</v>
      </c>
      <c r="AC38" s="104">
        <f t="shared" si="9"/>
        <v>2939223</v>
      </c>
      <c r="AD38" s="104">
        <f t="shared" si="9"/>
        <v>2944647.9759999998</v>
      </c>
      <c r="AE38" s="104">
        <f t="shared" si="9"/>
        <v>2981047.2749999999</v>
      </c>
      <c r="AF38" s="104">
        <f t="shared" si="9"/>
        <v>1908859.4220000003</v>
      </c>
      <c r="AG38" s="104">
        <f t="shared" si="9"/>
        <v>1907113.186</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302603.22499999998</v>
      </c>
      <c r="K40" s="20"/>
      <c r="L40" s="20"/>
      <c r="M40" s="20">
        <v>403422.57400000002</v>
      </c>
      <c r="N40" s="20"/>
      <c r="O40" s="20">
        <v>433746.42700000003</v>
      </c>
      <c r="P40" s="20"/>
      <c r="Q40" s="20"/>
      <c r="R40" s="66">
        <v>494611.05499999999</v>
      </c>
      <c r="S40" s="20">
        <v>520136.02399999998</v>
      </c>
      <c r="T40" s="20">
        <v>604855.09</v>
      </c>
      <c r="U40" s="20">
        <v>590053.68700000003</v>
      </c>
      <c r="V40" s="20">
        <v>629447.26500000001</v>
      </c>
      <c r="W40" s="33">
        <v>657035.20799999998</v>
      </c>
      <c r="X40" s="33">
        <v>729953.80200000003</v>
      </c>
      <c r="Y40" s="33">
        <v>775954.26399999997</v>
      </c>
      <c r="Z40" s="33">
        <v>840403.08100000001</v>
      </c>
      <c r="AA40" s="33">
        <v>873902.93599999999</v>
      </c>
      <c r="AB40" s="33">
        <v>899403.51899999997</v>
      </c>
      <c r="AC40" s="33">
        <v>914527</v>
      </c>
      <c r="AD40" s="20">
        <v>924855.11399999994</v>
      </c>
      <c r="AE40" s="20">
        <v>942823.745</v>
      </c>
      <c r="AF40" s="20">
        <v>557113.723</v>
      </c>
      <c r="AG40" s="20">
        <v>582879.74699999997</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0</v>
      </c>
      <c r="K41" s="20"/>
      <c r="L41" s="20"/>
      <c r="M41" s="20">
        <v>0</v>
      </c>
      <c r="N41" s="20"/>
      <c r="O41" s="20">
        <v>0</v>
      </c>
      <c r="P41" s="20"/>
      <c r="Q41" s="20"/>
      <c r="R41" s="66">
        <v>0</v>
      </c>
      <c r="S41" s="20">
        <v>0</v>
      </c>
      <c r="T41" s="20">
        <v>0</v>
      </c>
      <c r="U41" s="20">
        <v>0</v>
      </c>
      <c r="V41" s="20">
        <v>0</v>
      </c>
      <c r="W41" s="33">
        <v>0</v>
      </c>
      <c r="X41" s="33">
        <v>0</v>
      </c>
      <c r="Y41" s="33">
        <v>0</v>
      </c>
      <c r="Z41" s="33">
        <v>0</v>
      </c>
      <c r="AA41" s="33">
        <v>0</v>
      </c>
      <c r="AB41" s="33">
        <v>0</v>
      </c>
      <c r="AC41" s="33">
        <v>0</v>
      </c>
      <c r="AD41" s="20">
        <v>0</v>
      </c>
      <c r="AE41" s="20">
        <v>0</v>
      </c>
      <c r="AF41" s="20">
        <v>0</v>
      </c>
      <c r="AG41" s="20">
        <v>0</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23211.089</v>
      </c>
      <c r="K42" s="20"/>
      <c r="L42" s="20"/>
      <c r="M42" s="20">
        <v>26528.582999999999</v>
      </c>
      <c r="N42" s="20"/>
      <c r="O42" s="20">
        <v>28003.976999999999</v>
      </c>
      <c r="P42" s="20"/>
      <c r="Q42" s="20"/>
      <c r="R42" s="66">
        <v>34392.976999999999</v>
      </c>
      <c r="S42" s="20">
        <v>36129.294000000002</v>
      </c>
      <c r="T42" s="20">
        <v>37262.025999999998</v>
      </c>
      <c r="U42" s="20">
        <v>65770.652000000002</v>
      </c>
      <c r="V42" s="20">
        <v>65216.904000000002</v>
      </c>
      <c r="W42" s="33">
        <v>67203.822</v>
      </c>
      <c r="X42" s="33">
        <v>73502.054999999993</v>
      </c>
      <c r="Y42" s="33">
        <v>80541.425000000003</v>
      </c>
      <c r="Z42" s="33">
        <v>79854.786999999997</v>
      </c>
      <c r="AA42" s="33">
        <v>90426.705000000002</v>
      </c>
      <c r="AB42" s="33">
        <v>99099.214000000007</v>
      </c>
      <c r="AC42" s="33">
        <v>107022</v>
      </c>
      <c r="AD42" s="20">
        <v>114880.209</v>
      </c>
      <c r="AE42" s="20">
        <v>117352.694</v>
      </c>
      <c r="AF42" s="20">
        <v>120083.014</v>
      </c>
      <c r="AG42" s="20">
        <v>122216.531</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78019.894</v>
      </c>
      <c r="K43" s="20"/>
      <c r="L43" s="20"/>
      <c r="M43" s="20">
        <v>106999.76</v>
      </c>
      <c r="N43" s="20"/>
      <c r="O43" s="20">
        <v>109962.96939</v>
      </c>
      <c r="P43" s="20"/>
      <c r="Q43" s="20"/>
      <c r="R43" s="66">
        <v>130522.253</v>
      </c>
      <c r="S43" s="20">
        <v>135435.351</v>
      </c>
      <c r="T43" s="20">
        <v>144166.454</v>
      </c>
      <c r="U43" s="20">
        <v>162102.38200000001</v>
      </c>
      <c r="V43" s="20">
        <v>170629.603</v>
      </c>
      <c r="W43" s="33">
        <v>174042.34400000001</v>
      </c>
      <c r="X43" s="33">
        <v>189315.125</v>
      </c>
      <c r="Y43" s="33">
        <v>196832.5</v>
      </c>
      <c r="Z43" s="33">
        <v>206012.79999999999</v>
      </c>
      <c r="AA43" s="33">
        <v>207826.421</v>
      </c>
      <c r="AB43" s="33">
        <v>207183.69200000001</v>
      </c>
      <c r="AC43" s="33">
        <v>205761</v>
      </c>
      <c r="AD43" s="20">
        <v>209844.97500000001</v>
      </c>
      <c r="AE43" s="20">
        <v>216866.72200000001</v>
      </c>
      <c r="AF43" s="20">
        <v>199378.024</v>
      </c>
      <c r="AG43" s="20">
        <v>208672.61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180451.84</v>
      </c>
      <c r="K44" s="20"/>
      <c r="L44" s="20"/>
      <c r="M44" s="20">
        <v>258370.13200000001</v>
      </c>
      <c r="N44" s="20"/>
      <c r="O44" s="20">
        <v>207360.61567</v>
      </c>
      <c r="P44" s="20"/>
      <c r="Q44" s="20"/>
      <c r="R44" s="66">
        <v>275185.57799999998</v>
      </c>
      <c r="S44" s="20">
        <v>288112.33799999999</v>
      </c>
      <c r="T44" s="20">
        <v>363167.15700000001</v>
      </c>
      <c r="U44" s="20">
        <v>483304.62599999999</v>
      </c>
      <c r="V44" s="20">
        <v>503319.07799999998</v>
      </c>
      <c r="W44" s="33">
        <v>519587.79499999998</v>
      </c>
      <c r="X44" s="33">
        <v>535400.51500000001</v>
      </c>
      <c r="Y44" s="33">
        <v>575549.80700000003</v>
      </c>
      <c r="Z44" s="33">
        <v>602296.24699999997</v>
      </c>
      <c r="AA44" s="33">
        <v>605772.755</v>
      </c>
      <c r="AB44" s="33">
        <v>596436.06200000003</v>
      </c>
      <c r="AC44" s="33">
        <v>551945</v>
      </c>
      <c r="AD44" s="20">
        <v>523770.84899999999</v>
      </c>
      <c r="AE44" s="20">
        <v>511749.42099999997</v>
      </c>
      <c r="AF44" s="20">
        <v>472399.14500000002</v>
      </c>
      <c r="AG44" s="20">
        <v>485207.57799999998</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15834.787</v>
      </c>
      <c r="K45" s="20"/>
      <c r="L45" s="20"/>
      <c r="M45" s="20">
        <v>5142.7290000000003</v>
      </c>
      <c r="N45" s="20"/>
      <c r="O45" s="20">
        <v>0</v>
      </c>
      <c r="P45" s="20"/>
      <c r="Q45" s="20"/>
      <c r="R45" s="66">
        <v>0</v>
      </c>
      <c r="S45" s="20">
        <v>0</v>
      </c>
      <c r="T45" s="20">
        <v>0</v>
      </c>
      <c r="U45" s="20">
        <v>0</v>
      </c>
      <c r="V45" s="20">
        <v>0</v>
      </c>
      <c r="W45" s="33">
        <v>0</v>
      </c>
      <c r="X45" s="33">
        <v>0</v>
      </c>
      <c r="Y45" s="33">
        <v>0</v>
      </c>
      <c r="Z45" s="33">
        <v>0</v>
      </c>
      <c r="AA45" s="33">
        <v>0</v>
      </c>
      <c r="AB45" s="33">
        <v>0</v>
      </c>
      <c r="AC45" s="33">
        <v>0</v>
      </c>
      <c r="AD45" s="20">
        <v>0</v>
      </c>
      <c r="AE45" s="20">
        <v>0</v>
      </c>
      <c r="AF45" s="20">
        <v>0</v>
      </c>
      <c r="AG45" s="20">
        <v>0</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40539.603999999999</v>
      </c>
      <c r="K46" s="20"/>
      <c r="L46" s="20"/>
      <c r="M46" s="20">
        <v>15017.958000000001</v>
      </c>
      <c r="N46" s="20"/>
      <c r="O46" s="20">
        <v>76950.691000000006</v>
      </c>
      <c r="P46" s="20"/>
      <c r="Q46" s="20"/>
      <c r="R46" s="66">
        <v>23952.407999999999</v>
      </c>
      <c r="S46" s="20">
        <v>33198.83</v>
      </c>
      <c r="T46" s="20">
        <v>27800.877</v>
      </c>
      <c r="U46" s="20">
        <v>37961.449999999997</v>
      </c>
      <c r="V46" s="20">
        <v>40552.158000000003</v>
      </c>
      <c r="W46" s="33">
        <v>41503.667999999998</v>
      </c>
      <c r="X46" s="33">
        <v>45089.904000000002</v>
      </c>
      <c r="Y46" s="33">
        <v>46103.394999999997</v>
      </c>
      <c r="Z46" s="33">
        <v>50616.076000000001</v>
      </c>
      <c r="AA46" s="33">
        <v>52706.756999999998</v>
      </c>
      <c r="AB46" s="33">
        <v>52504.563999999998</v>
      </c>
      <c r="AC46" s="33">
        <v>117325</v>
      </c>
      <c r="AD46" s="20">
        <v>115447.235</v>
      </c>
      <c r="AE46" s="20">
        <v>116892.658</v>
      </c>
      <c r="AF46" s="20">
        <v>147972.52299999999</v>
      </c>
      <c r="AG46" s="20">
        <v>139345.098</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29246.164000000001</v>
      </c>
      <c r="K47" s="20"/>
      <c r="L47" s="20"/>
      <c r="M47" s="20">
        <v>32444.39</v>
      </c>
      <c r="N47" s="20"/>
      <c r="O47" s="20">
        <v>56416.305999999997</v>
      </c>
      <c r="P47" s="20"/>
      <c r="Q47" s="20"/>
      <c r="R47" s="92">
        <v>24928.31</v>
      </c>
      <c r="S47" s="20">
        <v>19872.094000000001</v>
      </c>
      <c r="T47" s="20">
        <v>49581.046000000002</v>
      </c>
      <c r="U47" s="20">
        <v>60221.771999999997</v>
      </c>
      <c r="V47" s="20">
        <v>68574.111000000004</v>
      </c>
      <c r="W47" s="33">
        <v>75656.438999999998</v>
      </c>
      <c r="X47" s="33">
        <v>78450.159</v>
      </c>
      <c r="Y47" s="33">
        <v>84228.866999999998</v>
      </c>
      <c r="Z47" s="33">
        <v>93493.305999999997</v>
      </c>
      <c r="AA47" s="33">
        <v>100596.00199999999</v>
      </c>
      <c r="AB47" s="33">
        <v>122263.30499999999</v>
      </c>
      <c r="AC47" s="33">
        <v>120979</v>
      </c>
      <c r="AD47" s="20">
        <v>127736.65399999999</v>
      </c>
      <c r="AE47" s="20">
        <v>134269.83100000001</v>
      </c>
      <c r="AF47" s="20">
        <v>103536.19100000001</v>
      </c>
      <c r="AG47" s="20">
        <v>107909.281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18.542999999999999</v>
      </c>
      <c r="K48" s="20"/>
      <c r="L48" s="20"/>
      <c r="M48" s="20">
        <v>5.1790000000000003</v>
      </c>
      <c r="N48" s="20"/>
      <c r="O48" s="20">
        <v>334.89801</v>
      </c>
      <c r="P48" s="20"/>
      <c r="Q48" s="20"/>
      <c r="R48" s="66">
        <v>20.565000000000001</v>
      </c>
      <c r="S48" s="20">
        <v>20.782</v>
      </c>
      <c r="T48" s="20">
        <v>21.539000000000001</v>
      </c>
      <c r="U48" s="20">
        <v>1548.6</v>
      </c>
      <c r="V48" s="20">
        <v>0</v>
      </c>
      <c r="W48" s="33">
        <v>0</v>
      </c>
      <c r="X48" s="33">
        <v>0</v>
      </c>
      <c r="Y48" s="33">
        <v>0</v>
      </c>
      <c r="Z48" s="33">
        <v>0</v>
      </c>
      <c r="AA48" s="33">
        <v>0</v>
      </c>
      <c r="AB48" s="33">
        <v>0</v>
      </c>
      <c r="AC48" s="33">
        <v>0</v>
      </c>
      <c r="AD48" s="20">
        <v>0</v>
      </c>
      <c r="AE48" s="20">
        <v>0</v>
      </c>
      <c r="AF48" s="20">
        <v>0</v>
      </c>
      <c r="AG48" s="20">
        <v>0</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61285.279999999999</v>
      </c>
      <c r="K49" s="20"/>
      <c r="L49" s="20"/>
      <c r="M49" s="20">
        <v>69410.663</v>
      </c>
      <c r="N49" s="20"/>
      <c r="O49" s="20">
        <v>71481.653999999995</v>
      </c>
      <c r="P49" s="20"/>
      <c r="Q49" s="20"/>
      <c r="R49" s="66">
        <v>86430.087</v>
      </c>
      <c r="S49" s="20">
        <v>88976.288</v>
      </c>
      <c r="T49" s="20">
        <v>93739.31</v>
      </c>
      <c r="U49" s="20">
        <v>108491.986</v>
      </c>
      <c r="V49" s="20">
        <v>121943.624</v>
      </c>
      <c r="W49" s="33">
        <v>123566.90399999999</v>
      </c>
      <c r="X49" s="33">
        <v>126529.79700000001</v>
      </c>
      <c r="Y49" s="33">
        <v>133803.49900000001</v>
      </c>
      <c r="Z49" s="33">
        <v>141039.14199999999</v>
      </c>
      <c r="AA49" s="33">
        <v>144412.57</v>
      </c>
      <c r="AB49" s="33">
        <v>145807.37400000001</v>
      </c>
      <c r="AC49" s="33">
        <v>163891</v>
      </c>
      <c r="AD49" s="20">
        <v>158189.557</v>
      </c>
      <c r="AE49" s="20">
        <v>151994.95600000001</v>
      </c>
      <c r="AF49" s="20">
        <v>164763.72200000001</v>
      </c>
      <c r="AG49" s="20">
        <v>173262.81700000001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47.916599999999995</v>
      </c>
      <c r="P50" s="20"/>
      <c r="Q50" s="20"/>
      <c r="R50" s="66">
        <v>0</v>
      </c>
      <c r="S50" s="20">
        <v>0</v>
      </c>
      <c r="T50" s="20">
        <v>0</v>
      </c>
      <c r="U50" s="20">
        <v>0</v>
      </c>
      <c r="V50" s="20">
        <v>0</v>
      </c>
      <c r="W50" s="33">
        <v>0</v>
      </c>
      <c r="X50" s="33">
        <v>0</v>
      </c>
      <c r="Y50" s="33">
        <v>164.761</v>
      </c>
      <c r="Z50" s="33">
        <v>0</v>
      </c>
      <c r="AA50" s="33">
        <v>0</v>
      </c>
      <c r="AB50" s="33">
        <v>0</v>
      </c>
      <c r="AC50" s="33">
        <v>0</v>
      </c>
      <c r="AD50" s="20">
        <v>0</v>
      </c>
      <c r="AE50" s="20">
        <v>0</v>
      </c>
      <c r="AF50" s="20">
        <v>0</v>
      </c>
      <c r="AG50" s="20">
        <v>0</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209951.84700000001</v>
      </c>
      <c r="K51" s="51"/>
      <c r="L51" s="51"/>
      <c r="M51" s="51">
        <v>258948.70300000001</v>
      </c>
      <c r="N51" s="51"/>
      <c r="O51" s="51">
        <v>293208.03899999999</v>
      </c>
      <c r="P51" s="51"/>
      <c r="Q51" s="51"/>
      <c r="R51" s="67">
        <v>349916.98200000002</v>
      </c>
      <c r="S51" s="51">
        <v>379647.96899999998</v>
      </c>
      <c r="T51" s="51">
        <v>444572.17300000001</v>
      </c>
      <c r="U51" s="51">
        <v>540599.66799999995</v>
      </c>
      <c r="V51" s="51">
        <v>565152.02399999998</v>
      </c>
      <c r="W51" s="50">
        <v>590121.92500000005</v>
      </c>
      <c r="X51" s="50">
        <v>621513.73100000003</v>
      </c>
      <c r="Y51" s="50">
        <v>570889.68200000003</v>
      </c>
      <c r="Z51" s="50">
        <v>598103.10800000001</v>
      </c>
      <c r="AA51" s="50">
        <v>626830.68999999994</v>
      </c>
      <c r="AB51" s="50">
        <v>739122.64399999997</v>
      </c>
      <c r="AC51" s="50">
        <v>757773</v>
      </c>
      <c r="AD51" s="51">
        <v>769923.38300000003</v>
      </c>
      <c r="AE51" s="51">
        <v>789097.24800000002</v>
      </c>
      <c r="AF51" s="51">
        <v>143613.07999999999</v>
      </c>
      <c r="AG51" s="51">
        <v>87619.524000000005</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424255.59600000002</v>
      </c>
      <c r="K52" s="104">
        <f t="shared" si="10"/>
        <v>0</v>
      </c>
      <c r="L52" s="104">
        <f t="shared" si="10"/>
        <v>0</v>
      </c>
      <c r="M52" s="104">
        <f t="shared" si="10"/>
        <v>477591.57999999996</v>
      </c>
      <c r="N52" s="104">
        <f t="shared" si="10"/>
        <v>0</v>
      </c>
      <c r="O52" s="104">
        <f t="shared" si="10"/>
        <v>538317.31999999995</v>
      </c>
      <c r="P52" s="104">
        <f t="shared" si="10"/>
        <v>0</v>
      </c>
      <c r="Q52" s="104">
        <f t="shared" si="10"/>
        <v>0</v>
      </c>
      <c r="R52" s="104">
        <f t="shared" si="10"/>
        <v>557150.929</v>
      </c>
      <c r="S52" s="104">
        <f t="shared" si="10"/>
        <v>618835.29399999999</v>
      </c>
      <c r="T52" s="104">
        <f t="shared" si="10"/>
        <v>649937.18900000001</v>
      </c>
      <c r="U52" s="104">
        <f t="shared" si="10"/>
        <v>683428.52</v>
      </c>
      <c r="V52" s="104">
        <f t="shared" si="10"/>
        <v>703299.16700000002</v>
      </c>
      <c r="W52" s="104">
        <f t="shared" si="10"/>
        <v>750181.78099999996</v>
      </c>
      <c r="X52" s="104">
        <f t="shared" si="10"/>
        <v>797209.598</v>
      </c>
      <c r="Y52" s="104">
        <f t="shared" si="10"/>
        <v>844354.87300000002</v>
      </c>
      <c r="Z52" s="104">
        <f t="shared" si="10"/>
        <v>878493.6100000001</v>
      </c>
      <c r="AA52" s="104">
        <f t="shared" si="10"/>
        <v>898791.65099999995</v>
      </c>
      <c r="AB52" s="104">
        <f t="shared" si="10"/>
        <v>912888.83100000001</v>
      </c>
      <c r="AC52" s="104">
        <f t="shared" si="10"/>
        <v>914344</v>
      </c>
      <c r="AD52" s="104">
        <f t="shared" si="10"/>
        <v>929849.9219999999</v>
      </c>
      <c r="AE52" s="104">
        <f t="shared" si="10"/>
        <v>938633.83499999996</v>
      </c>
      <c r="AF52" s="104">
        <f t="shared" si="10"/>
        <v>935639.18400000001</v>
      </c>
      <c r="AG52" s="104">
        <f t="shared" si="10"/>
        <v>957917.77400000009</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20">
        <v>0</v>
      </c>
      <c r="U54" s="20">
        <v>0</v>
      </c>
      <c r="V54" s="20">
        <v>0</v>
      </c>
      <c r="W54" s="33">
        <v>0</v>
      </c>
      <c r="X54" s="33">
        <v>0</v>
      </c>
      <c r="Y54" s="33">
        <v>0</v>
      </c>
      <c r="Z54" s="33">
        <v>0</v>
      </c>
      <c r="AA54" s="33">
        <v>0</v>
      </c>
      <c r="AB54" s="33">
        <v>0</v>
      </c>
      <c r="AC54" s="33">
        <v>0</v>
      </c>
      <c r="AD54" s="20">
        <v>0</v>
      </c>
      <c r="AE54" s="20">
        <v>0</v>
      </c>
      <c r="AF54" s="20">
        <v>0</v>
      </c>
      <c r="AG54" s="20">
        <v>0</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0</v>
      </c>
      <c r="K55" s="20"/>
      <c r="L55" s="20"/>
      <c r="M55" s="20">
        <v>0</v>
      </c>
      <c r="N55" s="20"/>
      <c r="O55" s="20">
        <v>0</v>
      </c>
      <c r="P55" s="20"/>
      <c r="Q55" s="20"/>
      <c r="R55" s="66">
        <v>0</v>
      </c>
      <c r="S55" s="20">
        <v>0</v>
      </c>
      <c r="T55" s="20">
        <v>0</v>
      </c>
      <c r="U55" s="20">
        <v>0</v>
      </c>
      <c r="V55" s="20">
        <v>0</v>
      </c>
      <c r="W55" s="33">
        <v>0</v>
      </c>
      <c r="X55" s="33">
        <v>0</v>
      </c>
      <c r="Y55" s="33">
        <v>0</v>
      </c>
      <c r="Z55" s="33">
        <v>0</v>
      </c>
      <c r="AA55" s="33">
        <v>0</v>
      </c>
      <c r="AB55" s="33">
        <v>0</v>
      </c>
      <c r="AC55" s="33">
        <v>0</v>
      </c>
      <c r="AD55" s="20">
        <v>0</v>
      </c>
      <c r="AE55" s="20">
        <v>0</v>
      </c>
      <c r="AF55" s="20">
        <v>0</v>
      </c>
      <c r="AG55" s="20">
        <v>0</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39.279000000000003</v>
      </c>
      <c r="K56" s="20"/>
      <c r="L56" s="20"/>
      <c r="M56" s="20">
        <v>71.116</v>
      </c>
      <c r="N56" s="20"/>
      <c r="O56" s="20">
        <v>3064.585</v>
      </c>
      <c r="P56" s="20"/>
      <c r="Q56" s="20"/>
      <c r="R56" s="66">
        <v>0</v>
      </c>
      <c r="S56" s="20">
        <v>0</v>
      </c>
      <c r="T56" s="20">
        <v>0</v>
      </c>
      <c r="U56" s="20">
        <v>0</v>
      </c>
      <c r="V56" s="20">
        <v>0</v>
      </c>
      <c r="W56" s="33">
        <v>0</v>
      </c>
      <c r="X56" s="33">
        <v>0</v>
      </c>
      <c r="Y56" s="33">
        <v>0</v>
      </c>
      <c r="Z56" s="33">
        <v>0</v>
      </c>
      <c r="AA56" s="33">
        <v>0</v>
      </c>
      <c r="AB56" s="33">
        <v>0</v>
      </c>
      <c r="AC56" s="33">
        <v>0</v>
      </c>
      <c r="AD56" s="20">
        <v>0</v>
      </c>
      <c r="AE56" s="20">
        <v>0</v>
      </c>
      <c r="AF56" s="20">
        <v>0</v>
      </c>
      <c r="AG56" s="20">
        <v>0</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139.87899999999999</v>
      </c>
      <c r="S57" s="20">
        <v>0</v>
      </c>
      <c r="T57" s="20">
        <v>0</v>
      </c>
      <c r="U57" s="20">
        <v>0</v>
      </c>
      <c r="V57" s="20">
        <v>0</v>
      </c>
      <c r="W57" s="33">
        <v>0</v>
      </c>
      <c r="X57" s="33">
        <v>0</v>
      </c>
      <c r="Y57" s="33">
        <v>0</v>
      </c>
      <c r="Z57" s="33">
        <v>0</v>
      </c>
      <c r="AA57" s="33">
        <v>0</v>
      </c>
      <c r="AB57" s="33">
        <v>0</v>
      </c>
      <c r="AC57" s="33">
        <v>7</v>
      </c>
      <c r="AD57" s="20">
        <v>0</v>
      </c>
      <c r="AE57" s="20">
        <v>0</v>
      </c>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145908.92600000001</v>
      </c>
      <c r="K58" s="20"/>
      <c r="L58" s="20"/>
      <c r="M58" s="20">
        <v>159878.48199999999</v>
      </c>
      <c r="N58" s="20"/>
      <c r="O58" s="20">
        <v>160277.905</v>
      </c>
      <c r="P58" s="20"/>
      <c r="Q58" s="20"/>
      <c r="R58" s="92">
        <v>165639.62599999999</v>
      </c>
      <c r="S58" s="20">
        <v>180874.989</v>
      </c>
      <c r="T58" s="20">
        <v>170885.54199999999</v>
      </c>
      <c r="U58" s="20">
        <v>181404.027</v>
      </c>
      <c r="V58" s="20">
        <v>185080.86600000001</v>
      </c>
      <c r="W58" s="33">
        <v>190575.386</v>
      </c>
      <c r="X58" s="33">
        <v>195501.546</v>
      </c>
      <c r="Y58" s="33">
        <v>203337.913</v>
      </c>
      <c r="Z58" s="33">
        <v>210208.70600000001</v>
      </c>
      <c r="AA58" s="33">
        <v>216991.27299999999</v>
      </c>
      <c r="AB58" s="33">
        <v>211947.32800000001</v>
      </c>
      <c r="AC58" s="33">
        <v>211638</v>
      </c>
      <c r="AD58" s="20">
        <v>194451.79800000001</v>
      </c>
      <c r="AE58" s="20">
        <v>194040.61</v>
      </c>
      <c r="AF58" s="20">
        <v>199631.33100000001</v>
      </c>
      <c r="AG58" s="20">
        <v>201487.14499999999</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211036.715</v>
      </c>
      <c r="K59" s="20"/>
      <c r="L59" s="20"/>
      <c r="M59" s="20">
        <v>237312.04399999999</v>
      </c>
      <c r="N59" s="20"/>
      <c r="O59" s="20">
        <v>290152.65700000001</v>
      </c>
      <c r="P59" s="20"/>
      <c r="Q59" s="20"/>
      <c r="R59" s="92">
        <v>293467.85399999999</v>
      </c>
      <c r="S59" s="20">
        <v>343621.81199999998</v>
      </c>
      <c r="T59" s="20">
        <v>377088.30599999998</v>
      </c>
      <c r="U59" s="20">
        <v>396861.00699999998</v>
      </c>
      <c r="V59" s="20">
        <v>410863.272</v>
      </c>
      <c r="W59" s="33">
        <v>450475.01400000002</v>
      </c>
      <c r="X59" s="33">
        <v>489987.136</v>
      </c>
      <c r="Y59" s="33">
        <v>523620.05900000001</v>
      </c>
      <c r="Z59" s="33">
        <v>550516.90800000005</v>
      </c>
      <c r="AA59" s="33">
        <v>565487.78899999999</v>
      </c>
      <c r="AB59" s="33">
        <v>582194.20299999998</v>
      </c>
      <c r="AC59" s="33">
        <v>584732</v>
      </c>
      <c r="AD59" s="20">
        <v>623874.35199999996</v>
      </c>
      <c r="AE59" s="20">
        <v>630986.30900000001</v>
      </c>
      <c r="AF59" s="20">
        <v>624761.84100000001</v>
      </c>
      <c r="AG59" s="20">
        <v>643498.25800000003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67270.676000000007</v>
      </c>
      <c r="K60" s="20"/>
      <c r="L60" s="20"/>
      <c r="M60" s="20">
        <v>80329.937999999995</v>
      </c>
      <c r="N60" s="20"/>
      <c r="O60" s="20">
        <v>84822.172999999995</v>
      </c>
      <c r="P60" s="20"/>
      <c r="Q60" s="20"/>
      <c r="R60" s="66">
        <v>97903.57</v>
      </c>
      <c r="S60" s="20">
        <v>94338.493000000002</v>
      </c>
      <c r="T60" s="20">
        <v>101963.341</v>
      </c>
      <c r="U60" s="20">
        <v>105163.486</v>
      </c>
      <c r="V60" s="20">
        <v>107355.02899999999</v>
      </c>
      <c r="W60" s="33">
        <v>109131.38099999999</v>
      </c>
      <c r="X60" s="33">
        <v>111720.916</v>
      </c>
      <c r="Y60" s="33">
        <v>117396.901</v>
      </c>
      <c r="Z60" s="33">
        <v>117767.996</v>
      </c>
      <c r="AA60" s="33">
        <v>116312.58900000001</v>
      </c>
      <c r="AB60" s="33">
        <v>118747.3</v>
      </c>
      <c r="AC60" s="33">
        <v>117967</v>
      </c>
      <c r="AD60" s="20">
        <v>111523.772</v>
      </c>
      <c r="AE60" s="20">
        <v>113606.916</v>
      </c>
      <c r="AF60" s="20">
        <v>111246.012</v>
      </c>
      <c r="AG60" s="20">
        <v>112932.371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20">
        <v>0</v>
      </c>
      <c r="U61" s="20">
        <v>0</v>
      </c>
      <c r="V61" s="20">
        <v>0</v>
      </c>
      <c r="W61" s="33">
        <v>0</v>
      </c>
      <c r="X61" s="33">
        <v>0</v>
      </c>
      <c r="Y61" s="33">
        <v>0</v>
      </c>
      <c r="Z61" s="33">
        <v>0</v>
      </c>
      <c r="AA61" s="33">
        <v>0</v>
      </c>
      <c r="AB61" s="33">
        <v>0</v>
      </c>
      <c r="AC61" s="33">
        <v>0</v>
      </c>
      <c r="AD61" s="20">
        <v>0</v>
      </c>
      <c r="AE61" s="20">
        <v>0</v>
      </c>
      <c r="AF61" s="20">
        <v>0</v>
      </c>
      <c r="AG61" s="20">
        <v>0</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0</v>
      </c>
      <c r="K62" s="51"/>
      <c r="L62" s="51"/>
      <c r="M62" s="51">
        <v>0</v>
      </c>
      <c r="N62" s="51"/>
      <c r="O62" s="51">
        <v>0</v>
      </c>
      <c r="P62" s="51"/>
      <c r="Q62" s="51"/>
      <c r="R62" s="67">
        <v>0</v>
      </c>
      <c r="S62" s="51">
        <v>0</v>
      </c>
      <c r="T62" s="51">
        <v>0</v>
      </c>
      <c r="U62" s="51">
        <v>0</v>
      </c>
      <c r="V62" s="51">
        <v>0</v>
      </c>
      <c r="W62" s="50">
        <v>0</v>
      </c>
      <c r="X62" s="50">
        <v>0</v>
      </c>
      <c r="Y62" s="50">
        <v>0</v>
      </c>
      <c r="Z62" s="50">
        <v>0</v>
      </c>
      <c r="AA62" s="50">
        <v>0</v>
      </c>
      <c r="AB62" s="50">
        <v>0</v>
      </c>
      <c r="AC62" s="50">
        <v>0</v>
      </c>
      <c r="AD62" s="20">
        <v>0</v>
      </c>
      <c r="AE62" s="20">
        <v>0</v>
      </c>
      <c r="AF62" s="20">
        <v>0</v>
      </c>
      <c r="AG62" s="20">
        <v>0</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87">
        <v>0</v>
      </c>
      <c r="AG63" s="87">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H7" sqref="AH7"/>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218">
        <v>2012</v>
      </c>
      <c r="AE3" s="218">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898324</v>
      </c>
      <c r="C4" s="12">
        <v>992222</v>
      </c>
      <c r="D4" s="12">
        <v>1117216</v>
      </c>
      <c r="E4" s="12"/>
      <c r="F4" s="12"/>
      <c r="G4" s="12"/>
      <c r="H4" s="12"/>
      <c r="I4" s="12">
        <v>1704829.773</v>
      </c>
      <c r="J4" s="98">
        <f>+J5+J23+J38+J52+J63</f>
        <v>2068856.58</v>
      </c>
      <c r="K4" s="69">
        <v>2442939.13</v>
      </c>
      <c r="L4" s="69">
        <v>2651255.0619999999</v>
      </c>
      <c r="M4" s="98">
        <f>+M5+M23+M38+M52+M63</f>
        <v>2659359.392</v>
      </c>
      <c r="N4" s="69">
        <v>2848305.4029999999</v>
      </c>
      <c r="O4" s="98">
        <f>+O5+O23+O38+O52+O63</f>
        <v>1157457.70952</v>
      </c>
      <c r="P4" s="12"/>
      <c r="Q4" s="12"/>
      <c r="R4" s="98">
        <f t="shared" ref="R4:AA4" si="0">+R5+R23+R38+R52+R63</f>
        <v>3411293.8030000003</v>
      </c>
      <c r="S4" s="98">
        <f t="shared" si="0"/>
        <v>3818988.4030000004</v>
      </c>
      <c r="T4" s="98">
        <f t="shared" si="0"/>
        <v>4512717.8310000002</v>
      </c>
      <c r="U4" s="98">
        <f t="shared" si="0"/>
        <v>5127696.9479999999</v>
      </c>
      <c r="V4" s="98">
        <f t="shared" si="0"/>
        <v>5515588.0360000003</v>
      </c>
      <c r="W4" s="98">
        <f t="shared" si="0"/>
        <v>5936569.7419999996</v>
      </c>
      <c r="X4" s="98">
        <f t="shared" si="0"/>
        <v>5894667.5269999988</v>
      </c>
      <c r="Y4" s="98">
        <f t="shared" si="0"/>
        <v>6011850.1610000003</v>
      </c>
      <c r="Z4" s="98">
        <f t="shared" si="0"/>
        <v>6884936.3039999995</v>
      </c>
      <c r="AA4" s="98">
        <f t="shared" si="0"/>
        <v>8533506.6970000006</v>
      </c>
      <c r="AB4" s="98">
        <f t="shared" ref="AB4:AC4" si="1">+AB5+AB23+AB38+AB52+AB63</f>
        <v>13470924.762</v>
      </c>
      <c r="AC4" s="98">
        <f t="shared" si="1"/>
        <v>15977864</v>
      </c>
      <c r="AD4" s="98">
        <f t="shared" ref="AD4:AE4" si="2">+AD5+AD23+AD38+AD52+AD63</f>
        <v>15213054.206</v>
      </c>
      <c r="AE4" s="98">
        <f t="shared" si="2"/>
        <v>14481746.776999999</v>
      </c>
      <c r="AF4" s="98">
        <f t="shared" ref="AF4:AG4" si="3">+AF5+AF23+AF38+AF52+AF63</f>
        <v>12147026.231999999</v>
      </c>
      <c r="AG4" s="98">
        <f t="shared" si="3"/>
        <v>11680360.425999999</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282887</v>
      </c>
      <c r="C5" s="101">
        <f t="shared" ref="C5:AA5" si="4">SUM(C7:C22)</f>
        <v>311891</v>
      </c>
      <c r="D5" s="101">
        <f t="shared" si="4"/>
        <v>359305</v>
      </c>
      <c r="E5" s="101">
        <f t="shared" si="4"/>
        <v>0</v>
      </c>
      <c r="F5" s="101">
        <f t="shared" si="4"/>
        <v>0</v>
      </c>
      <c r="G5" s="101">
        <f t="shared" si="4"/>
        <v>0</v>
      </c>
      <c r="H5" s="101">
        <f t="shared" si="4"/>
        <v>0</v>
      </c>
      <c r="I5" s="101">
        <f t="shared" si="4"/>
        <v>596363.00300000003</v>
      </c>
      <c r="J5" s="101">
        <f t="shared" si="4"/>
        <v>739050.73</v>
      </c>
      <c r="K5" s="101">
        <f t="shared" si="4"/>
        <v>889230.35100000014</v>
      </c>
      <c r="L5" s="101">
        <f t="shared" si="4"/>
        <v>975010.00800000003</v>
      </c>
      <c r="M5" s="101">
        <f t="shared" si="4"/>
        <v>1017738.9809999999</v>
      </c>
      <c r="N5" s="101">
        <f t="shared" si="4"/>
        <v>1042147.9620000002</v>
      </c>
      <c r="O5" s="101">
        <f t="shared" si="4"/>
        <v>443580.71166999999</v>
      </c>
      <c r="P5" s="101">
        <f t="shared" si="4"/>
        <v>0</v>
      </c>
      <c r="Q5" s="101">
        <f t="shared" si="4"/>
        <v>0</v>
      </c>
      <c r="R5" s="101">
        <f t="shared" si="4"/>
        <v>1456393.669</v>
      </c>
      <c r="S5" s="101">
        <f t="shared" si="4"/>
        <v>1623847.3140000002</v>
      </c>
      <c r="T5" s="101">
        <f t="shared" si="4"/>
        <v>1889603.0390000001</v>
      </c>
      <c r="U5" s="101">
        <f t="shared" si="4"/>
        <v>2096672.5499999998</v>
      </c>
      <c r="V5" s="101">
        <f t="shared" si="4"/>
        <v>2262596.608</v>
      </c>
      <c r="W5" s="101">
        <f t="shared" si="4"/>
        <v>2380632.0120000001</v>
      </c>
      <c r="X5" s="101">
        <f t="shared" si="4"/>
        <v>2357671.1759999995</v>
      </c>
      <c r="Y5" s="101">
        <f t="shared" si="4"/>
        <v>2463090.5869999998</v>
      </c>
      <c r="Z5" s="101">
        <f t="shared" si="4"/>
        <v>2785088.304</v>
      </c>
      <c r="AA5" s="101">
        <f t="shared" si="4"/>
        <v>3302060.0989999999</v>
      </c>
      <c r="AB5" s="101">
        <f t="shared" ref="AB5:AC5" si="5">SUM(AB7:AB22)</f>
        <v>5582804.9270000001</v>
      </c>
      <c r="AC5" s="101">
        <f t="shared" si="5"/>
        <v>6488814</v>
      </c>
      <c r="AD5" s="101">
        <f t="shared" ref="AD5:AE5" si="6">SUM(AD7:AD22)</f>
        <v>6172054.2070000004</v>
      </c>
      <c r="AE5" s="101">
        <f t="shared" si="6"/>
        <v>5771034.0729999999</v>
      </c>
      <c r="AF5" s="101">
        <f t="shared" ref="AF5:AG5" si="7">SUM(AF7:AF22)</f>
        <v>5241842.8919999991</v>
      </c>
      <c r="AG5" s="101">
        <f t="shared" si="7"/>
        <v>5010369.9050000003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16791</v>
      </c>
      <c r="C7" s="12">
        <v>21805</v>
      </c>
      <c r="D7" s="12">
        <v>27500</v>
      </c>
      <c r="E7" s="12"/>
      <c r="F7" s="12"/>
      <c r="G7" s="12"/>
      <c r="H7" s="12"/>
      <c r="I7" s="12">
        <v>48340.067999999999</v>
      </c>
      <c r="J7" s="32">
        <v>59880.464999999997</v>
      </c>
      <c r="K7" s="12">
        <v>68793.161999999997</v>
      </c>
      <c r="L7" s="12">
        <v>68904.409</v>
      </c>
      <c r="M7" s="12">
        <v>76516.107000000004</v>
      </c>
      <c r="N7" s="12">
        <v>78583.104000000007</v>
      </c>
      <c r="O7" s="12">
        <v>33834.970179999997</v>
      </c>
      <c r="P7" s="12"/>
      <c r="Q7" s="12"/>
      <c r="R7" s="44">
        <v>106099.236</v>
      </c>
      <c r="S7" s="12">
        <v>123210.048</v>
      </c>
      <c r="T7" s="82">
        <v>140089.43799999999</v>
      </c>
      <c r="U7" s="12">
        <v>158092.51699999999</v>
      </c>
      <c r="V7" s="12">
        <v>172331.01300000001</v>
      </c>
      <c r="W7" s="32">
        <v>166381.489</v>
      </c>
      <c r="X7" s="32">
        <v>166804.177</v>
      </c>
      <c r="Y7" s="32">
        <v>164708.511</v>
      </c>
      <c r="Z7" s="32">
        <v>183009.49799999999</v>
      </c>
      <c r="AA7" s="32">
        <v>219026.77600000001</v>
      </c>
      <c r="AB7" s="32">
        <v>357178.05800000002</v>
      </c>
      <c r="AC7" s="32">
        <v>373942</v>
      </c>
      <c r="AD7" s="12">
        <v>305097.63500000001</v>
      </c>
      <c r="AE7" s="13">
        <v>275364.20400000003</v>
      </c>
      <c r="AF7" s="12">
        <v>251967.459</v>
      </c>
      <c r="AG7" s="12">
        <v>231566.29199999999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5271</v>
      </c>
      <c r="C8" s="12">
        <v>5506</v>
      </c>
      <c r="D8" s="12">
        <v>5394</v>
      </c>
      <c r="E8" s="12"/>
      <c r="F8" s="12"/>
      <c r="G8" s="12"/>
      <c r="H8" s="12"/>
      <c r="I8" s="12">
        <v>10203.766</v>
      </c>
      <c r="J8" s="32">
        <v>13352.663</v>
      </c>
      <c r="K8" s="12">
        <v>14474.331</v>
      </c>
      <c r="L8" s="12">
        <v>15145.637000000001</v>
      </c>
      <c r="M8" s="12">
        <v>16868.38</v>
      </c>
      <c r="N8" s="12">
        <v>22613.844000000001</v>
      </c>
      <c r="O8" s="12">
        <v>8908.66</v>
      </c>
      <c r="P8" s="12"/>
      <c r="Q8" s="12"/>
      <c r="R8" s="63">
        <v>35504.879000000001</v>
      </c>
      <c r="S8" s="12">
        <v>40184.910000000003</v>
      </c>
      <c r="T8" s="82">
        <v>57615.167000000001</v>
      </c>
      <c r="U8" s="12">
        <v>68808.544999999998</v>
      </c>
      <c r="V8" s="12">
        <v>78584.574999999997</v>
      </c>
      <c r="W8" s="32">
        <v>78603.885999999999</v>
      </c>
      <c r="X8" s="32">
        <v>80825.356</v>
      </c>
      <c r="Y8" s="32">
        <v>96024.524000000005</v>
      </c>
      <c r="Z8" s="32">
        <v>116039.49099999999</v>
      </c>
      <c r="AA8" s="32">
        <v>117844.424</v>
      </c>
      <c r="AB8" s="32">
        <v>176416.421</v>
      </c>
      <c r="AC8" s="32">
        <v>205146</v>
      </c>
      <c r="AD8" s="12">
        <v>196926.84</v>
      </c>
      <c r="AE8" s="13">
        <v>182588.508</v>
      </c>
      <c r="AF8" s="12">
        <v>160320.321</v>
      </c>
      <c r="AG8" s="12">
        <v>151320.52299999999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3423</v>
      </c>
      <c r="E9" s="12"/>
      <c r="F9" s="12"/>
      <c r="G9" s="12"/>
      <c r="H9" s="12"/>
      <c r="I9" s="12">
        <v>3659.9070000000002</v>
      </c>
      <c r="J9" s="32">
        <v>5895.75</v>
      </c>
      <c r="K9" s="12"/>
      <c r="L9" s="12"/>
      <c r="M9" s="12">
        <v>5952.424</v>
      </c>
      <c r="N9" s="12">
        <v>5300.7910000000002</v>
      </c>
      <c r="O9" s="12">
        <v>4214.9110000000001</v>
      </c>
      <c r="P9" s="12"/>
      <c r="Q9" s="12"/>
      <c r="R9" s="63">
        <v>6977.5879999999997</v>
      </c>
      <c r="S9" s="61">
        <v>8741.5560000000005</v>
      </c>
      <c r="T9" s="83">
        <v>9242.1689999999999</v>
      </c>
      <c r="U9" s="61">
        <v>10606.538</v>
      </c>
      <c r="V9" s="61">
        <v>11036.425999999999</v>
      </c>
      <c r="W9" s="32">
        <v>11240.156999999999</v>
      </c>
      <c r="X9" s="32">
        <v>10277.687</v>
      </c>
      <c r="Y9" s="32">
        <v>11090.058000000001</v>
      </c>
      <c r="Z9" s="32">
        <v>11784.25</v>
      </c>
      <c r="AA9" s="32">
        <v>14924.436</v>
      </c>
      <c r="AB9" s="32">
        <v>21720.352999999999</v>
      </c>
      <c r="AC9" s="32">
        <v>30484</v>
      </c>
      <c r="AD9" s="12">
        <v>33681.336000000003</v>
      </c>
      <c r="AE9" s="13">
        <v>28612.805</v>
      </c>
      <c r="AF9" s="12">
        <v>29118.895</v>
      </c>
      <c r="AG9" s="12">
        <v>27225.987000000001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44390</v>
      </c>
      <c r="C10" s="12">
        <v>47530</v>
      </c>
      <c r="D10" s="12">
        <v>52213</v>
      </c>
      <c r="E10" s="12"/>
      <c r="F10" s="12"/>
      <c r="G10" s="12"/>
      <c r="H10" s="12"/>
      <c r="I10" s="12">
        <v>92050.104000000007</v>
      </c>
      <c r="J10" s="32">
        <v>127022.227</v>
      </c>
      <c r="K10" s="12">
        <v>154364.12700000001</v>
      </c>
      <c r="L10" s="12">
        <v>159841.44</v>
      </c>
      <c r="M10" s="12">
        <v>174862.89</v>
      </c>
      <c r="N10" s="12">
        <v>175818.823</v>
      </c>
      <c r="O10" s="12">
        <v>89985.085000000006</v>
      </c>
      <c r="P10" s="12"/>
      <c r="Q10" s="12"/>
      <c r="R10" s="63">
        <v>271329.73499999999</v>
      </c>
      <c r="S10" s="12">
        <v>325838.489</v>
      </c>
      <c r="T10" s="82">
        <v>283064.25900000002</v>
      </c>
      <c r="U10" s="12">
        <v>211357.81200000001</v>
      </c>
      <c r="V10" s="12">
        <v>215989.34899999999</v>
      </c>
      <c r="W10" s="32">
        <v>210440.51500000001</v>
      </c>
      <c r="X10" s="32">
        <v>211518.739</v>
      </c>
      <c r="Y10" s="32">
        <v>317525.80599999998</v>
      </c>
      <c r="Z10" s="32">
        <v>378990.59299999999</v>
      </c>
      <c r="AA10" s="32">
        <v>550781.48100000003</v>
      </c>
      <c r="AB10" s="32">
        <v>875659.34499999997</v>
      </c>
      <c r="AC10" s="32">
        <v>1100001</v>
      </c>
      <c r="AD10" s="12">
        <v>1094036.32</v>
      </c>
      <c r="AE10" s="13">
        <v>1025158.459</v>
      </c>
      <c r="AF10" s="12">
        <v>1018765.755</v>
      </c>
      <c r="AG10" s="12">
        <v>1001276.964</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8535</v>
      </c>
      <c r="C11" s="12">
        <v>8751</v>
      </c>
      <c r="D11" s="12">
        <v>8812</v>
      </c>
      <c r="E11" s="12"/>
      <c r="F11" s="12"/>
      <c r="G11" s="12"/>
      <c r="H11" s="12"/>
      <c r="I11" s="12">
        <v>22182.195</v>
      </c>
      <c r="J11" s="32">
        <v>36066.877</v>
      </c>
      <c r="K11" s="12">
        <v>44758.57</v>
      </c>
      <c r="L11" s="12">
        <v>51152.381000000001</v>
      </c>
      <c r="M11" s="12">
        <v>51359.248</v>
      </c>
      <c r="N11" s="12">
        <v>41312.703999999998</v>
      </c>
      <c r="O11" s="12">
        <v>14074.785019999999</v>
      </c>
      <c r="P11" s="12"/>
      <c r="Q11" s="12"/>
      <c r="R11" s="63">
        <v>71513.919999999998</v>
      </c>
      <c r="S11" s="12">
        <v>78884.789999999994</v>
      </c>
      <c r="T11" s="82">
        <v>144201.89799999999</v>
      </c>
      <c r="U11" s="12">
        <v>154966.42499999999</v>
      </c>
      <c r="V11" s="12">
        <v>171458.18700000001</v>
      </c>
      <c r="W11" s="32">
        <v>171408.66099999999</v>
      </c>
      <c r="X11" s="32">
        <v>169798.38399999999</v>
      </c>
      <c r="Y11" s="32">
        <v>169497.09299999999</v>
      </c>
      <c r="Z11" s="32">
        <v>190123.57</v>
      </c>
      <c r="AA11" s="32">
        <v>122126.712</v>
      </c>
      <c r="AB11" s="32">
        <v>466789.29200000002</v>
      </c>
      <c r="AC11" s="32">
        <v>528278</v>
      </c>
      <c r="AD11" s="12">
        <v>550086.10199999996</v>
      </c>
      <c r="AE11" s="13">
        <v>440174.41600000003</v>
      </c>
      <c r="AF11" s="12">
        <v>168462.41399999999</v>
      </c>
      <c r="AG11" s="12">
        <v>163744.06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6990</v>
      </c>
      <c r="C12" s="12">
        <v>7760</v>
      </c>
      <c r="D12" s="12">
        <v>8029</v>
      </c>
      <c r="E12" s="12"/>
      <c r="F12" s="12"/>
      <c r="G12" s="12"/>
      <c r="H12" s="12"/>
      <c r="I12" s="12">
        <v>17345.361000000001</v>
      </c>
      <c r="J12" s="32">
        <v>23126.214</v>
      </c>
      <c r="K12" s="12">
        <v>26962.016</v>
      </c>
      <c r="L12" s="12">
        <v>29998.574000000001</v>
      </c>
      <c r="M12" s="12">
        <v>28793.755000000001</v>
      </c>
      <c r="N12" s="12">
        <v>27701.592000000001</v>
      </c>
      <c r="O12" s="12">
        <v>6100.3040000000001</v>
      </c>
      <c r="P12" s="12"/>
      <c r="Q12" s="12"/>
      <c r="R12" s="34">
        <v>59661.792999999998</v>
      </c>
      <c r="S12" s="12">
        <v>47810.957000000002</v>
      </c>
      <c r="T12" s="82">
        <v>6817.6729999999998</v>
      </c>
      <c r="U12" s="12">
        <v>7722.5990000000002</v>
      </c>
      <c r="V12" s="12">
        <v>8487.8040000000001</v>
      </c>
      <c r="W12" s="32">
        <v>99007.577999999994</v>
      </c>
      <c r="X12" s="32">
        <v>105158.745</v>
      </c>
      <c r="Y12" s="32">
        <v>106731.867</v>
      </c>
      <c r="Z12" s="32">
        <v>121708.406</v>
      </c>
      <c r="AA12" s="32">
        <v>130275.21</v>
      </c>
      <c r="AB12" s="32">
        <v>213952.47899999999</v>
      </c>
      <c r="AC12" s="32">
        <v>253256</v>
      </c>
      <c r="AD12" s="12">
        <v>242453.51199999999</v>
      </c>
      <c r="AE12" s="13">
        <v>235093.516</v>
      </c>
      <c r="AF12" s="12">
        <v>200480.04399999999</v>
      </c>
      <c r="AG12" s="12">
        <v>190581.98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4142</v>
      </c>
      <c r="C13" s="12">
        <v>4843</v>
      </c>
      <c r="D13" s="12">
        <v>5558</v>
      </c>
      <c r="E13" s="12"/>
      <c r="F13" s="12"/>
      <c r="G13" s="12"/>
      <c r="H13" s="12"/>
      <c r="I13" s="12">
        <v>12173.244000000001</v>
      </c>
      <c r="J13" s="32">
        <v>15810.272000000001</v>
      </c>
      <c r="K13" s="12">
        <v>17595.804</v>
      </c>
      <c r="L13" s="12">
        <v>19627.314999999999</v>
      </c>
      <c r="M13" s="12">
        <v>22133.912</v>
      </c>
      <c r="N13" s="12">
        <v>26797.166000000001</v>
      </c>
      <c r="O13" s="12">
        <v>9690.5023800000017</v>
      </c>
      <c r="P13" s="12"/>
      <c r="Q13" s="12"/>
      <c r="R13" s="34">
        <v>41465.877</v>
      </c>
      <c r="S13" s="12">
        <v>49947.035000000003</v>
      </c>
      <c r="T13" s="82">
        <v>63117.987000000001</v>
      </c>
      <c r="U13" s="12">
        <v>91763.506999999998</v>
      </c>
      <c r="V13" s="12">
        <v>99660.361999999994</v>
      </c>
      <c r="W13" s="32">
        <v>92363.133000000002</v>
      </c>
      <c r="X13" s="32">
        <v>93038.543999999994</v>
      </c>
      <c r="Y13" s="32">
        <v>97889.471000000005</v>
      </c>
      <c r="Z13" s="32">
        <v>118478.87699999999</v>
      </c>
      <c r="AA13" s="32">
        <v>73801.122000000003</v>
      </c>
      <c r="AB13" s="32">
        <v>187774.77499999999</v>
      </c>
      <c r="AC13" s="32">
        <v>212111</v>
      </c>
      <c r="AD13" s="12">
        <v>197321.11</v>
      </c>
      <c r="AE13" s="13">
        <v>182627.11</v>
      </c>
      <c r="AF13" s="12">
        <v>155801.21400000001</v>
      </c>
      <c r="AG13" s="12">
        <v>164575.212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21108</v>
      </c>
      <c r="C14" s="12">
        <v>21599</v>
      </c>
      <c r="D14" s="12">
        <v>24109</v>
      </c>
      <c r="E14" s="12"/>
      <c r="F14" s="12"/>
      <c r="G14" s="12"/>
      <c r="H14" s="12"/>
      <c r="I14" s="12">
        <v>31151.095000000001</v>
      </c>
      <c r="J14" s="32">
        <v>34036.076999999997</v>
      </c>
      <c r="K14" s="12">
        <v>45492.463000000003</v>
      </c>
      <c r="L14" s="12">
        <v>49098.815999999999</v>
      </c>
      <c r="M14" s="12">
        <v>44619.928999999996</v>
      </c>
      <c r="N14" s="12">
        <v>50406.353999999999</v>
      </c>
      <c r="O14" s="12">
        <v>19554.251</v>
      </c>
      <c r="P14" s="12"/>
      <c r="Q14" s="12"/>
      <c r="R14" s="34">
        <v>60285.83</v>
      </c>
      <c r="S14" s="12">
        <v>64922.021999999997</v>
      </c>
      <c r="T14" s="82">
        <v>76041.19</v>
      </c>
      <c r="U14" s="12">
        <v>88964.948000000004</v>
      </c>
      <c r="V14" s="12">
        <v>94231.762000000002</v>
      </c>
      <c r="W14" s="32">
        <v>98219.372000000003</v>
      </c>
      <c r="X14" s="32">
        <v>95560.259000000005</v>
      </c>
      <c r="Y14" s="32">
        <v>95059.611000000004</v>
      </c>
      <c r="Z14" s="32">
        <v>109986.643</v>
      </c>
      <c r="AA14" s="32">
        <v>144933.99400000001</v>
      </c>
      <c r="AB14" s="32">
        <v>196421.054</v>
      </c>
      <c r="AC14" s="32">
        <v>237152</v>
      </c>
      <c r="AD14" s="12">
        <v>244764.83499999999</v>
      </c>
      <c r="AE14" s="13">
        <v>237623.74900000001</v>
      </c>
      <c r="AF14" s="12">
        <v>231932.54500000001</v>
      </c>
      <c r="AG14" s="12">
        <v>217260.68900000001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20820</v>
      </c>
      <c r="C15" s="12">
        <v>21395</v>
      </c>
      <c r="D15" s="12">
        <v>23821</v>
      </c>
      <c r="E15" s="12"/>
      <c r="F15" s="12"/>
      <c r="G15" s="12"/>
      <c r="H15" s="12"/>
      <c r="I15" s="12">
        <v>40727.853000000003</v>
      </c>
      <c r="J15" s="32">
        <v>46397.231</v>
      </c>
      <c r="K15" s="12">
        <v>54199.222000000002</v>
      </c>
      <c r="L15" s="12">
        <v>59928.468999999997</v>
      </c>
      <c r="M15" s="12">
        <v>57740.152999999998</v>
      </c>
      <c r="N15" s="12">
        <v>59624.271000000001</v>
      </c>
      <c r="O15" s="12">
        <v>23484.609</v>
      </c>
      <c r="P15" s="12"/>
      <c r="Q15" s="12"/>
      <c r="R15" s="34">
        <v>81390.635999999999</v>
      </c>
      <c r="S15" s="12">
        <v>84449.811000000002</v>
      </c>
      <c r="T15" s="82">
        <v>116459.091</v>
      </c>
      <c r="U15" s="12">
        <v>138722.07</v>
      </c>
      <c r="V15" s="12">
        <v>157998.478</v>
      </c>
      <c r="W15" s="32">
        <v>157820.06099999999</v>
      </c>
      <c r="X15" s="32">
        <v>166682.33900000001</v>
      </c>
      <c r="Y15" s="32">
        <v>172684.35</v>
      </c>
      <c r="Z15" s="32">
        <v>176688.85500000001</v>
      </c>
      <c r="AA15" s="32">
        <v>222379.93799999999</v>
      </c>
      <c r="AB15" s="32">
        <v>348902.71</v>
      </c>
      <c r="AC15" s="32">
        <v>411377</v>
      </c>
      <c r="AD15" s="12">
        <v>321143.37800000003</v>
      </c>
      <c r="AE15" s="13">
        <v>278999.63099999999</v>
      </c>
      <c r="AF15" s="12">
        <v>261433.16500000001</v>
      </c>
      <c r="AG15" s="12">
        <v>238053.579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19697</v>
      </c>
      <c r="C16" s="20">
        <v>19712</v>
      </c>
      <c r="D16" s="20">
        <v>22106</v>
      </c>
      <c r="E16" s="20"/>
      <c r="F16" s="20"/>
      <c r="G16" s="20"/>
      <c r="H16" s="20"/>
      <c r="I16" s="20">
        <v>33966.851000000002</v>
      </c>
      <c r="J16" s="33">
        <v>45194.004999999997</v>
      </c>
      <c r="K16" s="20">
        <v>54844.851000000002</v>
      </c>
      <c r="L16" s="20">
        <v>63419.326000000001</v>
      </c>
      <c r="M16" s="20">
        <v>65888.875</v>
      </c>
      <c r="N16" s="20">
        <v>64721.614999999998</v>
      </c>
      <c r="O16" s="20">
        <v>18402.839690000001</v>
      </c>
      <c r="P16" s="20"/>
      <c r="Q16" s="20"/>
      <c r="R16" s="66">
        <v>108857.2</v>
      </c>
      <c r="S16" s="20">
        <v>120413.11500000001</v>
      </c>
      <c r="T16" s="20">
        <v>168635.01300000001</v>
      </c>
      <c r="U16" s="20">
        <v>199358.16899999999</v>
      </c>
      <c r="V16" s="20">
        <v>224575.37299999999</v>
      </c>
      <c r="W16" s="33">
        <v>236619.02</v>
      </c>
      <c r="X16" s="33">
        <v>222926.03</v>
      </c>
      <c r="Y16" s="33">
        <v>217894.62700000001</v>
      </c>
      <c r="Z16" s="33">
        <v>236550.86199999999</v>
      </c>
      <c r="AA16" s="33">
        <v>307714.00300000003</v>
      </c>
      <c r="AB16" s="33">
        <v>515522.18</v>
      </c>
      <c r="AC16" s="33">
        <v>606139</v>
      </c>
      <c r="AD16" s="20">
        <v>586194.78099999996</v>
      </c>
      <c r="AE16" s="65">
        <v>572570.91399999999</v>
      </c>
      <c r="AF16" s="20">
        <v>554628.96499999997</v>
      </c>
      <c r="AG16" s="20">
        <v>525971.54799999995</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9362</v>
      </c>
      <c r="C17" s="20">
        <v>10755</v>
      </c>
      <c r="D17" s="20">
        <v>12890</v>
      </c>
      <c r="E17" s="20"/>
      <c r="F17" s="20"/>
      <c r="G17" s="20"/>
      <c r="H17" s="20"/>
      <c r="I17" s="20">
        <v>25856.292000000001</v>
      </c>
      <c r="J17" s="33">
        <v>31077.562999999998</v>
      </c>
      <c r="K17" s="20">
        <v>33254.514999999999</v>
      </c>
      <c r="L17" s="20">
        <v>35912.504999999997</v>
      </c>
      <c r="M17" s="20">
        <v>36489.364000000001</v>
      </c>
      <c r="N17" s="20">
        <v>36546.798999999999</v>
      </c>
      <c r="O17" s="20">
        <v>10743.11637</v>
      </c>
      <c r="P17" s="20"/>
      <c r="Q17" s="20"/>
      <c r="R17" s="66">
        <v>41293.921000000002</v>
      </c>
      <c r="S17" s="20">
        <v>51143.421999999999</v>
      </c>
      <c r="T17" s="20">
        <v>65006.154999999999</v>
      </c>
      <c r="U17" s="20">
        <v>73373.032000000007</v>
      </c>
      <c r="V17" s="20">
        <v>78827.680999999997</v>
      </c>
      <c r="W17" s="33">
        <v>81012.489000000001</v>
      </c>
      <c r="X17" s="33">
        <v>80419.974000000002</v>
      </c>
      <c r="Y17" s="33">
        <v>65307.932999999997</v>
      </c>
      <c r="Z17" s="33">
        <v>74789.739000000001</v>
      </c>
      <c r="AA17" s="33">
        <v>96007.097999999998</v>
      </c>
      <c r="AB17" s="33">
        <v>144381.85500000001</v>
      </c>
      <c r="AC17" s="33">
        <v>171083</v>
      </c>
      <c r="AD17" s="20">
        <v>169835.19899999999</v>
      </c>
      <c r="AE17" s="65">
        <v>162505.77499999999</v>
      </c>
      <c r="AF17" s="20">
        <v>149071.992</v>
      </c>
      <c r="AG17" s="20">
        <v>147518.046</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24559</v>
      </c>
      <c r="C18" s="20">
        <v>24330</v>
      </c>
      <c r="D18" s="20">
        <v>24393</v>
      </c>
      <c r="E18" s="20"/>
      <c r="F18" s="20"/>
      <c r="G18" s="20"/>
      <c r="H18" s="20"/>
      <c r="I18" s="20">
        <v>33847.216999999997</v>
      </c>
      <c r="J18" s="33">
        <v>42580.449000000001</v>
      </c>
      <c r="K18" s="20">
        <v>47608.372000000003</v>
      </c>
      <c r="L18" s="20">
        <v>48966.705000000002</v>
      </c>
      <c r="M18" s="20">
        <v>50227.182999999997</v>
      </c>
      <c r="N18" s="20">
        <v>51562.824999999997</v>
      </c>
      <c r="O18" s="20">
        <v>27593.816999999999</v>
      </c>
      <c r="P18" s="20"/>
      <c r="Q18" s="20"/>
      <c r="R18" s="66">
        <v>70065.278000000006</v>
      </c>
      <c r="S18" s="20">
        <v>77203.801999999996</v>
      </c>
      <c r="T18" s="20">
        <v>104865.234</v>
      </c>
      <c r="U18" s="20">
        <v>130015.785</v>
      </c>
      <c r="V18" s="20">
        <v>141528.86499999999</v>
      </c>
      <c r="W18" s="33">
        <v>129926.40399999999</v>
      </c>
      <c r="X18" s="33">
        <v>123580.47900000001</v>
      </c>
      <c r="Y18" s="33">
        <v>128794.95299999999</v>
      </c>
      <c r="Z18" s="33">
        <v>148275.19200000001</v>
      </c>
      <c r="AA18" s="33">
        <v>179969.84099999999</v>
      </c>
      <c r="AB18" s="33">
        <v>291678.37199999997</v>
      </c>
      <c r="AC18" s="33">
        <v>322407</v>
      </c>
      <c r="AD18" s="20">
        <v>296779.27600000001</v>
      </c>
      <c r="AE18" s="65">
        <v>294753.33</v>
      </c>
      <c r="AF18" s="20">
        <v>288424.04300000001</v>
      </c>
      <c r="AG18" s="20">
        <v>257193.13800000001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29130</v>
      </c>
      <c r="C19" s="20">
        <v>41459</v>
      </c>
      <c r="D19" s="20">
        <v>49279</v>
      </c>
      <c r="E19" s="20"/>
      <c r="F19" s="20"/>
      <c r="G19" s="20"/>
      <c r="H19" s="20"/>
      <c r="I19" s="20">
        <v>52478.427000000003</v>
      </c>
      <c r="J19" s="33">
        <v>55840.163999999997</v>
      </c>
      <c r="K19" s="20">
        <v>64889.466</v>
      </c>
      <c r="L19" s="20">
        <v>66185.332999999999</v>
      </c>
      <c r="M19" s="20">
        <v>64188.510999999999</v>
      </c>
      <c r="N19" s="20">
        <v>59780.898000000001</v>
      </c>
      <c r="O19" s="20">
        <v>30520.863000000001</v>
      </c>
      <c r="P19" s="20"/>
      <c r="Q19" s="20"/>
      <c r="R19" s="90">
        <v>82175.661999999997</v>
      </c>
      <c r="S19" s="20">
        <v>74739.981</v>
      </c>
      <c r="T19" s="20">
        <v>85209.650999999998</v>
      </c>
      <c r="U19" s="20">
        <v>93742.922999999995</v>
      </c>
      <c r="V19" s="20">
        <v>94293.740999999995</v>
      </c>
      <c r="W19" s="33">
        <v>101081.946</v>
      </c>
      <c r="X19" s="33">
        <v>92740.763999999996</v>
      </c>
      <c r="Y19" s="33">
        <v>94903.027000000002</v>
      </c>
      <c r="Z19" s="33">
        <v>98963.32</v>
      </c>
      <c r="AA19" s="33">
        <v>128009.27899999999</v>
      </c>
      <c r="AB19" s="33">
        <v>232018.45</v>
      </c>
      <c r="AC19" s="33">
        <v>236754</v>
      </c>
      <c r="AD19" s="20">
        <v>220966.58499999999</v>
      </c>
      <c r="AE19" s="65">
        <v>206442.66399999999</v>
      </c>
      <c r="AF19" s="20">
        <v>193808.80300000001</v>
      </c>
      <c r="AG19" s="20">
        <v>185581.01</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49513</v>
      </c>
      <c r="C20" s="20">
        <v>52184</v>
      </c>
      <c r="D20" s="20">
        <v>64299</v>
      </c>
      <c r="E20" s="20"/>
      <c r="F20" s="20"/>
      <c r="G20" s="20"/>
      <c r="H20" s="20"/>
      <c r="I20" s="20">
        <v>135038.976</v>
      </c>
      <c r="J20" s="33">
        <v>155387.033</v>
      </c>
      <c r="K20" s="20">
        <v>204072.66699999999</v>
      </c>
      <c r="L20" s="20">
        <v>244823.17800000001</v>
      </c>
      <c r="M20" s="20">
        <v>258742.073</v>
      </c>
      <c r="N20" s="20">
        <v>278982.32699999999</v>
      </c>
      <c r="O20" s="20">
        <v>120973.75900000001</v>
      </c>
      <c r="P20" s="20"/>
      <c r="Q20" s="20"/>
      <c r="R20" s="66">
        <v>343317.68800000002</v>
      </c>
      <c r="S20" s="20">
        <v>390196.23100000003</v>
      </c>
      <c r="T20" s="20">
        <v>465736.64299999998</v>
      </c>
      <c r="U20" s="20">
        <v>547675.09199999995</v>
      </c>
      <c r="V20" s="20">
        <v>587136.35199999996</v>
      </c>
      <c r="W20" s="33">
        <v>615917.72400000005</v>
      </c>
      <c r="X20" s="33">
        <v>612900.45900000003</v>
      </c>
      <c r="Y20" s="33">
        <v>601788.02899999998</v>
      </c>
      <c r="Z20" s="33">
        <v>672400.46900000004</v>
      </c>
      <c r="AA20" s="33">
        <v>813128.20900000003</v>
      </c>
      <c r="AB20" s="33">
        <v>1255627.439</v>
      </c>
      <c r="AC20" s="33">
        <v>1433404</v>
      </c>
      <c r="AD20" s="20">
        <v>1340815.8670000001</v>
      </c>
      <c r="AE20" s="65">
        <v>1286263.1340000001</v>
      </c>
      <c r="AF20" s="20">
        <v>1216124.388</v>
      </c>
      <c r="AG20" s="20">
        <v>1150602.297</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20590</v>
      </c>
      <c r="C21" s="20">
        <v>22096</v>
      </c>
      <c r="D21" s="20">
        <v>24833</v>
      </c>
      <c r="E21" s="20"/>
      <c r="F21" s="20"/>
      <c r="G21" s="20"/>
      <c r="H21" s="20"/>
      <c r="I21" s="20">
        <v>33599.076999999997</v>
      </c>
      <c r="J21" s="33">
        <v>43287.457999999999</v>
      </c>
      <c r="K21" s="20">
        <v>53585.737999999998</v>
      </c>
      <c r="L21" s="20">
        <v>56470.356</v>
      </c>
      <c r="M21" s="20">
        <v>57426.667000000001</v>
      </c>
      <c r="N21" s="20">
        <v>56426.059000000001</v>
      </c>
      <c r="O21" s="20">
        <v>24227.651000000002</v>
      </c>
      <c r="P21" s="20"/>
      <c r="Q21" s="20"/>
      <c r="R21" s="66">
        <v>70443.070999999996</v>
      </c>
      <c r="S21" s="20">
        <v>78199.043000000005</v>
      </c>
      <c r="T21" s="20">
        <v>95997.016000000003</v>
      </c>
      <c r="U21" s="20">
        <v>111831.17</v>
      </c>
      <c r="V21" s="20">
        <v>117637.652</v>
      </c>
      <c r="W21" s="33">
        <v>113094.557</v>
      </c>
      <c r="X21" s="33">
        <v>110682.076</v>
      </c>
      <c r="Y21" s="33">
        <v>103617.113</v>
      </c>
      <c r="Z21" s="33">
        <v>120280.577</v>
      </c>
      <c r="AA21" s="33">
        <v>151711.61300000001</v>
      </c>
      <c r="AB21" s="33">
        <v>243430.40900000001</v>
      </c>
      <c r="AC21" s="33">
        <v>302519</v>
      </c>
      <c r="AD21" s="20">
        <v>312244.973</v>
      </c>
      <c r="AE21" s="65">
        <v>306886.20199999999</v>
      </c>
      <c r="AF21" s="20">
        <v>310014.141</v>
      </c>
      <c r="AG21" s="20">
        <v>305943.06699999998</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1989</v>
      </c>
      <c r="C22" s="51">
        <v>2166</v>
      </c>
      <c r="D22" s="51">
        <v>2646</v>
      </c>
      <c r="E22" s="51"/>
      <c r="F22" s="51"/>
      <c r="G22" s="51"/>
      <c r="H22" s="51"/>
      <c r="I22" s="51">
        <v>3742.57</v>
      </c>
      <c r="J22" s="50">
        <v>4096.2820000000002</v>
      </c>
      <c r="K22" s="51">
        <v>4335.0469999999996</v>
      </c>
      <c r="L22" s="51">
        <v>5535.5640000000003</v>
      </c>
      <c r="M22" s="51">
        <v>5929.51</v>
      </c>
      <c r="N22" s="51">
        <v>5968.79</v>
      </c>
      <c r="O22" s="51">
        <v>1270.5880300000001</v>
      </c>
      <c r="P22" s="51"/>
      <c r="Q22" s="51"/>
      <c r="R22" s="51">
        <v>6011.3549999999996</v>
      </c>
      <c r="S22" s="51">
        <v>7962.1019999999999</v>
      </c>
      <c r="T22" s="51">
        <v>7504.4549999999999</v>
      </c>
      <c r="U22" s="51">
        <v>9671.4179999999997</v>
      </c>
      <c r="V22" s="51">
        <v>8818.9879999999994</v>
      </c>
      <c r="W22" s="50">
        <v>17495.02</v>
      </c>
      <c r="X22" s="50">
        <v>14757.164000000001</v>
      </c>
      <c r="Y22" s="50">
        <v>19573.614000000001</v>
      </c>
      <c r="Z22" s="50">
        <v>27017.962</v>
      </c>
      <c r="AA22" s="50">
        <v>29425.963</v>
      </c>
      <c r="AB22" s="50">
        <v>55331.735000000001</v>
      </c>
      <c r="AC22" s="50">
        <v>64761</v>
      </c>
      <c r="AD22" s="51">
        <v>59706.457999999999</v>
      </c>
      <c r="AE22" s="64">
        <v>55369.656000000003</v>
      </c>
      <c r="AF22" s="51">
        <v>51488.748</v>
      </c>
      <c r="AG22" s="51">
        <v>51955.512999999999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Z23" si="8">SUM(C25:C37)</f>
        <v>0</v>
      </c>
      <c r="D23" s="104">
        <f t="shared" si="8"/>
        <v>0</v>
      </c>
      <c r="E23" s="104">
        <f t="shared" si="8"/>
        <v>0</v>
      </c>
      <c r="F23" s="104">
        <f t="shared" si="8"/>
        <v>0</v>
      </c>
      <c r="G23" s="104">
        <f t="shared" si="8"/>
        <v>0</v>
      </c>
      <c r="H23" s="104">
        <f t="shared" si="8"/>
        <v>0</v>
      </c>
      <c r="I23" s="104">
        <f t="shared" si="8"/>
        <v>0</v>
      </c>
      <c r="J23" s="104">
        <f t="shared" si="8"/>
        <v>494759.83099999995</v>
      </c>
      <c r="K23" s="104">
        <f t="shared" si="8"/>
        <v>0</v>
      </c>
      <c r="L23" s="104">
        <f t="shared" si="8"/>
        <v>0</v>
      </c>
      <c r="M23" s="104">
        <f t="shared" si="8"/>
        <v>685530.77800000005</v>
      </c>
      <c r="N23" s="104">
        <f t="shared" si="8"/>
        <v>0</v>
      </c>
      <c r="O23" s="104">
        <f t="shared" si="8"/>
        <v>347061.26502000005</v>
      </c>
      <c r="P23" s="104">
        <f t="shared" si="8"/>
        <v>0</v>
      </c>
      <c r="Q23" s="104">
        <f t="shared" si="8"/>
        <v>0</v>
      </c>
      <c r="R23" s="104">
        <f t="shared" si="8"/>
        <v>845225.07600000012</v>
      </c>
      <c r="S23" s="104">
        <f t="shared" si="8"/>
        <v>937197.16799999995</v>
      </c>
      <c r="T23" s="104">
        <f t="shared" si="8"/>
        <v>1122436.9599999997</v>
      </c>
      <c r="U23" s="104">
        <f t="shared" si="8"/>
        <v>1235909.9709999999</v>
      </c>
      <c r="V23" s="104">
        <f t="shared" si="8"/>
        <v>1305680.3420000002</v>
      </c>
      <c r="W23" s="104">
        <f t="shared" si="8"/>
        <v>1566660.443</v>
      </c>
      <c r="X23" s="104">
        <f t="shared" si="8"/>
        <v>1560079.8310000002</v>
      </c>
      <c r="Y23" s="104">
        <f t="shared" si="8"/>
        <v>1520530.111</v>
      </c>
      <c r="Z23" s="104">
        <f t="shared" si="8"/>
        <v>1804664.6040000001</v>
      </c>
      <c r="AA23" s="104">
        <f>SUM(AA25:AA37)</f>
        <v>2359636.3140000002</v>
      </c>
      <c r="AB23" s="104">
        <f>SUM(AB25:AB37)</f>
        <v>3442741.8929999992</v>
      </c>
      <c r="AC23" s="104">
        <f>SUM(AC25:AC37)</f>
        <v>4281960</v>
      </c>
      <c r="AD23" s="104">
        <f t="shared" ref="AD23:AG23" si="9">SUM(AD25:AD37)</f>
        <v>4007370.8870000001</v>
      </c>
      <c r="AE23" s="104">
        <f t="shared" si="9"/>
        <v>3821623.8769999999</v>
      </c>
      <c r="AF23" s="104">
        <f t="shared" si="9"/>
        <v>2792552.3430000003</v>
      </c>
      <c r="AG23" s="104">
        <f t="shared" si="9"/>
        <v>2738894.0219999999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385.51600000000002</v>
      </c>
      <c r="K25" s="20"/>
      <c r="L25" s="20"/>
      <c r="M25" s="20">
        <v>0</v>
      </c>
      <c r="N25" s="20"/>
      <c r="O25" s="20">
        <v>143.42099999999999</v>
      </c>
      <c r="P25" s="20"/>
      <c r="Q25" s="20"/>
      <c r="R25" s="66">
        <v>1408.673</v>
      </c>
      <c r="S25" s="20">
        <v>9.923</v>
      </c>
      <c r="T25" s="20">
        <v>1476.838</v>
      </c>
      <c r="U25" s="20">
        <v>3384.944</v>
      </c>
      <c r="V25" s="20">
        <v>4178.3280000000004</v>
      </c>
      <c r="W25" s="33">
        <v>599.15800000000002</v>
      </c>
      <c r="X25" s="33">
        <v>2791.6019999999999</v>
      </c>
      <c r="Y25" s="33">
        <v>3338.3049999999998</v>
      </c>
      <c r="Z25" s="33">
        <v>2814.857</v>
      </c>
      <c r="AA25" s="33">
        <v>2610.8980000000001</v>
      </c>
      <c r="AB25" s="33">
        <v>2777.989</v>
      </c>
      <c r="AC25" s="33">
        <v>520</v>
      </c>
      <c r="AD25" s="20">
        <v>3877.7579999999998</v>
      </c>
      <c r="AE25" s="65">
        <v>2999.136</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41747.489000000001</v>
      </c>
      <c r="K26" s="20"/>
      <c r="L26" s="20"/>
      <c r="M26" s="20">
        <v>57800.667000000001</v>
      </c>
      <c r="N26" s="20"/>
      <c r="O26" s="20">
        <v>26723.002840000001</v>
      </c>
      <c r="P26" s="20"/>
      <c r="Q26" s="20"/>
      <c r="R26" s="66">
        <v>76524.206000000006</v>
      </c>
      <c r="S26" s="20">
        <v>84770.368000000002</v>
      </c>
      <c r="T26" s="20">
        <v>99206.423999999999</v>
      </c>
      <c r="U26" s="20">
        <v>76519.433999999994</v>
      </c>
      <c r="V26" s="20">
        <v>89795.023000000001</v>
      </c>
      <c r="W26" s="33">
        <v>97491.161999999997</v>
      </c>
      <c r="X26" s="33">
        <v>86980.759000000005</v>
      </c>
      <c r="Y26" s="33">
        <v>84317.001999999993</v>
      </c>
      <c r="Z26" s="33">
        <v>137280.16200000001</v>
      </c>
      <c r="AA26" s="33">
        <v>178744.35800000001</v>
      </c>
      <c r="AB26" s="33">
        <v>285978.40899999999</v>
      </c>
      <c r="AC26" s="33">
        <v>362636</v>
      </c>
      <c r="AD26" s="20">
        <v>377707.92599999998</v>
      </c>
      <c r="AE26" s="65">
        <v>350718.576</v>
      </c>
      <c r="AF26" s="20">
        <v>81180.28</v>
      </c>
      <c r="AG26" s="20">
        <v>76812.422000000006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217932.609</v>
      </c>
      <c r="K27" s="20"/>
      <c r="L27" s="20"/>
      <c r="M27" s="20">
        <v>345808.91100000002</v>
      </c>
      <c r="N27" s="20"/>
      <c r="O27" s="20">
        <v>157809.93425999998</v>
      </c>
      <c r="P27" s="20"/>
      <c r="Q27" s="20"/>
      <c r="R27" s="66">
        <v>395694.80200000003</v>
      </c>
      <c r="S27" s="20">
        <v>427173.58100000001</v>
      </c>
      <c r="T27" s="20">
        <v>505303.52399999998</v>
      </c>
      <c r="U27" s="20">
        <v>560758.24199999997</v>
      </c>
      <c r="V27" s="20">
        <v>599030.16700000002</v>
      </c>
      <c r="W27" s="33">
        <v>852597.91799999995</v>
      </c>
      <c r="X27" s="33">
        <v>860314.47400000005</v>
      </c>
      <c r="Y27" s="33">
        <v>868241.67099999997</v>
      </c>
      <c r="Z27" s="33">
        <v>1062320.898</v>
      </c>
      <c r="AA27" s="33">
        <v>1386451.807</v>
      </c>
      <c r="AB27" s="33">
        <v>1894452.8149999999</v>
      </c>
      <c r="AC27" s="33">
        <v>2341628</v>
      </c>
      <c r="AD27" s="20">
        <v>2168133.9679999999</v>
      </c>
      <c r="AE27" s="65">
        <v>2076886.939</v>
      </c>
      <c r="AF27" s="20">
        <v>1629466.081</v>
      </c>
      <c r="AG27" s="20">
        <v>1622316.996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34632.154999999999</v>
      </c>
      <c r="K28" s="20"/>
      <c r="L28" s="20"/>
      <c r="M28" s="20">
        <v>41709.997000000003</v>
      </c>
      <c r="N28" s="20"/>
      <c r="O28" s="20">
        <v>25942.577000000001</v>
      </c>
      <c r="P28" s="20"/>
      <c r="Q28" s="20"/>
      <c r="R28" s="66">
        <v>51764.951999999997</v>
      </c>
      <c r="S28" s="20">
        <v>56536.55</v>
      </c>
      <c r="T28" s="20">
        <v>68746.721000000005</v>
      </c>
      <c r="U28" s="20">
        <v>75467.410999999993</v>
      </c>
      <c r="V28" s="20">
        <v>85444.218999999997</v>
      </c>
      <c r="W28" s="33">
        <v>87642.716</v>
      </c>
      <c r="X28" s="33">
        <v>78696.244999999995</v>
      </c>
      <c r="Y28" s="33">
        <v>73425.092000000004</v>
      </c>
      <c r="Z28" s="33">
        <v>80742.953999999998</v>
      </c>
      <c r="AA28" s="33">
        <v>101491.005</v>
      </c>
      <c r="AB28" s="33">
        <v>173361.12100000001</v>
      </c>
      <c r="AC28" s="33">
        <v>188197</v>
      </c>
      <c r="AD28" s="20">
        <v>183578.946</v>
      </c>
      <c r="AE28" s="65">
        <v>186590.40599999999</v>
      </c>
      <c r="AF28" s="20">
        <v>76352.584000000003</v>
      </c>
      <c r="AG28" s="20">
        <v>71603.851999999999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5462.2460000000001</v>
      </c>
      <c r="K29" s="20"/>
      <c r="L29" s="20"/>
      <c r="M29" s="20">
        <v>11754.977000000001</v>
      </c>
      <c r="N29" s="20"/>
      <c r="O29" s="20">
        <v>5361.25</v>
      </c>
      <c r="P29" s="20"/>
      <c r="Q29" s="20"/>
      <c r="R29" s="66">
        <v>17153.511999999999</v>
      </c>
      <c r="S29" s="20">
        <v>18953.285</v>
      </c>
      <c r="T29" s="20">
        <v>22057.538</v>
      </c>
      <c r="U29" s="20">
        <v>26385.257000000001</v>
      </c>
      <c r="V29" s="20">
        <v>23197.784</v>
      </c>
      <c r="W29" s="33">
        <v>21157.510999999999</v>
      </c>
      <c r="X29" s="33">
        <v>20708.483</v>
      </c>
      <c r="Y29" s="33">
        <v>20896.545999999998</v>
      </c>
      <c r="Z29" s="33">
        <v>22393.437999999998</v>
      </c>
      <c r="AA29" s="33">
        <v>38165.402000000002</v>
      </c>
      <c r="AB29" s="33">
        <v>59316.159</v>
      </c>
      <c r="AC29" s="33">
        <v>67153</v>
      </c>
      <c r="AD29" s="20">
        <v>63362.345000000001</v>
      </c>
      <c r="AE29" s="65">
        <v>66372.89</v>
      </c>
      <c r="AF29" s="20">
        <v>74064.572</v>
      </c>
      <c r="AG29" s="20">
        <v>70393.752999999997</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8119.3019999999997</v>
      </c>
      <c r="K30" s="20"/>
      <c r="L30" s="20"/>
      <c r="M30" s="20">
        <v>6929.0249999999996</v>
      </c>
      <c r="N30" s="20"/>
      <c r="O30" s="20">
        <v>7380.8559999999998</v>
      </c>
      <c r="P30" s="20"/>
      <c r="Q30" s="20"/>
      <c r="R30" s="66">
        <v>11068.88</v>
      </c>
      <c r="S30" s="20">
        <v>15186.556</v>
      </c>
      <c r="T30" s="20">
        <v>18473.493999999999</v>
      </c>
      <c r="U30" s="20">
        <v>28002.241999999998</v>
      </c>
      <c r="V30" s="20">
        <v>30127.65</v>
      </c>
      <c r="W30" s="33">
        <v>31476.133000000002</v>
      </c>
      <c r="X30" s="33">
        <v>28887.756000000001</v>
      </c>
      <c r="Y30" s="33">
        <v>27589.355</v>
      </c>
      <c r="Z30" s="33">
        <v>28893.292000000001</v>
      </c>
      <c r="AA30" s="33">
        <v>34786.639999999999</v>
      </c>
      <c r="AB30" s="33">
        <v>74633.426999999996</v>
      </c>
      <c r="AC30" s="33">
        <v>100838</v>
      </c>
      <c r="AD30" s="20">
        <v>111889.56600000001</v>
      </c>
      <c r="AE30" s="65">
        <v>57228.822</v>
      </c>
      <c r="AF30" s="20">
        <v>50418.313000000002</v>
      </c>
      <c r="AG30" s="20">
        <v>56599.578999999998</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18684.670999999998</v>
      </c>
      <c r="K31" s="20"/>
      <c r="L31" s="20"/>
      <c r="M31" s="20">
        <v>12522.620999999999</v>
      </c>
      <c r="N31" s="20"/>
      <c r="O31" s="20">
        <v>5821.9862400000002</v>
      </c>
      <c r="P31" s="20"/>
      <c r="Q31" s="20"/>
      <c r="R31" s="90">
        <v>15367.414000000001</v>
      </c>
      <c r="S31" s="20">
        <v>16375.529</v>
      </c>
      <c r="T31" s="20">
        <v>26837.938999999998</v>
      </c>
      <c r="U31" s="20">
        <v>28132.813999999998</v>
      </c>
      <c r="V31" s="20">
        <v>29308.89</v>
      </c>
      <c r="W31" s="33">
        <v>41259.934999999998</v>
      </c>
      <c r="X31" s="33">
        <v>38251.822</v>
      </c>
      <c r="Y31" s="33">
        <v>35986.712</v>
      </c>
      <c r="Z31" s="33">
        <v>33880.552000000003</v>
      </c>
      <c r="AA31" s="33">
        <v>38898.591</v>
      </c>
      <c r="AB31" s="33">
        <v>46367.449000000001</v>
      </c>
      <c r="AC31" s="33">
        <v>56973</v>
      </c>
      <c r="AD31" s="20">
        <v>57051.453999999998</v>
      </c>
      <c r="AE31" s="65">
        <v>45462.34</v>
      </c>
      <c r="AF31" s="20">
        <v>42239.425000000003</v>
      </c>
      <c r="AG31" s="20">
        <v>43103.43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6029.0219999999999</v>
      </c>
      <c r="K32" s="20"/>
      <c r="L32" s="20"/>
      <c r="M32" s="20">
        <v>6149.0559999999996</v>
      </c>
      <c r="N32" s="20"/>
      <c r="O32" s="20">
        <v>2107</v>
      </c>
      <c r="P32" s="20"/>
      <c r="Q32" s="20"/>
      <c r="R32" s="92">
        <v>11490</v>
      </c>
      <c r="S32" s="20">
        <v>12625</v>
      </c>
      <c r="T32" s="20">
        <v>18036</v>
      </c>
      <c r="U32" s="20">
        <v>20916</v>
      </c>
      <c r="V32" s="20">
        <v>6780</v>
      </c>
      <c r="W32" s="33">
        <v>7668</v>
      </c>
      <c r="X32" s="33">
        <v>7377</v>
      </c>
      <c r="Y32" s="33">
        <v>5372</v>
      </c>
      <c r="Z32" s="33">
        <v>6164</v>
      </c>
      <c r="AA32" s="33">
        <v>29633</v>
      </c>
      <c r="AB32" s="33">
        <v>64303</v>
      </c>
      <c r="AC32" s="33">
        <v>73253</v>
      </c>
      <c r="AD32" s="20">
        <v>80036</v>
      </c>
      <c r="AE32" s="65">
        <v>76442</v>
      </c>
      <c r="AF32" s="20">
        <v>78507</v>
      </c>
      <c r="AG32" s="20">
        <v>85983</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18803.821</v>
      </c>
      <c r="K33" s="20"/>
      <c r="L33" s="20"/>
      <c r="M33" s="20">
        <v>30016.16</v>
      </c>
      <c r="N33" s="20"/>
      <c r="O33" s="20">
        <v>22861.326649999999</v>
      </c>
      <c r="P33" s="20"/>
      <c r="Q33" s="20"/>
      <c r="R33" s="92">
        <v>49793.01</v>
      </c>
      <c r="S33" s="20">
        <v>57350.656000000003</v>
      </c>
      <c r="T33" s="20">
        <v>68291.331000000006</v>
      </c>
      <c r="U33" s="20">
        <v>77626.153999999995</v>
      </c>
      <c r="V33" s="20">
        <v>82096.120999999999</v>
      </c>
      <c r="W33" s="33">
        <v>82241.345000000001</v>
      </c>
      <c r="X33" s="33">
        <v>81041.661999999997</v>
      </c>
      <c r="Y33" s="33">
        <v>77613.048999999999</v>
      </c>
      <c r="Z33" s="33">
        <v>88881.732000000004</v>
      </c>
      <c r="AA33" s="33">
        <v>113089.412</v>
      </c>
      <c r="AB33" s="33">
        <v>153319.12700000001</v>
      </c>
      <c r="AC33" s="33">
        <v>184255</v>
      </c>
      <c r="AD33" s="20">
        <v>185234.18299999999</v>
      </c>
      <c r="AE33" s="65">
        <v>186094.12400000001</v>
      </c>
      <c r="AF33" s="20">
        <v>117559.44</v>
      </c>
      <c r="AG33" s="20">
        <v>108117.99099999999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52045.841</v>
      </c>
      <c r="K34" s="20"/>
      <c r="L34" s="20"/>
      <c r="M34" s="20">
        <v>66459.206999999995</v>
      </c>
      <c r="N34" s="20"/>
      <c r="O34" s="20">
        <v>45157.867709999999</v>
      </c>
      <c r="P34" s="20"/>
      <c r="Q34" s="20"/>
      <c r="R34" s="66">
        <v>83704.774000000005</v>
      </c>
      <c r="S34" s="20">
        <v>100102.567</v>
      </c>
      <c r="T34" s="20">
        <v>124329.83199999999</v>
      </c>
      <c r="U34" s="20">
        <v>138757.98199999999</v>
      </c>
      <c r="V34" s="20">
        <v>142881.43100000001</v>
      </c>
      <c r="W34" s="33">
        <v>156833.28400000001</v>
      </c>
      <c r="X34" s="33">
        <v>150000.48000000001</v>
      </c>
      <c r="Y34" s="33">
        <v>147064.12299999999</v>
      </c>
      <c r="Z34" s="33">
        <v>152640.579</v>
      </c>
      <c r="AA34" s="33">
        <v>184593.43299999999</v>
      </c>
      <c r="AB34" s="33">
        <v>272249.60700000002</v>
      </c>
      <c r="AC34" s="33">
        <v>404505</v>
      </c>
      <c r="AD34" s="20">
        <v>308882.36</v>
      </c>
      <c r="AE34" s="65">
        <v>302046.56</v>
      </c>
      <c r="AF34" s="20">
        <v>273657.76699999999</v>
      </c>
      <c r="AG34" s="20">
        <v>250094.467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23015.473999999998</v>
      </c>
      <c r="K35" s="20"/>
      <c r="L35" s="20"/>
      <c r="M35" s="20">
        <v>18431.264999999999</v>
      </c>
      <c r="N35" s="20"/>
      <c r="O35" s="20">
        <v>10877.074000000001</v>
      </c>
      <c r="P35" s="20"/>
      <c r="Q35" s="20"/>
      <c r="R35" s="66">
        <v>16604.079000000002</v>
      </c>
      <c r="S35" s="20">
        <v>18788.48</v>
      </c>
      <c r="T35" s="20">
        <v>22250.645</v>
      </c>
      <c r="U35" s="20">
        <v>26635.794000000002</v>
      </c>
      <c r="V35" s="20">
        <v>32025.855</v>
      </c>
      <c r="W35" s="33">
        <v>34195.605000000003</v>
      </c>
      <c r="X35" s="33">
        <v>30719.935000000001</v>
      </c>
      <c r="Y35" s="33">
        <v>29053.544000000002</v>
      </c>
      <c r="Z35" s="33">
        <v>28808.817999999999</v>
      </c>
      <c r="AA35" s="33">
        <v>33534.057000000001</v>
      </c>
      <c r="AB35" s="33">
        <v>81514.558999999994</v>
      </c>
      <c r="AC35" s="33">
        <v>72445</v>
      </c>
      <c r="AD35" s="20">
        <v>57375.701999999997</v>
      </c>
      <c r="AE35" s="65">
        <v>75701.675000000003</v>
      </c>
      <c r="AF35" s="20">
        <v>71666.839000000007</v>
      </c>
      <c r="AG35" s="20">
        <v>66298.656000000003</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59982.548999999999</v>
      </c>
      <c r="K36" s="20"/>
      <c r="L36" s="20"/>
      <c r="M36" s="20">
        <v>78240.694000000003</v>
      </c>
      <c r="N36" s="20"/>
      <c r="O36" s="20">
        <v>33917.291320000004</v>
      </c>
      <c r="P36" s="20"/>
      <c r="Q36" s="20"/>
      <c r="R36" s="66">
        <v>102119.49099999999</v>
      </c>
      <c r="S36" s="20">
        <v>114965.06299999999</v>
      </c>
      <c r="T36" s="20">
        <v>131162.22399999999</v>
      </c>
      <c r="U36" s="20">
        <v>156228.41</v>
      </c>
      <c r="V36" s="20">
        <v>162587.196</v>
      </c>
      <c r="W36" s="33">
        <v>135848.38</v>
      </c>
      <c r="X36" s="33">
        <v>157075.15400000001</v>
      </c>
      <c r="Y36" s="33">
        <v>129055.444</v>
      </c>
      <c r="Z36" s="33">
        <v>141794.35999999999</v>
      </c>
      <c r="AA36" s="33">
        <v>196061.95800000001</v>
      </c>
      <c r="AB36" s="33">
        <v>301457.45899999997</v>
      </c>
      <c r="AC36" s="33">
        <v>370379</v>
      </c>
      <c r="AD36" s="20">
        <v>366023.72700000001</v>
      </c>
      <c r="AE36" s="65">
        <v>360640.73</v>
      </c>
      <c r="AF36" s="20">
        <v>265101.674</v>
      </c>
      <c r="AG36" s="20">
        <v>255240.48199999999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7919.1360000000004</v>
      </c>
      <c r="K37" s="51"/>
      <c r="L37" s="51"/>
      <c r="M37" s="51">
        <v>9708.1980000000003</v>
      </c>
      <c r="N37" s="51"/>
      <c r="O37" s="51">
        <v>2957.6779999999999</v>
      </c>
      <c r="P37" s="51"/>
      <c r="Q37" s="51"/>
      <c r="R37" s="67">
        <v>12531.282999999999</v>
      </c>
      <c r="S37" s="51">
        <v>14359.61</v>
      </c>
      <c r="T37" s="51">
        <v>16264.45</v>
      </c>
      <c r="U37" s="51">
        <v>17095.287</v>
      </c>
      <c r="V37" s="51">
        <v>18227.678</v>
      </c>
      <c r="W37" s="50">
        <v>17649.295999999998</v>
      </c>
      <c r="X37" s="50">
        <v>17234.458999999999</v>
      </c>
      <c r="Y37" s="50">
        <v>18577.268</v>
      </c>
      <c r="Z37" s="50">
        <v>18048.962</v>
      </c>
      <c r="AA37" s="50">
        <v>21575.753000000001</v>
      </c>
      <c r="AB37" s="50">
        <v>33010.771999999997</v>
      </c>
      <c r="AC37" s="50">
        <v>59178</v>
      </c>
      <c r="AD37" s="51">
        <v>44216.951999999997</v>
      </c>
      <c r="AE37" s="64">
        <v>34439.678999999996</v>
      </c>
      <c r="AF37" s="51">
        <v>32338.367999999999</v>
      </c>
      <c r="AG37" s="51">
        <v>32329.394</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10">SUM(C40:C51)</f>
        <v>0</v>
      </c>
      <c r="D38" s="104">
        <f t="shared" si="10"/>
        <v>0</v>
      </c>
      <c r="E38" s="104">
        <f t="shared" si="10"/>
        <v>0</v>
      </c>
      <c r="F38" s="104">
        <f t="shared" si="10"/>
        <v>0</v>
      </c>
      <c r="G38" s="104">
        <f t="shared" si="10"/>
        <v>0</v>
      </c>
      <c r="H38" s="104">
        <f t="shared" si="10"/>
        <v>0</v>
      </c>
      <c r="I38" s="104">
        <f t="shared" si="10"/>
        <v>0</v>
      </c>
      <c r="J38" s="104">
        <f t="shared" si="10"/>
        <v>546744.09100000001</v>
      </c>
      <c r="K38" s="104">
        <f t="shared" si="10"/>
        <v>0</v>
      </c>
      <c r="L38" s="104">
        <f t="shared" si="10"/>
        <v>0</v>
      </c>
      <c r="M38" s="104">
        <f t="shared" si="10"/>
        <v>586464.71299999999</v>
      </c>
      <c r="N38" s="104">
        <f t="shared" si="10"/>
        <v>0</v>
      </c>
      <c r="O38" s="104">
        <f t="shared" si="10"/>
        <v>253797.06130999999</v>
      </c>
      <c r="P38" s="104">
        <f t="shared" si="10"/>
        <v>0</v>
      </c>
      <c r="Q38" s="104">
        <f t="shared" si="10"/>
        <v>0</v>
      </c>
      <c r="R38" s="104">
        <f t="shared" si="10"/>
        <v>690020.41300000006</v>
      </c>
      <c r="S38" s="104">
        <f t="shared" si="10"/>
        <v>781006.26</v>
      </c>
      <c r="T38" s="104">
        <f t="shared" si="10"/>
        <v>917937.22700000007</v>
      </c>
      <c r="U38" s="104">
        <f t="shared" si="10"/>
        <v>1127270.99</v>
      </c>
      <c r="V38" s="104">
        <f t="shared" si="10"/>
        <v>1227304.9580000001</v>
      </c>
      <c r="W38" s="104">
        <f t="shared" si="10"/>
        <v>1260452.4809999999</v>
      </c>
      <c r="X38" s="104">
        <f t="shared" si="10"/>
        <v>1264539.7379999999</v>
      </c>
      <c r="Y38" s="104">
        <f t="shared" si="10"/>
        <v>1311238.7280000001</v>
      </c>
      <c r="Z38" s="104">
        <f t="shared" si="10"/>
        <v>1464014.5589999999</v>
      </c>
      <c r="AA38" s="104">
        <f t="shared" si="10"/>
        <v>1853729.534</v>
      </c>
      <c r="AB38" s="104">
        <f t="shared" si="10"/>
        <v>2911577.4719999996</v>
      </c>
      <c r="AC38" s="104">
        <f t="shared" si="10"/>
        <v>3448641</v>
      </c>
      <c r="AD38" s="104">
        <f t="shared" si="10"/>
        <v>3266593.7680000002</v>
      </c>
      <c r="AE38" s="104">
        <f t="shared" si="10"/>
        <v>3104806.1540000001</v>
      </c>
      <c r="AF38" s="104">
        <f t="shared" si="10"/>
        <v>2334750.0179999997</v>
      </c>
      <c r="AG38" s="104">
        <f t="shared" si="10"/>
        <v>2186569.4480000003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108745.629</v>
      </c>
      <c r="K40" s="20"/>
      <c r="L40" s="20"/>
      <c r="M40" s="20">
        <v>141478.12700000001</v>
      </c>
      <c r="N40" s="20"/>
      <c r="O40" s="20">
        <v>64577.818450000006</v>
      </c>
      <c r="P40" s="20"/>
      <c r="Q40" s="20"/>
      <c r="R40" s="66">
        <v>153293.44899999999</v>
      </c>
      <c r="S40" s="20">
        <v>171636.799</v>
      </c>
      <c r="T40" s="20">
        <v>211613.95300000001</v>
      </c>
      <c r="U40" s="20">
        <v>234151.06200000001</v>
      </c>
      <c r="V40" s="20">
        <v>260486.70699999999</v>
      </c>
      <c r="W40" s="33">
        <v>265396.21999999997</v>
      </c>
      <c r="X40" s="33">
        <v>265252.408</v>
      </c>
      <c r="Y40" s="33">
        <v>255786.18299999999</v>
      </c>
      <c r="Z40" s="33">
        <v>296725.79100000003</v>
      </c>
      <c r="AA40" s="33">
        <v>348634.36900000001</v>
      </c>
      <c r="AB40" s="33">
        <v>533031.55799999996</v>
      </c>
      <c r="AC40" s="33">
        <v>636363</v>
      </c>
      <c r="AD40" s="20">
        <v>601778.82700000005</v>
      </c>
      <c r="AE40" s="65">
        <v>575156.44200000004</v>
      </c>
      <c r="AF40" s="20">
        <v>320210.94400000002</v>
      </c>
      <c r="AG40" s="20">
        <v>302362.48300000001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35561.392999999996</v>
      </c>
      <c r="K41" s="20"/>
      <c r="L41" s="20"/>
      <c r="M41" s="20">
        <v>32945.097999999998</v>
      </c>
      <c r="N41" s="20"/>
      <c r="O41" s="20">
        <v>10297.362999999999</v>
      </c>
      <c r="P41" s="20"/>
      <c r="Q41" s="20"/>
      <c r="R41" s="66">
        <v>38305.533000000003</v>
      </c>
      <c r="S41" s="20">
        <v>42185.99</v>
      </c>
      <c r="T41" s="20">
        <v>58753.322</v>
      </c>
      <c r="U41" s="20">
        <v>73004.971000000005</v>
      </c>
      <c r="V41" s="20">
        <v>64728.358999999997</v>
      </c>
      <c r="W41" s="33">
        <v>67338.735000000001</v>
      </c>
      <c r="X41" s="33">
        <v>66446.679999999993</v>
      </c>
      <c r="Y41" s="33">
        <v>61871.317000000003</v>
      </c>
      <c r="Z41" s="33">
        <v>81600.929999999993</v>
      </c>
      <c r="AA41" s="33">
        <v>109010.048</v>
      </c>
      <c r="AB41" s="33">
        <v>208969.34400000001</v>
      </c>
      <c r="AC41" s="33">
        <v>256082</v>
      </c>
      <c r="AD41" s="20">
        <v>252157.087</v>
      </c>
      <c r="AE41" s="65">
        <v>259142.704</v>
      </c>
      <c r="AF41" s="20">
        <v>227389.47</v>
      </c>
      <c r="AG41" s="20">
        <v>200151.408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47528.247000000003</v>
      </c>
      <c r="K42" s="20"/>
      <c r="L42" s="20"/>
      <c r="M42" s="20">
        <v>46175.250999999997</v>
      </c>
      <c r="N42" s="20"/>
      <c r="O42" s="20">
        <v>15260.868</v>
      </c>
      <c r="P42" s="20"/>
      <c r="Q42" s="20"/>
      <c r="R42" s="66">
        <v>50337.093999999997</v>
      </c>
      <c r="S42" s="20">
        <v>61342.266000000003</v>
      </c>
      <c r="T42" s="20">
        <v>73494.436000000002</v>
      </c>
      <c r="U42" s="20">
        <v>115061.88400000001</v>
      </c>
      <c r="V42" s="20">
        <v>124623.735</v>
      </c>
      <c r="W42" s="33">
        <v>129230.29399999999</v>
      </c>
      <c r="X42" s="33">
        <v>124724.514</v>
      </c>
      <c r="Y42" s="33">
        <v>128130.15</v>
      </c>
      <c r="Z42" s="33">
        <v>151696.24799999999</v>
      </c>
      <c r="AA42" s="33">
        <v>177618.78700000001</v>
      </c>
      <c r="AB42" s="33">
        <v>264773.63099999999</v>
      </c>
      <c r="AC42" s="33">
        <v>270937</v>
      </c>
      <c r="AD42" s="20">
        <v>237229.96</v>
      </c>
      <c r="AE42" s="65">
        <v>213020.46799999999</v>
      </c>
      <c r="AF42" s="20">
        <v>182872.891</v>
      </c>
      <c r="AG42" s="20">
        <v>172632.389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26934.864000000001</v>
      </c>
      <c r="K43" s="20"/>
      <c r="L43" s="20"/>
      <c r="M43" s="20">
        <v>33414.446000000004</v>
      </c>
      <c r="N43" s="20"/>
      <c r="O43" s="20">
        <v>16897.011690000003</v>
      </c>
      <c r="P43" s="20"/>
      <c r="Q43" s="20"/>
      <c r="R43" s="66">
        <v>37772.406000000003</v>
      </c>
      <c r="S43" s="20">
        <v>43488.061000000002</v>
      </c>
      <c r="T43" s="20">
        <v>50240.472999999998</v>
      </c>
      <c r="U43" s="20">
        <v>53996.667999999998</v>
      </c>
      <c r="V43" s="20">
        <v>57193.932999999997</v>
      </c>
      <c r="W43" s="33">
        <v>60160.95</v>
      </c>
      <c r="X43" s="33">
        <v>59939.885999999999</v>
      </c>
      <c r="Y43" s="33">
        <v>59341.737000000001</v>
      </c>
      <c r="Z43" s="33">
        <v>68337.633000000002</v>
      </c>
      <c r="AA43" s="33">
        <v>83355.490999999995</v>
      </c>
      <c r="AB43" s="33">
        <v>127966.27499999999</v>
      </c>
      <c r="AC43" s="33">
        <v>158994</v>
      </c>
      <c r="AD43" s="20">
        <v>151497.97200000001</v>
      </c>
      <c r="AE43" s="65">
        <v>149063.91500000001</v>
      </c>
      <c r="AF43" s="20">
        <v>97943.017000000007</v>
      </c>
      <c r="AG43" s="20">
        <v>99229.748000000007</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89401.790999999997</v>
      </c>
      <c r="K44" s="20"/>
      <c r="L44" s="20"/>
      <c r="M44" s="20">
        <v>94883.778999999995</v>
      </c>
      <c r="N44" s="20"/>
      <c r="O44" s="20">
        <v>31387.020210000002</v>
      </c>
      <c r="P44" s="20"/>
      <c r="Q44" s="20"/>
      <c r="R44" s="66">
        <v>94176.56</v>
      </c>
      <c r="S44" s="20">
        <v>102828.897</v>
      </c>
      <c r="T44" s="20">
        <v>129016.769</v>
      </c>
      <c r="U44" s="20">
        <v>186218.34400000001</v>
      </c>
      <c r="V44" s="20">
        <v>205072.321</v>
      </c>
      <c r="W44" s="33">
        <v>220013.35399999999</v>
      </c>
      <c r="X44" s="33">
        <v>232111.84700000001</v>
      </c>
      <c r="Y44" s="33">
        <v>260311.45300000001</v>
      </c>
      <c r="Z44" s="33">
        <v>260664.38699999999</v>
      </c>
      <c r="AA44" s="33">
        <v>327611.19500000001</v>
      </c>
      <c r="AB44" s="33">
        <v>530263.44999999995</v>
      </c>
      <c r="AC44" s="33">
        <v>596290</v>
      </c>
      <c r="AD44" s="20">
        <v>557526.07200000004</v>
      </c>
      <c r="AE44" s="65">
        <v>501447.853</v>
      </c>
      <c r="AF44" s="20">
        <v>434228.20799999998</v>
      </c>
      <c r="AG44" s="20">
        <v>401106.12400000001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53814.387999999999</v>
      </c>
      <c r="K45" s="20"/>
      <c r="L45" s="20"/>
      <c r="M45" s="20">
        <v>61333.974000000002</v>
      </c>
      <c r="N45" s="20"/>
      <c r="O45" s="20">
        <v>26405.186510000003</v>
      </c>
      <c r="P45" s="20"/>
      <c r="Q45" s="20"/>
      <c r="R45" s="66">
        <v>69756.906000000003</v>
      </c>
      <c r="S45" s="20">
        <v>80500.721999999994</v>
      </c>
      <c r="T45" s="20">
        <v>92934.411999999997</v>
      </c>
      <c r="U45" s="20">
        <v>107347.192</v>
      </c>
      <c r="V45" s="20">
        <v>113100.37300000001</v>
      </c>
      <c r="W45" s="33">
        <v>111193.399</v>
      </c>
      <c r="X45" s="33">
        <v>107977.344</v>
      </c>
      <c r="Y45" s="33">
        <v>115783.18</v>
      </c>
      <c r="Z45" s="33">
        <v>130704.18399999999</v>
      </c>
      <c r="AA45" s="33">
        <v>151719.39499999999</v>
      </c>
      <c r="AB45" s="33">
        <v>254088.24799999999</v>
      </c>
      <c r="AC45" s="33">
        <v>296990</v>
      </c>
      <c r="AD45" s="20">
        <v>275014.00099999999</v>
      </c>
      <c r="AE45" s="65">
        <v>272029.57</v>
      </c>
      <c r="AF45" s="20">
        <v>199436.29800000001</v>
      </c>
      <c r="AG45" s="20">
        <v>193042.96400000001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33433.639000000003</v>
      </c>
      <c r="K46" s="20"/>
      <c r="L46" s="20"/>
      <c r="M46" s="20">
        <v>18863.377</v>
      </c>
      <c r="N46" s="20"/>
      <c r="O46" s="20">
        <v>18215.952000000001</v>
      </c>
      <c r="P46" s="20"/>
      <c r="Q46" s="20"/>
      <c r="R46" s="66">
        <v>31666.221000000001</v>
      </c>
      <c r="S46" s="20">
        <v>40248.714999999997</v>
      </c>
      <c r="T46" s="20">
        <v>40686.989000000001</v>
      </c>
      <c r="U46" s="20">
        <v>45440.88</v>
      </c>
      <c r="V46" s="20">
        <v>51008.773999999998</v>
      </c>
      <c r="W46" s="33">
        <v>54154.237999999998</v>
      </c>
      <c r="X46" s="33">
        <v>56148.769</v>
      </c>
      <c r="Y46" s="33">
        <v>59571.182000000001</v>
      </c>
      <c r="Z46" s="33">
        <v>68776.362999999998</v>
      </c>
      <c r="AA46" s="33">
        <v>87302.46</v>
      </c>
      <c r="AB46" s="33">
        <v>139355.11499999999</v>
      </c>
      <c r="AC46" s="33">
        <v>251853</v>
      </c>
      <c r="AD46" s="20">
        <v>255054.29300000001</v>
      </c>
      <c r="AE46" s="65">
        <v>233996.55300000001</v>
      </c>
      <c r="AF46" s="20">
        <v>260432.06099999999</v>
      </c>
      <c r="AG46" s="20">
        <v>238385.97399999999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12744.531999999999</v>
      </c>
      <c r="K47" s="20"/>
      <c r="L47" s="20"/>
      <c r="M47" s="20">
        <v>12609.706</v>
      </c>
      <c r="N47" s="20"/>
      <c r="O47" s="20">
        <v>9970.2690000000002</v>
      </c>
      <c r="P47" s="20"/>
      <c r="Q47" s="20"/>
      <c r="R47" s="92">
        <v>26968.14</v>
      </c>
      <c r="S47" s="20">
        <v>28305.882000000001</v>
      </c>
      <c r="T47" s="20">
        <v>32263.309000000001</v>
      </c>
      <c r="U47" s="20">
        <v>29960.296999999999</v>
      </c>
      <c r="V47" s="20">
        <v>35386.080000000002</v>
      </c>
      <c r="W47" s="33">
        <v>31200.478999999999</v>
      </c>
      <c r="X47" s="33">
        <v>31465.998</v>
      </c>
      <c r="Y47" s="33">
        <v>33618.775000000001</v>
      </c>
      <c r="Z47" s="33">
        <v>35778.856</v>
      </c>
      <c r="AA47" s="33">
        <v>45188.91</v>
      </c>
      <c r="AB47" s="33">
        <v>73111.616999999998</v>
      </c>
      <c r="AC47" s="33">
        <v>86642</v>
      </c>
      <c r="AD47" s="20">
        <v>89130.559999999998</v>
      </c>
      <c r="AE47" s="65">
        <v>79464.813999999998</v>
      </c>
      <c r="AF47" s="20">
        <v>63447.284</v>
      </c>
      <c r="AG47" s="20">
        <v>61664.27</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14169.52</v>
      </c>
      <c r="K48" s="20"/>
      <c r="L48" s="20"/>
      <c r="M48" s="20">
        <v>11092.477999999999</v>
      </c>
      <c r="N48" s="20"/>
      <c r="O48" s="20">
        <v>5481.9861799999999</v>
      </c>
      <c r="P48" s="20"/>
      <c r="Q48" s="20"/>
      <c r="R48" s="66">
        <v>20593.184000000001</v>
      </c>
      <c r="S48" s="20">
        <v>19608.973999999998</v>
      </c>
      <c r="T48" s="20">
        <v>15429.111999999999</v>
      </c>
      <c r="U48" s="20">
        <v>19688.571</v>
      </c>
      <c r="V48" s="20">
        <v>14672.201999999999</v>
      </c>
      <c r="W48" s="33">
        <v>20789.692999999999</v>
      </c>
      <c r="X48" s="33">
        <v>19747.133000000002</v>
      </c>
      <c r="Y48" s="33">
        <v>18803.990000000002</v>
      </c>
      <c r="Z48" s="33">
        <v>16677.821</v>
      </c>
      <c r="AA48" s="33">
        <v>30908.067999999999</v>
      </c>
      <c r="AB48" s="33">
        <v>43771.796999999999</v>
      </c>
      <c r="AC48" s="33">
        <v>42167</v>
      </c>
      <c r="AD48" s="20">
        <v>42468.627999999997</v>
      </c>
      <c r="AE48" s="65">
        <v>36237.196000000004</v>
      </c>
      <c r="AF48" s="20">
        <v>43046.73</v>
      </c>
      <c r="AG48" s="20">
        <v>45472.963000000003</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65473.47</v>
      </c>
      <c r="K49" s="20"/>
      <c r="L49" s="20"/>
      <c r="M49" s="20">
        <v>72457.665999999997</v>
      </c>
      <c r="N49" s="20"/>
      <c r="O49" s="20">
        <v>20247.008000000002</v>
      </c>
      <c r="P49" s="20"/>
      <c r="Q49" s="20"/>
      <c r="R49" s="66">
        <v>92924.868000000002</v>
      </c>
      <c r="S49" s="20">
        <v>109554.97500000001</v>
      </c>
      <c r="T49" s="20">
        <v>117348.155</v>
      </c>
      <c r="U49" s="20">
        <v>146452.17499999999</v>
      </c>
      <c r="V49" s="20">
        <v>158664.55900000001</v>
      </c>
      <c r="W49" s="33">
        <v>165306.71900000001</v>
      </c>
      <c r="X49" s="33">
        <v>174145.66500000001</v>
      </c>
      <c r="Y49" s="33">
        <v>190185.057</v>
      </c>
      <c r="Z49" s="33">
        <v>212725.21299999999</v>
      </c>
      <c r="AA49" s="33">
        <v>303439.68199999997</v>
      </c>
      <c r="AB49" s="33">
        <v>493106.88799999998</v>
      </c>
      <c r="AC49" s="33">
        <v>557766</v>
      </c>
      <c r="AD49" s="20">
        <v>517765.65</v>
      </c>
      <c r="AE49" s="65">
        <v>474547.41800000001</v>
      </c>
      <c r="AF49" s="20">
        <v>389505.60600000003</v>
      </c>
      <c r="AG49" s="20">
        <v>357139.87300000002</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1188.24</v>
      </c>
      <c r="K50" s="20"/>
      <c r="L50" s="20"/>
      <c r="M50" s="20">
        <v>837.29899999999998</v>
      </c>
      <c r="N50" s="20"/>
      <c r="O50" s="20">
        <v>3280.9102699999999</v>
      </c>
      <c r="P50" s="20"/>
      <c r="Q50" s="20"/>
      <c r="R50" s="66">
        <v>6559.3590000000004</v>
      </c>
      <c r="S50" s="20">
        <v>7073.3040000000001</v>
      </c>
      <c r="T50" s="20">
        <v>5530.8829999999998</v>
      </c>
      <c r="U50" s="20">
        <v>3852.703</v>
      </c>
      <c r="V50" s="20">
        <v>8819.5570000000007</v>
      </c>
      <c r="W50" s="33">
        <v>6903.5249999999996</v>
      </c>
      <c r="X50" s="33">
        <v>3618.373</v>
      </c>
      <c r="Y50" s="33">
        <v>7960.2020000000002</v>
      </c>
      <c r="Z50" s="33">
        <v>13427.683999999999</v>
      </c>
      <c r="AA50" s="33">
        <v>42421.470999999998</v>
      </c>
      <c r="AB50" s="33">
        <v>23319.271000000001</v>
      </c>
      <c r="AC50" s="33">
        <v>22946</v>
      </c>
      <c r="AD50" s="20">
        <v>21863.14</v>
      </c>
      <c r="AE50" s="65">
        <v>47736.409</v>
      </c>
      <c r="AF50" s="20">
        <v>48762.307000000001</v>
      </c>
      <c r="AG50" s="20">
        <v>50514.423999999999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57748.377999999997</v>
      </c>
      <c r="K51" s="51"/>
      <c r="L51" s="51"/>
      <c r="M51" s="51">
        <v>60373.512000000002</v>
      </c>
      <c r="N51" s="51"/>
      <c r="O51" s="51">
        <v>31775.668000000001</v>
      </c>
      <c r="P51" s="51"/>
      <c r="Q51" s="51"/>
      <c r="R51" s="67">
        <v>67666.692999999999</v>
      </c>
      <c r="S51" s="51">
        <v>74231.675000000003</v>
      </c>
      <c r="T51" s="51">
        <v>90625.414000000004</v>
      </c>
      <c r="U51" s="51">
        <v>112096.243</v>
      </c>
      <c r="V51" s="51">
        <v>133548.35800000001</v>
      </c>
      <c r="W51" s="50">
        <v>128764.875</v>
      </c>
      <c r="X51" s="50">
        <v>122961.121</v>
      </c>
      <c r="Y51" s="50">
        <v>119875.50199999999</v>
      </c>
      <c r="Z51" s="50">
        <v>126899.44899999999</v>
      </c>
      <c r="AA51" s="50">
        <v>146519.658</v>
      </c>
      <c r="AB51" s="50">
        <v>219820.27799999999</v>
      </c>
      <c r="AC51" s="50">
        <v>271611</v>
      </c>
      <c r="AD51" s="51">
        <v>265107.57799999998</v>
      </c>
      <c r="AE51" s="64">
        <v>262962.81199999998</v>
      </c>
      <c r="AF51" s="51">
        <v>67475.202000000005</v>
      </c>
      <c r="AG51" s="51">
        <v>64866.828000000001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1">SUM(C54:C62)</f>
        <v>0</v>
      </c>
      <c r="D52" s="104">
        <f t="shared" si="11"/>
        <v>0</v>
      </c>
      <c r="E52" s="104">
        <f t="shared" si="11"/>
        <v>0</v>
      </c>
      <c r="F52" s="104">
        <f t="shared" si="11"/>
        <v>0</v>
      </c>
      <c r="G52" s="104">
        <f t="shared" si="11"/>
        <v>0</v>
      </c>
      <c r="H52" s="104">
        <f t="shared" si="11"/>
        <v>0</v>
      </c>
      <c r="I52" s="104">
        <f t="shared" si="11"/>
        <v>0</v>
      </c>
      <c r="J52" s="104">
        <f t="shared" si="11"/>
        <v>288301.92800000001</v>
      </c>
      <c r="K52" s="104">
        <f t="shared" si="11"/>
        <v>0</v>
      </c>
      <c r="L52" s="104">
        <f t="shared" si="11"/>
        <v>0</v>
      </c>
      <c r="M52" s="104">
        <f t="shared" si="11"/>
        <v>369624.92000000004</v>
      </c>
      <c r="N52" s="104">
        <f t="shared" si="11"/>
        <v>0</v>
      </c>
      <c r="O52" s="104">
        <f t="shared" si="11"/>
        <v>113018.67151999999</v>
      </c>
      <c r="P52" s="104">
        <f t="shared" si="11"/>
        <v>0</v>
      </c>
      <c r="Q52" s="104">
        <f t="shared" si="11"/>
        <v>0</v>
      </c>
      <c r="R52" s="104">
        <f t="shared" si="11"/>
        <v>419654.64500000002</v>
      </c>
      <c r="S52" s="104">
        <f t="shared" si="11"/>
        <v>476937.66100000002</v>
      </c>
      <c r="T52" s="104">
        <f t="shared" si="11"/>
        <v>582740.60499999998</v>
      </c>
      <c r="U52" s="104">
        <f t="shared" si="11"/>
        <v>667843.43700000003</v>
      </c>
      <c r="V52" s="104">
        <f t="shared" si="11"/>
        <v>720006.12800000003</v>
      </c>
      <c r="W52" s="104">
        <f t="shared" si="11"/>
        <v>728824.80599999998</v>
      </c>
      <c r="X52" s="104">
        <f t="shared" si="11"/>
        <v>712376.78200000001</v>
      </c>
      <c r="Y52" s="104">
        <f t="shared" si="11"/>
        <v>716990.73499999987</v>
      </c>
      <c r="Z52" s="104">
        <f t="shared" si="11"/>
        <v>831168.83699999982</v>
      </c>
      <c r="AA52" s="104">
        <f t="shared" si="11"/>
        <v>1018080.75</v>
      </c>
      <c r="AB52" s="104">
        <f t="shared" si="11"/>
        <v>1533800.47</v>
      </c>
      <c r="AC52" s="104">
        <f t="shared" si="11"/>
        <v>1758449</v>
      </c>
      <c r="AD52" s="104">
        <f t="shared" si="11"/>
        <v>1767035.344</v>
      </c>
      <c r="AE52" s="104">
        <f t="shared" si="11"/>
        <v>1784282.673</v>
      </c>
      <c r="AF52" s="104">
        <f t="shared" si="11"/>
        <v>1777880.9790000001</v>
      </c>
      <c r="AG52" s="104">
        <f t="shared" si="11"/>
        <v>1744527.051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10264.675999999999</v>
      </c>
      <c r="K54" s="20"/>
      <c r="L54" s="20"/>
      <c r="M54" s="65">
        <v>14054.753000000001</v>
      </c>
      <c r="N54" s="20"/>
      <c r="O54" s="20">
        <v>5006.9486500000003</v>
      </c>
      <c r="P54" s="20"/>
      <c r="Q54" s="20"/>
      <c r="R54" s="66">
        <v>16184.822</v>
      </c>
      <c r="S54" s="20">
        <v>17803.487000000001</v>
      </c>
      <c r="T54" s="20">
        <v>21433.946</v>
      </c>
      <c r="U54" s="20">
        <v>25389.010999999999</v>
      </c>
      <c r="V54" s="20">
        <v>28923.487000000001</v>
      </c>
      <c r="W54" s="33">
        <v>29133.276999999998</v>
      </c>
      <c r="X54" s="33">
        <v>30416.306</v>
      </c>
      <c r="Y54" s="33">
        <v>31055.965</v>
      </c>
      <c r="Z54" s="33">
        <v>36893.898000000001</v>
      </c>
      <c r="AA54" s="33">
        <v>46730.79</v>
      </c>
      <c r="AB54" s="33">
        <v>71256.964000000007</v>
      </c>
      <c r="AC54" s="33">
        <v>85079</v>
      </c>
      <c r="AD54" s="20">
        <v>87284.282000000007</v>
      </c>
      <c r="AE54" s="65">
        <v>91936.243000000002</v>
      </c>
      <c r="AF54" s="20">
        <v>94744.274000000005</v>
      </c>
      <c r="AG54" s="20">
        <v>97636.256999999998</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5033.4430000000002</v>
      </c>
      <c r="K55" s="20"/>
      <c r="L55" s="20"/>
      <c r="M55" s="20">
        <v>6197.9849999999997</v>
      </c>
      <c r="N55" s="20"/>
      <c r="O55" s="20">
        <v>3239.703</v>
      </c>
      <c r="P55" s="20"/>
      <c r="Q55" s="20"/>
      <c r="R55" s="66">
        <v>7820.6279999999997</v>
      </c>
      <c r="S55" s="20">
        <v>8780.66</v>
      </c>
      <c r="T55" s="20">
        <v>11276.043</v>
      </c>
      <c r="U55" s="20">
        <v>13682.234</v>
      </c>
      <c r="V55" s="20">
        <v>15419.95</v>
      </c>
      <c r="W55" s="33">
        <v>15830.97</v>
      </c>
      <c r="X55" s="33">
        <v>15527.213</v>
      </c>
      <c r="Y55" s="33">
        <v>16334.790999999999</v>
      </c>
      <c r="Z55" s="33">
        <v>18278.772000000001</v>
      </c>
      <c r="AA55" s="33">
        <v>21886.534</v>
      </c>
      <c r="AB55" s="33">
        <v>36944.514000000003</v>
      </c>
      <c r="AC55" s="33">
        <v>45114</v>
      </c>
      <c r="AD55" s="20">
        <v>44075.071000000004</v>
      </c>
      <c r="AE55" s="65">
        <v>44490.646999999997</v>
      </c>
      <c r="AF55" s="20">
        <v>44015.934000000001</v>
      </c>
      <c r="AG55" s="20">
        <v>46485.976000000002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39644.953999999998</v>
      </c>
      <c r="K56" s="20"/>
      <c r="L56" s="20"/>
      <c r="M56" s="20">
        <v>51605.46</v>
      </c>
      <c r="N56" s="20"/>
      <c r="O56" s="20">
        <v>17789.949000000001</v>
      </c>
      <c r="P56" s="20"/>
      <c r="Q56" s="20"/>
      <c r="R56" s="66">
        <v>57727.637000000002</v>
      </c>
      <c r="S56" s="20">
        <v>58585.400999999998</v>
      </c>
      <c r="T56" s="20">
        <v>75259.856</v>
      </c>
      <c r="U56" s="20">
        <v>80962.982999999993</v>
      </c>
      <c r="V56" s="20">
        <v>84830.415999999997</v>
      </c>
      <c r="W56" s="33">
        <v>87873.442999999999</v>
      </c>
      <c r="X56" s="33">
        <v>84493.426000000007</v>
      </c>
      <c r="Y56" s="33">
        <v>81605.72</v>
      </c>
      <c r="Z56" s="33">
        <v>90898.232999999993</v>
      </c>
      <c r="AA56" s="33">
        <v>121670.48</v>
      </c>
      <c r="AB56" s="33">
        <v>202661.995</v>
      </c>
      <c r="AC56" s="33">
        <v>201282</v>
      </c>
      <c r="AD56" s="20">
        <v>213178.93</v>
      </c>
      <c r="AE56" s="65">
        <v>212919.035</v>
      </c>
      <c r="AF56" s="20">
        <v>218891.62899999999</v>
      </c>
      <c r="AG56" s="20">
        <v>210022.796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4076.62</v>
      </c>
      <c r="K57" s="20"/>
      <c r="L57" s="20"/>
      <c r="M57" s="20">
        <v>5570.6790000000001</v>
      </c>
      <c r="N57" s="20"/>
      <c r="O57" s="20">
        <v>2525.16887</v>
      </c>
      <c r="P57" s="20"/>
      <c r="Q57" s="20"/>
      <c r="R57" s="92">
        <v>4615.0230000000001</v>
      </c>
      <c r="S57" s="20">
        <v>5193.4520000000002</v>
      </c>
      <c r="T57" s="20">
        <v>6276.1130000000003</v>
      </c>
      <c r="U57" s="20">
        <v>7276.7809999999999</v>
      </c>
      <c r="V57" s="20">
        <v>0</v>
      </c>
      <c r="W57" s="33">
        <v>0</v>
      </c>
      <c r="X57" s="33">
        <v>0</v>
      </c>
      <c r="Y57" s="33">
        <v>8745.0640000000003</v>
      </c>
      <c r="Z57" s="33">
        <v>9583.5110000000004</v>
      </c>
      <c r="AA57" s="33">
        <v>10521.661</v>
      </c>
      <c r="AB57" s="33">
        <v>17484.102999999999</v>
      </c>
      <c r="AC57" s="33">
        <v>19561</v>
      </c>
      <c r="AD57" s="20">
        <v>19509.253000000001</v>
      </c>
      <c r="AE57" s="65">
        <v>24331.608</v>
      </c>
      <c r="AF57" s="20">
        <v>22656.01</v>
      </c>
      <c r="AG57" s="20">
        <v>25553.472000000002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39966.341999999997</v>
      </c>
      <c r="K58" s="20"/>
      <c r="L58" s="20"/>
      <c r="M58" s="20">
        <v>58491.336000000003</v>
      </c>
      <c r="N58" s="20"/>
      <c r="O58" s="20">
        <v>18535.965</v>
      </c>
      <c r="P58" s="20"/>
      <c r="Q58" s="20"/>
      <c r="R58" s="92">
        <v>69980.399999999994</v>
      </c>
      <c r="S58" s="20">
        <v>77255.032999999996</v>
      </c>
      <c r="T58" s="20">
        <v>97060.202000000005</v>
      </c>
      <c r="U58" s="20">
        <v>117726.683</v>
      </c>
      <c r="V58" s="20">
        <v>128064.79300000001</v>
      </c>
      <c r="W58" s="33">
        <v>136091.27299999999</v>
      </c>
      <c r="X58" s="33">
        <v>134058.32800000001</v>
      </c>
      <c r="Y58" s="33">
        <v>136919.639</v>
      </c>
      <c r="Z58" s="33">
        <v>172970.215</v>
      </c>
      <c r="AA58" s="33">
        <v>201504.30499999999</v>
      </c>
      <c r="AB58" s="33">
        <v>298458.52500000002</v>
      </c>
      <c r="AC58" s="33">
        <v>333938</v>
      </c>
      <c r="AD58" s="20">
        <v>360332.66399999999</v>
      </c>
      <c r="AE58" s="65">
        <v>344423.848</v>
      </c>
      <c r="AF58" s="20">
        <v>343926.076</v>
      </c>
      <c r="AG58" s="20">
        <v>338567.6</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129435.758</v>
      </c>
      <c r="K59" s="20"/>
      <c r="L59" s="20"/>
      <c r="M59" s="20">
        <v>162039.56099999999</v>
      </c>
      <c r="N59" s="20"/>
      <c r="O59" s="20">
        <v>32557.018</v>
      </c>
      <c r="P59" s="20"/>
      <c r="Q59" s="20"/>
      <c r="R59" s="92">
        <v>182201.45</v>
      </c>
      <c r="S59" s="20">
        <v>221437.397</v>
      </c>
      <c r="T59" s="20">
        <v>267432.35499999998</v>
      </c>
      <c r="U59" s="20">
        <v>311416.49</v>
      </c>
      <c r="V59" s="20">
        <v>340052.57500000001</v>
      </c>
      <c r="W59" s="33">
        <v>324755.91899999999</v>
      </c>
      <c r="X59" s="33">
        <v>313247.92099999997</v>
      </c>
      <c r="Y59" s="33">
        <v>309231.15999999997</v>
      </c>
      <c r="Z59" s="33">
        <v>347711.83799999999</v>
      </c>
      <c r="AA59" s="33">
        <v>426442.09399999998</v>
      </c>
      <c r="AB59" s="33">
        <v>620923.61600000004</v>
      </c>
      <c r="AC59" s="33">
        <v>719101</v>
      </c>
      <c r="AD59" s="20">
        <v>723378.29399999999</v>
      </c>
      <c r="AE59" s="65">
        <v>728293.28899999999</v>
      </c>
      <c r="AF59" s="20">
        <v>728458.54200000002</v>
      </c>
      <c r="AG59" s="20">
        <v>712685.55299999996</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50450.07</v>
      </c>
      <c r="K60" s="20"/>
      <c r="L60" s="20"/>
      <c r="M60" s="20">
        <v>61788.220999999998</v>
      </c>
      <c r="N60" s="20"/>
      <c r="O60" s="20">
        <v>30343.878000000001</v>
      </c>
      <c r="P60" s="20"/>
      <c r="Q60" s="20"/>
      <c r="R60" s="66">
        <v>71544.123000000007</v>
      </c>
      <c r="S60" s="20">
        <v>76972.724000000002</v>
      </c>
      <c r="T60" s="20">
        <v>91081.286999999997</v>
      </c>
      <c r="U60" s="20">
        <v>97004.771999999997</v>
      </c>
      <c r="V60" s="20">
        <v>106944.3</v>
      </c>
      <c r="W60" s="33">
        <v>119075.689</v>
      </c>
      <c r="X60" s="33">
        <v>118639.338</v>
      </c>
      <c r="Y60" s="33">
        <v>116425.48699999999</v>
      </c>
      <c r="Z60" s="33">
        <v>135282.32800000001</v>
      </c>
      <c r="AA60" s="33">
        <v>162820.60500000001</v>
      </c>
      <c r="AB60" s="33">
        <v>255278.758</v>
      </c>
      <c r="AC60" s="33">
        <v>315201</v>
      </c>
      <c r="AD60" s="20">
        <v>277307.23100000003</v>
      </c>
      <c r="AE60" s="65">
        <v>287621.23700000002</v>
      </c>
      <c r="AF60" s="20">
        <v>274341.016</v>
      </c>
      <c r="AG60" s="20">
        <v>265630.79399999999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6598.8990000000003</v>
      </c>
      <c r="K61" s="20"/>
      <c r="L61" s="20"/>
      <c r="M61" s="20">
        <v>6671.7370000000001</v>
      </c>
      <c r="N61" s="20"/>
      <c r="O61" s="20">
        <v>1838.86</v>
      </c>
      <c r="P61" s="20"/>
      <c r="Q61" s="20"/>
      <c r="R61" s="66">
        <v>5593.0879999999997</v>
      </c>
      <c r="S61" s="20">
        <v>6579.6289999999999</v>
      </c>
      <c r="T61" s="20">
        <v>8229.1759999999995</v>
      </c>
      <c r="U61" s="20">
        <v>8954.9750000000004</v>
      </c>
      <c r="V61" s="20">
        <v>9828.7469999999994</v>
      </c>
      <c r="W61" s="33">
        <v>10164.322</v>
      </c>
      <c r="X61" s="33">
        <v>10325.912</v>
      </c>
      <c r="Y61" s="33">
        <v>10862.552</v>
      </c>
      <c r="Z61" s="33">
        <v>13085.298000000001</v>
      </c>
      <c r="AA61" s="33">
        <v>16179.468000000001</v>
      </c>
      <c r="AB61" s="33">
        <v>20706.005000000001</v>
      </c>
      <c r="AC61" s="33">
        <v>26211</v>
      </c>
      <c r="AD61" s="20">
        <v>29954.138999999999</v>
      </c>
      <c r="AE61" s="65">
        <v>31209.245999999999</v>
      </c>
      <c r="AF61" s="20">
        <v>33039.476000000002</v>
      </c>
      <c r="AG61" s="20">
        <v>31838.851999999999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2831.1660000000002</v>
      </c>
      <c r="K62" s="51"/>
      <c r="L62" s="51"/>
      <c r="M62" s="51">
        <v>3205.1880000000001</v>
      </c>
      <c r="N62" s="51"/>
      <c r="O62" s="51">
        <v>1181.181</v>
      </c>
      <c r="P62" s="51"/>
      <c r="Q62" s="51"/>
      <c r="R62" s="67">
        <v>3987.4740000000002</v>
      </c>
      <c r="S62" s="51">
        <v>4329.8779999999997</v>
      </c>
      <c r="T62" s="51">
        <v>4691.6270000000004</v>
      </c>
      <c r="U62" s="51">
        <v>5429.5079999999998</v>
      </c>
      <c r="V62" s="51">
        <v>5941.86</v>
      </c>
      <c r="W62" s="50">
        <v>5899.9129999999996</v>
      </c>
      <c r="X62" s="50">
        <v>5668.3379999999997</v>
      </c>
      <c r="Y62" s="50">
        <v>5810.357</v>
      </c>
      <c r="Z62" s="50">
        <v>6464.7439999999997</v>
      </c>
      <c r="AA62" s="50">
        <v>10324.813</v>
      </c>
      <c r="AB62" s="50">
        <v>10085.99</v>
      </c>
      <c r="AC62" s="50">
        <v>12962</v>
      </c>
      <c r="AD62" s="20">
        <v>12015.48</v>
      </c>
      <c r="AE62" s="65">
        <v>19057.52</v>
      </c>
      <c r="AF62" s="51">
        <v>17808.022000000001</v>
      </c>
      <c r="AG62" s="51">
        <v>16105.751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c r="S63" s="86">
        <v>0</v>
      </c>
      <c r="T63" s="86">
        <v>0</v>
      </c>
      <c r="U63" s="86">
        <v>0</v>
      </c>
      <c r="V63" s="86">
        <v>0</v>
      </c>
      <c r="W63" s="87">
        <v>0</v>
      </c>
      <c r="X63" s="87">
        <v>0</v>
      </c>
      <c r="Y63" s="87">
        <v>0</v>
      </c>
      <c r="Z63" s="87">
        <v>0</v>
      </c>
      <c r="AA63" s="87">
        <v>0</v>
      </c>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AB4" activePane="bottomRight" state="frozen"/>
      <selection activeCell="O44" sqref="O44"/>
      <selection pane="topRight" activeCell="O44" sqref="O44"/>
      <selection pane="bottomLeft" activeCell="O44" sqref="O44"/>
      <selection pane="bottomRight" activeCell="AI10" sqref="AI10"/>
    </sheetView>
  </sheetViews>
  <sheetFormatPr defaultColWidth="9.7109375" defaultRowHeight="12.75"/>
  <cols>
    <col min="1" max="1" width="19.5703125" style="13" bestFit="1" customWidth="1"/>
    <col min="2" max="22" width="13.85546875" style="13" customWidth="1"/>
    <col min="23" max="29" width="13.85546875" style="53" customWidth="1"/>
    <col min="30"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98</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156">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f>(219503+37121)+52166</f>
        <v>308790</v>
      </c>
      <c r="C4" s="12">
        <f>(264586+55538)+57495</f>
        <v>377619</v>
      </c>
      <c r="D4" s="12">
        <f>(325973+47217)+64111</f>
        <v>437301</v>
      </c>
      <c r="E4" s="12"/>
      <c r="F4" s="12"/>
      <c r="G4" s="12"/>
      <c r="H4" s="12"/>
      <c r="I4" s="12">
        <v>899057.18400000001</v>
      </c>
      <c r="J4" s="98">
        <f>+J5+J23+J38+J52+J63</f>
        <v>1021173.9620000001</v>
      </c>
      <c r="K4" s="69">
        <f>(818483.659+129506.657)+171327.792</f>
        <v>1119318.108</v>
      </c>
      <c r="L4" s="69">
        <f>(878025.935+115833.141)+181095.663</f>
        <v>1174954.7390000001</v>
      </c>
      <c r="M4" s="98">
        <f>+M5+M23+M38+M52+M63</f>
        <v>1198863.466</v>
      </c>
      <c r="N4" s="69">
        <f>(1360955.5+195707.802)+223131.652</f>
        <v>1779794.9539999999</v>
      </c>
      <c r="O4" s="98">
        <f>+O5+O23+O38+O52+O63</f>
        <v>1652655.1208000001</v>
      </c>
      <c r="P4" s="12"/>
      <c r="Q4" s="12"/>
      <c r="R4" s="98">
        <f t="shared" ref="R4:AA4" si="0">+R5+R23+R38+R52+R63</f>
        <v>2037668.9709999999</v>
      </c>
      <c r="S4" s="98">
        <f t="shared" si="0"/>
        <v>3039867.66</v>
      </c>
      <c r="T4" s="98">
        <f t="shared" si="0"/>
        <v>2583129.861</v>
      </c>
      <c r="U4" s="98">
        <f t="shared" si="0"/>
        <v>2667332.4729999998</v>
      </c>
      <c r="V4" s="98">
        <f t="shared" si="0"/>
        <v>2769648.2660000003</v>
      </c>
      <c r="W4" s="98">
        <f t="shared" si="0"/>
        <v>3002729.3569999998</v>
      </c>
      <c r="X4" s="98">
        <f t="shared" si="0"/>
        <v>3138849.3089999999</v>
      </c>
      <c r="Y4" s="98">
        <f t="shared" si="0"/>
        <v>3411662.202</v>
      </c>
      <c r="Z4" s="98">
        <f t="shared" si="0"/>
        <v>3644440.8620000002</v>
      </c>
      <c r="AA4" s="98">
        <f t="shared" si="0"/>
        <v>3895743.4739999999</v>
      </c>
      <c r="AB4" s="98">
        <f t="shared" ref="AB4:AC4" si="1">+AB5+AB23+AB38+AB52+AB63</f>
        <v>3676194.3659999999</v>
      </c>
      <c r="AC4" s="98">
        <f t="shared" si="1"/>
        <v>3684798</v>
      </c>
      <c r="AD4" s="98">
        <f t="shared" ref="AD4:AE4" si="2">+AD5+AD23+AD38+AD52+AD63</f>
        <v>3730512.6970000002</v>
      </c>
      <c r="AE4" s="98">
        <f t="shared" si="2"/>
        <v>3901162.8120000004</v>
      </c>
      <c r="AF4" s="98">
        <f t="shared" ref="AF4:AG4" si="3">+AF5+AF23+AF38+AF52+AF63</f>
        <v>3396554.0919999997</v>
      </c>
      <c r="AG4" s="98">
        <f t="shared" si="3"/>
        <v>3787456.5109999999</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65706</v>
      </c>
      <c r="C5" s="101">
        <f t="shared" ref="C5:AA5" si="4">SUM(C7:C22)</f>
        <v>80303</v>
      </c>
      <c r="D5" s="101">
        <f t="shared" si="4"/>
        <v>80232</v>
      </c>
      <c r="E5" s="101">
        <f t="shared" si="4"/>
        <v>0</v>
      </c>
      <c r="F5" s="101">
        <f t="shared" si="4"/>
        <v>0</v>
      </c>
      <c r="G5" s="101">
        <f t="shared" si="4"/>
        <v>0</v>
      </c>
      <c r="H5" s="101">
        <f t="shared" si="4"/>
        <v>0</v>
      </c>
      <c r="I5" s="101">
        <f t="shared" si="4"/>
        <v>174749.71200000003</v>
      </c>
      <c r="J5" s="101">
        <f t="shared" si="4"/>
        <v>210756.20400000003</v>
      </c>
      <c r="K5" s="101">
        <f t="shared" si="4"/>
        <v>196952.94899999999</v>
      </c>
      <c r="L5" s="101">
        <f t="shared" si="4"/>
        <v>223873.16000000003</v>
      </c>
      <c r="M5" s="101">
        <f t="shared" si="4"/>
        <v>244066.32</v>
      </c>
      <c r="N5" s="101">
        <f t="shared" si="4"/>
        <v>285953.02500000002</v>
      </c>
      <c r="O5" s="101">
        <f t="shared" si="4"/>
        <v>309827.72778000002</v>
      </c>
      <c r="P5" s="101">
        <f t="shared" si="4"/>
        <v>0</v>
      </c>
      <c r="Q5" s="101">
        <f t="shared" si="4"/>
        <v>0</v>
      </c>
      <c r="R5" s="101">
        <f t="shared" si="4"/>
        <v>514704.90699999989</v>
      </c>
      <c r="S5" s="101">
        <f t="shared" si="4"/>
        <v>707520.77400000009</v>
      </c>
      <c r="T5" s="101">
        <f t="shared" si="4"/>
        <v>534211.70599999989</v>
      </c>
      <c r="U5" s="101">
        <f t="shared" si="4"/>
        <v>651607.32999999996</v>
      </c>
      <c r="V5" s="101">
        <f t="shared" si="4"/>
        <v>591432.39500000014</v>
      </c>
      <c r="W5" s="101">
        <f t="shared" si="4"/>
        <v>688499.39900000009</v>
      </c>
      <c r="X5" s="101">
        <f t="shared" si="4"/>
        <v>742742.80200000003</v>
      </c>
      <c r="Y5" s="101">
        <f t="shared" si="4"/>
        <v>839567.50899999996</v>
      </c>
      <c r="Z5" s="101">
        <f t="shared" si="4"/>
        <v>904421.94299999997</v>
      </c>
      <c r="AA5" s="101">
        <f t="shared" si="4"/>
        <v>924743.35200000007</v>
      </c>
      <c r="AB5" s="101">
        <f t="shared" ref="AB5:AC5" si="5">SUM(AB7:AB22)</f>
        <v>1007363.5680000001</v>
      </c>
      <c r="AC5" s="101">
        <f t="shared" si="5"/>
        <v>1016107</v>
      </c>
      <c r="AD5" s="101">
        <f t="shared" ref="AD5:AE5" si="6">SUM(AD7:AD22)</f>
        <v>974531.71</v>
      </c>
      <c r="AE5" s="101">
        <f t="shared" si="6"/>
        <v>976192.56699999992</v>
      </c>
      <c r="AF5" s="101">
        <f t="shared" ref="AF5:AG5" si="7">SUM(AF7:AF22)</f>
        <v>974785.86199999996</v>
      </c>
      <c r="AG5" s="101">
        <f t="shared" si="7"/>
        <v>1063031.7270000002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(530+175)+900</f>
        <v>1605</v>
      </c>
      <c r="C7" s="12">
        <f>(3155+222)+1176</f>
        <v>4553</v>
      </c>
      <c r="D7" s="12">
        <f>(347+4561)+1224</f>
        <v>6132</v>
      </c>
      <c r="E7" s="12"/>
      <c r="F7" s="12"/>
      <c r="G7" s="12"/>
      <c r="H7" s="12"/>
      <c r="I7" s="12">
        <f>(5387.062+396.785)+1612.97</f>
        <v>7396.817</v>
      </c>
      <c r="J7" s="32">
        <v>6531.8510000000006</v>
      </c>
      <c r="K7" s="12">
        <f>(4057.507+2155.419)+1775.675</f>
        <v>7988.6009999999997</v>
      </c>
      <c r="L7" s="12">
        <f>(6741.872+2533.954)+2548.046</f>
        <v>11823.872000000001</v>
      </c>
      <c r="M7" s="12">
        <v>8929.3670000000002</v>
      </c>
      <c r="N7" s="12">
        <f>(5232.02+1765.914)+1670.486</f>
        <v>8668.42</v>
      </c>
      <c r="O7" s="12">
        <v>9267.5737699999991</v>
      </c>
      <c r="P7" s="12"/>
      <c r="Q7" s="12"/>
      <c r="R7" s="44">
        <v>12250.83</v>
      </c>
      <c r="S7" s="12">
        <v>12768.564</v>
      </c>
      <c r="T7" s="82">
        <v>12156.154</v>
      </c>
      <c r="U7" s="12">
        <v>15279.159</v>
      </c>
      <c r="V7" s="12">
        <v>15097.32</v>
      </c>
      <c r="W7" s="32">
        <v>15364.395</v>
      </c>
      <c r="X7" s="32">
        <v>21085.294000000002</v>
      </c>
      <c r="Y7" s="32">
        <v>23101.534</v>
      </c>
      <c r="Z7" s="32">
        <v>27887.635999999999</v>
      </c>
      <c r="AA7" s="32">
        <v>26263.922999999999</v>
      </c>
      <c r="AB7" s="32">
        <v>32771.464</v>
      </c>
      <c r="AC7" s="32">
        <v>27279</v>
      </c>
      <c r="AD7" s="12">
        <v>29483.394</v>
      </c>
      <c r="AE7" s="12">
        <v>28664.894</v>
      </c>
      <c r="AF7" s="12">
        <v>26299.603999999999</v>
      </c>
      <c r="AG7" s="12">
        <v>30979.083999999999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(703+159)+69</f>
        <v>931</v>
      </c>
      <c r="C8" s="12">
        <f>(725+115)+76</f>
        <v>916</v>
      </c>
      <c r="D8" s="12">
        <f>(972+29)+302</f>
        <v>1303</v>
      </c>
      <c r="E8" s="12"/>
      <c r="F8" s="12"/>
      <c r="G8" s="12"/>
      <c r="H8" s="12"/>
      <c r="I8" s="12">
        <f>(2085.736+152.737)+634.314</f>
        <v>2872.7869999999998</v>
      </c>
      <c r="J8" s="32">
        <v>3898.1020000000003</v>
      </c>
      <c r="K8" s="12">
        <f>(5059.187+150.194)+900.856</f>
        <v>6110.2370000000001</v>
      </c>
      <c r="L8" s="12">
        <f>(8783.272+159.274)+1228.643</f>
        <v>10171.189</v>
      </c>
      <c r="M8" s="12">
        <v>6472.1559999999999</v>
      </c>
      <c r="N8" s="12">
        <f>(14360.034+25.478)+1385.693</f>
        <v>15771.204999999998</v>
      </c>
      <c r="O8" s="12">
        <v>15554.029</v>
      </c>
      <c r="P8" s="12"/>
      <c r="Q8" s="12"/>
      <c r="R8" s="63">
        <v>13048.904999999999</v>
      </c>
      <c r="S8" s="12">
        <v>12825.741</v>
      </c>
      <c r="T8" s="82">
        <v>13597.938</v>
      </c>
      <c r="U8" s="12">
        <v>16868.737000000001</v>
      </c>
      <c r="V8" s="12">
        <v>19229.488000000001</v>
      </c>
      <c r="W8" s="32">
        <v>19282.262999999999</v>
      </c>
      <c r="X8" s="32">
        <v>23841.538</v>
      </c>
      <c r="Y8" s="32">
        <v>28924.806</v>
      </c>
      <c r="Z8" s="32">
        <v>36979.184000000001</v>
      </c>
      <c r="AA8" s="32">
        <v>29556.395</v>
      </c>
      <c r="AB8" s="32">
        <v>35097.557000000001</v>
      </c>
      <c r="AC8" s="32">
        <v>43096</v>
      </c>
      <c r="AD8" s="12">
        <v>37453.152000000002</v>
      </c>
      <c r="AE8" s="12">
        <v>38077.764000000003</v>
      </c>
      <c r="AF8" s="12">
        <v>36382.341999999997</v>
      </c>
      <c r="AG8" s="12">
        <v>36257.927000000003</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v>3667.3329999999996</v>
      </c>
      <c r="J9" s="32">
        <v>15416.598</v>
      </c>
      <c r="K9" s="12"/>
      <c r="L9" s="12"/>
      <c r="M9" s="12">
        <v>6790.8419999999996</v>
      </c>
      <c r="N9" s="12">
        <f>(1104.825+6466.39)+0</f>
        <v>7571.2150000000001</v>
      </c>
      <c r="O9" s="12">
        <v>9703.5290000000005</v>
      </c>
      <c r="P9" s="12"/>
      <c r="Q9" s="12"/>
      <c r="R9" s="63">
        <v>11225.102000000001</v>
      </c>
      <c r="S9" s="61">
        <v>11661.353999999999</v>
      </c>
      <c r="T9" s="83">
        <v>9914.2559999999994</v>
      </c>
      <c r="U9" s="61">
        <v>11047.424999999999</v>
      </c>
      <c r="V9" s="61">
        <v>11884.208000000001</v>
      </c>
      <c r="W9" s="32">
        <v>13426.254999999999</v>
      </c>
      <c r="X9" s="32">
        <v>13455.531999999999</v>
      </c>
      <c r="Y9" s="32">
        <v>13449.541999999999</v>
      </c>
      <c r="Z9" s="32">
        <v>15512.694</v>
      </c>
      <c r="AA9" s="32">
        <v>16013.162</v>
      </c>
      <c r="AB9" s="32">
        <v>18972.076000000001</v>
      </c>
      <c r="AC9" s="32">
        <v>15762</v>
      </c>
      <c r="AD9" s="12">
        <v>16295.652</v>
      </c>
      <c r="AE9" s="12">
        <v>15405.885</v>
      </c>
      <c r="AF9" s="12">
        <v>19228.664000000001</v>
      </c>
      <c r="AG9" s="12">
        <v>18638.698</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(7667+240)+2522</f>
        <v>10429</v>
      </c>
      <c r="C10" s="12">
        <f>(9280+345)+3286</f>
        <v>12911</v>
      </c>
      <c r="D10" s="12">
        <f>(11011+613)+5156</f>
        <v>16780</v>
      </c>
      <c r="E10" s="12"/>
      <c r="F10" s="12"/>
      <c r="G10" s="12"/>
      <c r="H10" s="12"/>
      <c r="I10" s="12">
        <f>(30364.625+2566.069)+6788.47</f>
        <v>39719.164000000004</v>
      </c>
      <c r="J10" s="32">
        <v>44671.725999999995</v>
      </c>
      <c r="K10" s="12">
        <f>(23047.616+5098.823)+17432.877</f>
        <v>45579.316000000006</v>
      </c>
      <c r="L10" s="12">
        <f>(21267.993+9109.909)+15687.766</f>
        <v>46065.667999999998</v>
      </c>
      <c r="M10" s="12">
        <v>40487.347999999998</v>
      </c>
      <c r="N10" s="12">
        <f>(26270.752+1969.523)+14519.351</f>
        <v>42759.626000000004</v>
      </c>
      <c r="O10" s="12">
        <v>47128.253000000004</v>
      </c>
      <c r="P10" s="12"/>
      <c r="Q10" s="12"/>
      <c r="R10" s="63">
        <v>77041.417000000001</v>
      </c>
      <c r="S10" s="12">
        <v>128067.492</v>
      </c>
      <c r="T10" s="82">
        <v>134869.742</v>
      </c>
      <c r="U10" s="12">
        <v>137918.78599999999</v>
      </c>
      <c r="V10" s="12">
        <v>133843.06700000001</v>
      </c>
      <c r="W10" s="32">
        <v>165253.32</v>
      </c>
      <c r="X10" s="32">
        <v>157297.27799999999</v>
      </c>
      <c r="Y10" s="32">
        <v>197526.26300000001</v>
      </c>
      <c r="Z10" s="32">
        <v>187115.905</v>
      </c>
      <c r="AA10" s="32">
        <v>220957.003</v>
      </c>
      <c r="AB10" s="32">
        <v>227221.807</v>
      </c>
      <c r="AC10" s="32">
        <v>217337</v>
      </c>
      <c r="AD10" s="12">
        <v>190462.72200000001</v>
      </c>
      <c r="AE10" s="12">
        <v>183509.405</v>
      </c>
      <c r="AF10" s="12">
        <v>205634.98</v>
      </c>
      <c r="AG10" s="12">
        <v>212204.47399999999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(2576+105)+591</f>
        <v>3272</v>
      </c>
      <c r="C11" s="12">
        <f>(2948+335)+508</f>
        <v>3791</v>
      </c>
      <c r="D11" s="12">
        <f>(3417+284)+656</f>
        <v>4357</v>
      </c>
      <c r="E11" s="12"/>
      <c r="F11" s="12"/>
      <c r="G11" s="12"/>
      <c r="H11" s="12"/>
      <c r="I11" s="12">
        <f>(8901.994+1228.347)+2104.185</f>
        <v>12234.526</v>
      </c>
      <c r="J11" s="32">
        <v>8853.5619999999999</v>
      </c>
      <c r="K11" s="12">
        <f>(17243.508+942.05)+2593.801</f>
        <v>20779.359</v>
      </c>
      <c r="L11" s="12">
        <f>(28196.376+1491.969)+2479.084</f>
        <v>32167.429</v>
      </c>
      <c r="M11" s="12">
        <v>48381.214999999997</v>
      </c>
      <c r="N11" s="12">
        <f>(31984.222+994.906)+2662.462</f>
        <v>35641.590000000004</v>
      </c>
      <c r="O11" s="12">
        <v>40646.953490000007</v>
      </c>
      <c r="P11" s="12"/>
      <c r="Q11" s="12"/>
      <c r="R11" s="63">
        <v>86622.535000000003</v>
      </c>
      <c r="S11" s="12">
        <v>123610.02500000001</v>
      </c>
      <c r="T11" s="82">
        <v>41022.885999999999</v>
      </c>
      <c r="U11" s="12">
        <v>34003.21</v>
      </c>
      <c r="V11" s="12">
        <v>43996.868999999999</v>
      </c>
      <c r="W11" s="32">
        <v>32004.713</v>
      </c>
      <c r="X11" s="32">
        <v>38384.154999999999</v>
      </c>
      <c r="Y11" s="32">
        <v>51121.921000000002</v>
      </c>
      <c r="Z11" s="32">
        <v>40971.495000000003</v>
      </c>
      <c r="AA11" s="32">
        <v>20925.327000000001</v>
      </c>
      <c r="AB11" s="32">
        <v>44157.161</v>
      </c>
      <c r="AC11" s="32">
        <v>55904</v>
      </c>
      <c r="AD11" s="12">
        <v>51273.186000000002</v>
      </c>
      <c r="AE11" s="12">
        <v>44381.481</v>
      </c>
      <c r="AF11" s="12">
        <v>20191.47</v>
      </c>
      <c r="AG11" s="12">
        <v>18629.802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(1148+21)+273</f>
        <v>1442</v>
      </c>
      <c r="C12" s="12">
        <f>(901+11)+349</f>
        <v>1261</v>
      </c>
      <c r="D12" s="12">
        <f>(1257+0)+994</f>
        <v>2251</v>
      </c>
      <c r="E12" s="12"/>
      <c r="F12" s="12"/>
      <c r="G12" s="12"/>
      <c r="H12" s="12"/>
      <c r="I12" s="12">
        <f>(5602.493+0)+2902</f>
        <v>8504.4930000000004</v>
      </c>
      <c r="J12" s="32">
        <v>10543.191999999999</v>
      </c>
      <c r="K12" s="12">
        <v>9196.7890000000007</v>
      </c>
      <c r="L12" s="12">
        <v>9832.7459999999992</v>
      </c>
      <c r="M12" s="12">
        <v>11322.814</v>
      </c>
      <c r="N12" s="12">
        <f>(10059.598+0)+3163.672</f>
        <v>13223.27</v>
      </c>
      <c r="O12" s="12">
        <v>15681.775</v>
      </c>
      <c r="P12" s="12"/>
      <c r="Q12" s="12"/>
      <c r="R12" s="34">
        <v>30099.834999999999</v>
      </c>
      <c r="S12" s="12">
        <v>71828.125</v>
      </c>
      <c r="T12" s="82">
        <v>3392.8829999999998</v>
      </c>
      <c r="U12" s="12">
        <v>3522.6669999999999</v>
      </c>
      <c r="V12" s="12">
        <v>4033.884</v>
      </c>
      <c r="W12" s="32">
        <v>40849.652999999998</v>
      </c>
      <c r="X12" s="32">
        <v>60320.6</v>
      </c>
      <c r="Y12" s="32">
        <v>54753.413999999997</v>
      </c>
      <c r="Z12" s="32">
        <v>54297.353999999999</v>
      </c>
      <c r="AA12" s="32">
        <v>45203.677000000003</v>
      </c>
      <c r="AB12" s="32">
        <v>51307.188000000002</v>
      </c>
      <c r="AC12" s="32">
        <v>49722</v>
      </c>
      <c r="AD12" s="12">
        <v>49530.993999999999</v>
      </c>
      <c r="AE12" s="12">
        <v>46557.837</v>
      </c>
      <c r="AF12" s="12">
        <v>44083.495000000003</v>
      </c>
      <c r="AG12" s="12">
        <v>55806.256999999998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663</v>
      </c>
      <c r="C13" s="12">
        <f>(535+0)+279</f>
        <v>814</v>
      </c>
      <c r="D13" s="12">
        <f>(645+7)+280</f>
        <v>932</v>
      </c>
      <c r="E13" s="12"/>
      <c r="F13" s="12"/>
      <c r="G13" s="12"/>
      <c r="H13" s="12"/>
      <c r="I13" s="12">
        <f>(1154.794+64.321)+400.499</f>
        <v>1619.614</v>
      </c>
      <c r="J13" s="32">
        <v>1734.26</v>
      </c>
      <c r="K13" s="12">
        <f>(852.79+102.556)+448.641</f>
        <v>1403.9870000000001</v>
      </c>
      <c r="L13" s="12">
        <f>(1356.806+23.494)+614.513</f>
        <v>1994.8130000000001</v>
      </c>
      <c r="M13" s="12">
        <v>1494.759</v>
      </c>
      <c r="N13" s="12">
        <f>(29927.408+3919.279)+1089.012</f>
        <v>34935.699000000001</v>
      </c>
      <c r="O13" s="12">
        <v>26917.442610000006</v>
      </c>
      <c r="P13" s="12"/>
      <c r="Q13" s="12"/>
      <c r="R13" s="34">
        <v>7577.7539999999999</v>
      </c>
      <c r="S13" s="12">
        <v>10219.223000000002</v>
      </c>
      <c r="T13" s="82">
        <v>15958.576999999999</v>
      </c>
      <c r="U13" s="12">
        <v>13341.038</v>
      </c>
      <c r="V13" s="12">
        <v>22444.763999999999</v>
      </c>
      <c r="W13" s="32">
        <v>31189.763999999999</v>
      </c>
      <c r="X13" s="32">
        <v>30557.792000000001</v>
      </c>
      <c r="Y13" s="32">
        <v>30586.827000000001</v>
      </c>
      <c r="Z13" s="32">
        <v>39273.764999999999</v>
      </c>
      <c r="AA13" s="32">
        <v>17885.649000000001</v>
      </c>
      <c r="AB13" s="32">
        <v>31333.841</v>
      </c>
      <c r="AC13" s="32">
        <v>31545</v>
      </c>
      <c r="AD13" s="12">
        <v>20333.643</v>
      </c>
      <c r="AE13" s="12">
        <v>19142.222000000002</v>
      </c>
      <c r="AF13" s="12">
        <v>13741.11</v>
      </c>
      <c r="AG13" s="12">
        <v>12582.62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(2367+538)+1745</f>
        <v>4650</v>
      </c>
      <c r="C14" s="12">
        <f>(4324+162)+2052</f>
        <v>6538</v>
      </c>
      <c r="D14" s="12">
        <f>(283+5233)+1862</f>
        <v>7378</v>
      </c>
      <c r="E14" s="12"/>
      <c r="F14" s="12"/>
      <c r="G14" s="12"/>
      <c r="H14" s="12"/>
      <c r="I14" s="12">
        <f>(4454.049+639.061)+1496.186</f>
        <v>6589.2959999999994</v>
      </c>
      <c r="J14" s="32">
        <v>7674.2190000000001</v>
      </c>
      <c r="K14" s="12">
        <f>(4740.149+2239.703)+1697.325</f>
        <v>8677.1770000000015</v>
      </c>
      <c r="L14" s="12">
        <f>(4966.966+3229.266)+2994.368</f>
        <v>11190.6</v>
      </c>
      <c r="M14" s="12">
        <v>10536.8</v>
      </c>
      <c r="N14" s="12">
        <f>(8893.126+2699.354)+2572.89</f>
        <v>14165.369999999999</v>
      </c>
      <c r="O14" s="12">
        <v>11281.046999999999</v>
      </c>
      <c r="P14" s="12"/>
      <c r="Q14" s="12"/>
      <c r="R14" s="34">
        <v>12998.762000000001</v>
      </c>
      <c r="S14" s="12">
        <v>21788.429</v>
      </c>
      <c r="T14" s="82">
        <v>43963.6</v>
      </c>
      <c r="U14" s="12">
        <v>45133.93</v>
      </c>
      <c r="V14" s="12">
        <v>24687.705000000002</v>
      </c>
      <c r="W14" s="32">
        <v>37463.313999999998</v>
      </c>
      <c r="X14" s="32">
        <v>33126.277000000002</v>
      </c>
      <c r="Y14" s="32">
        <v>37749.423000000003</v>
      </c>
      <c r="Z14" s="32">
        <v>43842.034</v>
      </c>
      <c r="AA14" s="32">
        <v>44976.158000000003</v>
      </c>
      <c r="AB14" s="32">
        <v>49281.91</v>
      </c>
      <c r="AC14" s="32">
        <v>46155</v>
      </c>
      <c r="AD14" s="12">
        <v>49654.381999999998</v>
      </c>
      <c r="AE14" s="12">
        <v>48362.993999999999</v>
      </c>
      <c r="AF14" s="12">
        <v>49467.881000000001</v>
      </c>
      <c r="AG14" s="12">
        <v>51794.644999999997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6027</v>
      </c>
      <c r="C15" s="12">
        <f>(2475+1)+41</f>
        <v>2517</v>
      </c>
      <c r="D15" s="12">
        <v>669</v>
      </c>
      <c r="E15" s="12"/>
      <c r="F15" s="12"/>
      <c r="G15" s="12"/>
      <c r="H15" s="12"/>
      <c r="I15" s="12">
        <f>(12377.966+1170.884)+482.151</f>
        <v>14031.001</v>
      </c>
      <c r="J15" s="32">
        <v>12705.569</v>
      </c>
      <c r="K15" s="12">
        <f>(15403.507+1245.806)+1015.333</f>
        <v>17664.645999999997</v>
      </c>
      <c r="L15" s="12">
        <f>(16452.285+1002.266)+595.57</f>
        <v>18050.120999999999</v>
      </c>
      <c r="M15" s="12">
        <v>26222.138999999999</v>
      </c>
      <c r="N15" s="12">
        <f>(29962.075+583.763)+1895.849</f>
        <v>32441.686999999998</v>
      </c>
      <c r="O15" s="12">
        <v>34670.138999999996</v>
      </c>
      <c r="P15" s="12"/>
      <c r="Q15" s="12"/>
      <c r="R15" s="34">
        <v>41982.343000000001</v>
      </c>
      <c r="S15" s="12">
        <v>44709.976000000002</v>
      </c>
      <c r="T15" s="82">
        <v>47990.794999999998</v>
      </c>
      <c r="U15" s="12">
        <v>45921.201000000001</v>
      </c>
      <c r="V15" s="12">
        <v>55448.885999999999</v>
      </c>
      <c r="W15" s="32">
        <v>52437.633999999998</v>
      </c>
      <c r="X15" s="32">
        <v>61014.457999999999</v>
      </c>
      <c r="Y15" s="32">
        <v>62869.409</v>
      </c>
      <c r="Z15" s="32">
        <v>69230.481</v>
      </c>
      <c r="AA15" s="32">
        <v>66488.608999999997</v>
      </c>
      <c r="AB15" s="32">
        <v>56333.01</v>
      </c>
      <c r="AC15" s="32">
        <v>57469</v>
      </c>
      <c r="AD15" s="12">
        <v>63369.987999999998</v>
      </c>
      <c r="AE15" s="12">
        <v>62353.807000000001</v>
      </c>
      <c r="AF15" s="12">
        <v>64698.103999999999</v>
      </c>
      <c r="AG15" s="12">
        <v>71163.016000000003</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(1977+429)+1483</f>
        <v>3889</v>
      </c>
      <c r="C16" s="20">
        <f>(3246+1063)+1937</f>
        <v>6246</v>
      </c>
      <c r="D16" s="20">
        <f>(3485+742)+2572</f>
        <v>6799</v>
      </c>
      <c r="E16" s="20"/>
      <c r="F16" s="20"/>
      <c r="G16" s="20"/>
      <c r="H16" s="20"/>
      <c r="I16" s="20">
        <f>(4574.078+1276.459)+4652.171</f>
        <v>10502.708000000001</v>
      </c>
      <c r="J16" s="33">
        <v>18228.167000000001</v>
      </c>
      <c r="K16" s="20">
        <f>(3561.298+689.608)+7170.842</f>
        <v>11421.748</v>
      </c>
      <c r="L16" s="20">
        <f>(3659.408+540.28)+7664.191</f>
        <v>11863.879000000001</v>
      </c>
      <c r="M16" s="20">
        <v>12590.98</v>
      </c>
      <c r="N16" s="20">
        <f>(2835.387+674.359)+7631.683</f>
        <v>11141.429</v>
      </c>
      <c r="O16" s="20">
        <v>13860.12311</v>
      </c>
      <c r="P16" s="20"/>
      <c r="Q16" s="20"/>
      <c r="R16" s="66">
        <v>92112.494999999995</v>
      </c>
      <c r="S16" s="20">
        <v>114583.61200000001</v>
      </c>
      <c r="T16" s="20">
        <v>53023.953999999998</v>
      </c>
      <c r="U16" s="20">
        <v>108622.621</v>
      </c>
      <c r="V16" s="20">
        <v>56926.536</v>
      </c>
      <c r="W16" s="33">
        <v>68741.48</v>
      </c>
      <c r="X16" s="33">
        <v>72295.952999999994</v>
      </c>
      <c r="Y16" s="33">
        <v>73567.794999999998</v>
      </c>
      <c r="Z16" s="33">
        <v>87444.33</v>
      </c>
      <c r="AA16" s="33">
        <v>89439.323999999993</v>
      </c>
      <c r="AB16" s="33">
        <v>89630.426999999996</v>
      </c>
      <c r="AC16" s="33">
        <v>82125</v>
      </c>
      <c r="AD16" s="20">
        <v>74426.491999999998</v>
      </c>
      <c r="AE16" s="20">
        <v>84609.255999999994</v>
      </c>
      <c r="AF16" s="20">
        <v>76601.991999999998</v>
      </c>
      <c r="AG16" s="20">
        <v>110745.558</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(464+54)+764</f>
        <v>1282</v>
      </c>
      <c r="C17" s="20">
        <f>(421+55)+885</f>
        <v>1361</v>
      </c>
      <c r="D17" s="20">
        <f>(352+51)+1023</f>
        <v>1426</v>
      </c>
      <c r="E17" s="20"/>
      <c r="F17" s="20"/>
      <c r="G17" s="20"/>
      <c r="H17" s="20"/>
      <c r="I17" s="20">
        <f>(938.777+166.323)+3038.216</f>
        <v>4143.3159999999998</v>
      </c>
      <c r="J17" s="33">
        <v>6523.8680000000004</v>
      </c>
      <c r="K17" s="20">
        <f>(2833.706+239.451)+1963.519</f>
        <v>5036.6760000000004</v>
      </c>
      <c r="L17" s="20">
        <f>(3332.336+223.234)+1615.894</f>
        <v>5171.4639999999999</v>
      </c>
      <c r="M17" s="20">
        <v>5242.5479999999998</v>
      </c>
      <c r="N17" s="20">
        <f>(3007.646+101.88)+4026.544</f>
        <v>7136.07</v>
      </c>
      <c r="O17" s="20">
        <v>9318.7268599999989</v>
      </c>
      <c r="P17" s="20"/>
      <c r="Q17" s="20"/>
      <c r="R17" s="66">
        <v>11831.164000000001</v>
      </c>
      <c r="S17" s="20">
        <v>24661.288999999997</v>
      </c>
      <c r="T17" s="20">
        <v>14444.06</v>
      </c>
      <c r="U17" s="20">
        <v>14573.282999999999</v>
      </c>
      <c r="V17" s="20">
        <v>12598.406999999999</v>
      </c>
      <c r="W17" s="33">
        <v>17610.734</v>
      </c>
      <c r="X17" s="33">
        <v>18161.237000000001</v>
      </c>
      <c r="Y17" s="33">
        <v>18694.349999999999</v>
      </c>
      <c r="Z17" s="33">
        <v>21986.05</v>
      </c>
      <c r="AA17" s="33">
        <v>27394.449000000001</v>
      </c>
      <c r="AB17" s="33">
        <v>29641.705999999998</v>
      </c>
      <c r="AC17" s="33">
        <v>29955</v>
      </c>
      <c r="AD17" s="20">
        <v>26393.576000000001</v>
      </c>
      <c r="AE17" s="20">
        <v>28785.241999999998</v>
      </c>
      <c r="AF17" s="20">
        <v>30436.814999999999</v>
      </c>
      <c r="AG17" s="20">
        <v>29900.764999999999</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(1418+86)+914</f>
        <v>2418</v>
      </c>
      <c r="C18" s="20">
        <f>(1730+24)+215</f>
        <v>1969</v>
      </c>
      <c r="D18" s="20">
        <f>(1920+21)+280</f>
        <v>2221</v>
      </c>
      <c r="E18" s="20"/>
      <c r="F18" s="20"/>
      <c r="G18" s="20"/>
      <c r="H18" s="20"/>
      <c r="I18" s="20">
        <f>(2651.763+85.702)+473.007</f>
        <v>3210.4720000000002</v>
      </c>
      <c r="J18" s="33">
        <v>2899.2580000000003</v>
      </c>
      <c r="K18" s="20">
        <f>(1698.99+434.55)+794.991</f>
        <v>2928.5309999999999</v>
      </c>
      <c r="L18" s="20">
        <f>(1686.427+417.346)+1060.406</f>
        <v>3164.1790000000001</v>
      </c>
      <c r="M18" s="20">
        <v>3178.422</v>
      </c>
      <c r="N18" s="20">
        <f>(1394.264+811.015)+908.709</f>
        <v>3113.9879999999998</v>
      </c>
      <c r="O18" s="20">
        <v>11352.204</v>
      </c>
      <c r="P18" s="20"/>
      <c r="Q18" s="20"/>
      <c r="R18" s="66">
        <v>22573.508000000002</v>
      </c>
      <c r="S18" s="20">
        <v>22106.11</v>
      </c>
      <c r="T18" s="20">
        <v>15653.451999999999</v>
      </c>
      <c r="U18" s="20">
        <v>53374.565999999999</v>
      </c>
      <c r="V18" s="20">
        <v>58554.688000000002</v>
      </c>
      <c r="W18" s="33">
        <v>66587.896999999997</v>
      </c>
      <c r="X18" s="33">
        <v>75610.464999999997</v>
      </c>
      <c r="Y18" s="33">
        <v>93168.97</v>
      </c>
      <c r="Z18" s="33">
        <v>97201.7</v>
      </c>
      <c r="AA18" s="33">
        <v>98676.767000000007</v>
      </c>
      <c r="AB18" s="33">
        <v>92456.013000000006</v>
      </c>
      <c r="AC18" s="33">
        <v>88647</v>
      </c>
      <c r="AD18" s="20">
        <v>97120.012000000002</v>
      </c>
      <c r="AE18" s="20">
        <v>102295.046</v>
      </c>
      <c r="AF18" s="20">
        <v>103357.501</v>
      </c>
      <c r="AG18" s="20">
        <v>104067.923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(1421+87)+896</f>
        <v>2404</v>
      </c>
      <c r="C19" s="20">
        <f>(1116+161)+1329</f>
        <v>2606</v>
      </c>
      <c r="D19" s="20">
        <f>(1713+114)+1524</f>
        <v>3351</v>
      </c>
      <c r="E19" s="20"/>
      <c r="F19" s="20"/>
      <c r="G19" s="20"/>
      <c r="H19" s="20"/>
      <c r="I19" s="20">
        <f>(2034.794+185.312)+5572.115</f>
        <v>7792.2209999999995</v>
      </c>
      <c r="J19" s="33">
        <v>8962.9030000000002</v>
      </c>
      <c r="K19" s="20">
        <f>(1406.912+209.321)+4557.463</f>
        <v>6173.6959999999999</v>
      </c>
      <c r="L19" s="20">
        <f>(2000.577+254.711)+4419.621</f>
        <v>6674.9089999999997</v>
      </c>
      <c r="M19" s="20">
        <v>7223.9549999999999</v>
      </c>
      <c r="N19" s="20">
        <f>(1903.072+298.252)+5072.639</f>
        <v>7273.9629999999997</v>
      </c>
      <c r="O19" s="20">
        <v>8218.237000000001</v>
      </c>
      <c r="P19" s="20"/>
      <c r="Q19" s="20"/>
      <c r="R19" s="90">
        <v>11400.691999999999</v>
      </c>
      <c r="S19" s="20">
        <v>15260.451000000001</v>
      </c>
      <c r="T19" s="20">
        <v>12515.34</v>
      </c>
      <c r="U19" s="20">
        <v>18343.913</v>
      </c>
      <c r="V19" s="20">
        <v>18556.651000000002</v>
      </c>
      <c r="W19" s="33">
        <v>24247.603999999999</v>
      </c>
      <c r="X19" s="33">
        <v>26313.962</v>
      </c>
      <c r="Y19" s="33">
        <v>31669.519</v>
      </c>
      <c r="Z19" s="33">
        <v>43041.277999999998</v>
      </c>
      <c r="AA19" s="33">
        <v>45767.156999999999</v>
      </c>
      <c r="AB19" s="33">
        <v>56725.983</v>
      </c>
      <c r="AC19" s="33">
        <v>63180</v>
      </c>
      <c r="AD19" s="20">
        <v>61732.250999999997</v>
      </c>
      <c r="AE19" s="20">
        <v>65761.966</v>
      </c>
      <c r="AF19" s="20">
        <v>64378.644</v>
      </c>
      <c r="AG19" s="20">
        <v>75739.788</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(14872+6121)+3419</f>
        <v>24412</v>
      </c>
      <c r="C20" s="20">
        <f>(20056+8196)+2875</f>
        <v>31127</v>
      </c>
      <c r="D20" s="20">
        <f>(14545+2865)+5268</f>
        <v>22678</v>
      </c>
      <c r="E20" s="20"/>
      <c r="F20" s="20"/>
      <c r="G20" s="20"/>
      <c r="H20" s="20"/>
      <c r="I20" s="20">
        <f>(26194.258+10957.934)+9539.319</f>
        <v>46691.510999999999</v>
      </c>
      <c r="J20" s="33">
        <v>52422.561000000002</v>
      </c>
      <c r="K20" s="20">
        <f>(23351.729+10405.963)+9143.626</f>
        <v>42901.317999999999</v>
      </c>
      <c r="L20" s="20">
        <f>(20858.588+11568.683)+8681.508</f>
        <v>41108.779000000002</v>
      </c>
      <c r="M20" s="20">
        <v>38610.305999999997</v>
      </c>
      <c r="N20" s="20">
        <f>(15171.853+8541.725)+10631.289</f>
        <v>34344.866999999998</v>
      </c>
      <c r="O20" s="20">
        <v>37593.57</v>
      </c>
      <c r="P20" s="20"/>
      <c r="Q20" s="20"/>
      <c r="R20" s="66">
        <v>59540.402999999998</v>
      </c>
      <c r="S20" s="20">
        <v>67267.328999999998</v>
      </c>
      <c r="T20" s="20">
        <v>100705.54</v>
      </c>
      <c r="U20" s="20">
        <v>119185.389</v>
      </c>
      <c r="V20" s="20">
        <v>96592.854000000007</v>
      </c>
      <c r="W20" s="33">
        <v>80949.383000000002</v>
      </c>
      <c r="X20" s="33">
        <v>83053.861000000004</v>
      </c>
      <c r="Y20" s="33">
        <v>90426.577000000005</v>
      </c>
      <c r="Z20" s="33">
        <v>106980.893</v>
      </c>
      <c r="AA20" s="33">
        <v>132459.87299999999</v>
      </c>
      <c r="AB20" s="33">
        <v>150107.984</v>
      </c>
      <c r="AC20" s="33">
        <v>167175</v>
      </c>
      <c r="AD20" s="20">
        <v>157724.242</v>
      </c>
      <c r="AE20" s="20">
        <v>159844.03899999999</v>
      </c>
      <c r="AF20" s="20">
        <v>169486.514</v>
      </c>
      <c r="AG20" s="20">
        <v>187031.42499999999</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(34+1490)+0</f>
        <v>1524</v>
      </c>
      <c r="C21" s="20">
        <f>(828+931)+1187</f>
        <v>2946</v>
      </c>
      <c r="D21" s="20">
        <f>(876+853)+1419</f>
        <v>3148</v>
      </c>
      <c r="E21" s="20"/>
      <c r="F21" s="20"/>
      <c r="G21" s="20"/>
      <c r="H21" s="20"/>
      <c r="I21" s="20">
        <f>(1729.942+37.029)+2969.937</f>
        <v>4736.9079999999994</v>
      </c>
      <c r="J21" s="33">
        <v>8540.0239999999994</v>
      </c>
      <c r="K21" s="20">
        <f>(7712.235+52.424)+2228.449</f>
        <v>9993.1080000000002</v>
      </c>
      <c r="L21" s="20">
        <f>(10200.431+89.819)+2889.209</f>
        <v>13179.458999999999</v>
      </c>
      <c r="M21" s="20">
        <v>14779.849</v>
      </c>
      <c r="N21" s="20">
        <f>(12287.191+110.323)+3470.023</f>
        <v>15867.537</v>
      </c>
      <c r="O21" s="20">
        <v>16743.131000000001</v>
      </c>
      <c r="P21" s="20"/>
      <c r="Q21" s="20"/>
      <c r="R21" s="66">
        <v>20203.687999999998</v>
      </c>
      <c r="S21" s="20">
        <v>22742.111999999997</v>
      </c>
      <c r="T21" s="20">
        <v>13258.793</v>
      </c>
      <c r="U21" s="20">
        <v>9532.7459999999992</v>
      </c>
      <c r="V21" s="20">
        <v>13471.718999999999</v>
      </c>
      <c r="W21" s="33">
        <v>15042.401</v>
      </c>
      <c r="X21" s="33">
        <v>19475.046999999999</v>
      </c>
      <c r="Y21" s="33">
        <v>22231.915000000001</v>
      </c>
      <c r="Z21" s="33">
        <v>23346.146000000001</v>
      </c>
      <c r="AA21" s="33">
        <v>23579.415000000001</v>
      </c>
      <c r="AB21" s="33">
        <v>20881.179</v>
      </c>
      <c r="AC21" s="33">
        <v>16548</v>
      </c>
      <c r="AD21" s="20">
        <v>24093.271000000001</v>
      </c>
      <c r="AE21" s="20">
        <v>23376.102999999999</v>
      </c>
      <c r="AF21" s="20">
        <v>26233.756000000001</v>
      </c>
      <c r="AG21" s="20">
        <v>26515.594000000001</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(570+87)+101</f>
        <v>758</v>
      </c>
      <c r="C22" s="51">
        <v>747</v>
      </c>
      <c r="D22" s="51">
        <f>(0+661)+146</f>
        <v>807</v>
      </c>
      <c r="E22" s="51"/>
      <c r="F22" s="51"/>
      <c r="G22" s="51"/>
      <c r="H22" s="51"/>
      <c r="I22" s="51">
        <f>(885.27+0)+152.275</f>
        <v>1037.5450000000001</v>
      </c>
      <c r="J22" s="50">
        <v>1150.3439999999998</v>
      </c>
      <c r="K22" s="51">
        <v>1097.76</v>
      </c>
      <c r="L22" s="51">
        <v>1414.0530000000001</v>
      </c>
      <c r="M22" s="51">
        <v>1802.82</v>
      </c>
      <c r="N22" s="51">
        <f>(1557.202+328.025)+11.862</f>
        <v>1897.0889999999999</v>
      </c>
      <c r="O22" s="51">
        <v>1890.9939400000001</v>
      </c>
      <c r="P22" s="51"/>
      <c r="Q22" s="51"/>
      <c r="R22" s="51">
        <v>4195.4740000000002</v>
      </c>
      <c r="S22" s="51">
        <v>3420.942</v>
      </c>
      <c r="T22" s="51">
        <v>1743.7360000000001</v>
      </c>
      <c r="U22" s="51">
        <v>4938.6589999999997</v>
      </c>
      <c r="V22" s="51">
        <v>4065.3490000000002</v>
      </c>
      <c r="W22" s="50">
        <v>8048.5889999999999</v>
      </c>
      <c r="X22" s="50">
        <v>8749.3529999999992</v>
      </c>
      <c r="Y22" s="50">
        <v>9725.2440000000006</v>
      </c>
      <c r="Z22" s="50">
        <v>9310.9979999999996</v>
      </c>
      <c r="AA22" s="50">
        <v>19156.464</v>
      </c>
      <c r="AB22" s="50">
        <v>21444.261999999999</v>
      </c>
      <c r="AC22" s="50">
        <v>24208</v>
      </c>
      <c r="AD22" s="51">
        <v>25184.753000000001</v>
      </c>
      <c r="AE22" s="51">
        <v>25064.626</v>
      </c>
      <c r="AF22" s="51">
        <v>24562.99</v>
      </c>
      <c r="AG22" s="51">
        <v>20974.151000000002</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428865.94000000006</v>
      </c>
      <c r="K23" s="104">
        <f t="shared" si="8"/>
        <v>0</v>
      </c>
      <c r="L23" s="104">
        <f t="shared" si="8"/>
        <v>0</v>
      </c>
      <c r="M23" s="104">
        <f t="shared" si="8"/>
        <v>445037.93200000003</v>
      </c>
      <c r="N23" s="104">
        <f t="shared" si="8"/>
        <v>0</v>
      </c>
      <c r="O23" s="104">
        <f t="shared" si="8"/>
        <v>640332.51925000013</v>
      </c>
      <c r="P23" s="104">
        <f t="shared" si="8"/>
        <v>0</v>
      </c>
      <c r="Q23" s="104">
        <f t="shared" si="8"/>
        <v>0</v>
      </c>
      <c r="R23" s="104">
        <f t="shared" si="8"/>
        <v>777200.54300000006</v>
      </c>
      <c r="S23" s="104">
        <f t="shared" si="8"/>
        <v>1487578.963</v>
      </c>
      <c r="T23" s="104">
        <f t="shared" si="8"/>
        <v>1014818.6629999999</v>
      </c>
      <c r="U23" s="104">
        <f t="shared" si="8"/>
        <v>1013421.129</v>
      </c>
      <c r="V23" s="104">
        <f t="shared" si="8"/>
        <v>1045486.95</v>
      </c>
      <c r="W23" s="104">
        <f t="shared" si="8"/>
        <v>1259991.6959999998</v>
      </c>
      <c r="X23" s="104">
        <f t="shared" si="8"/>
        <v>1320251.3570000001</v>
      </c>
      <c r="Y23" s="104">
        <f t="shared" si="8"/>
        <v>1488664.0490000001</v>
      </c>
      <c r="Z23" s="104">
        <f t="shared" si="8"/>
        <v>1574001.8800000001</v>
      </c>
      <c r="AA23" s="104">
        <f t="shared" si="8"/>
        <v>1679101.9679999996</v>
      </c>
      <c r="AB23" s="104">
        <f t="shared" si="8"/>
        <v>1463559.5589999997</v>
      </c>
      <c r="AC23" s="104">
        <f t="shared" si="8"/>
        <v>1382822</v>
      </c>
      <c r="AD23" s="104">
        <f t="shared" si="8"/>
        <v>1394875.2610000002</v>
      </c>
      <c r="AE23" s="104">
        <f t="shared" si="8"/>
        <v>1501715.817</v>
      </c>
      <c r="AF23" s="104">
        <f t="shared" si="8"/>
        <v>1234399.4960000003</v>
      </c>
      <c r="AG23" s="104">
        <f t="shared" si="8"/>
        <v>1472141.5389999999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137.684</v>
      </c>
      <c r="K25" s="20"/>
      <c r="L25" s="20"/>
      <c r="M25" s="20">
        <v>378.61700000000002</v>
      </c>
      <c r="N25" s="20"/>
      <c r="O25" s="20">
        <v>459.31700000000001</v>
      </c>
      <c r="P25" s="20"/>
      <c r="Q25" s="20"/>
      <c r="R25" s="66">
        <v>990.30899999999997</v>
      </c>
      <c r="S25" s="20">
        <v>812.43799999999999</v>
      </c>
      <c r="T25" s="20">
        <v>1769.3589999999999</v>
      </c>
      <c r="U25" s="20">
        <v>1964.279</v>
      </c>
      <c r="V25" s="20">
        <v>1521.999</v>
      </c>
      <c r="W25" s="33">
        <v>1210.011</v>
      </c>
      <c r="X25" s="33">
        <v>7962.0079999999998</v>
      </c>
      <c r="Y25" s="33">
        <v>8182.2749999999996</v>
      </c>
      <c r="Z25" s="33">
        <v>2740.2950000000001</v>
      </c>
      <c r="AA25" s="33">
        <v>2469.596</v>
      </c>
      <c r="AB25" s="33">
        <v>2431.703</v>
      </c>
      <c r="AC25" s="33">
        <v>1218</v>
      </c>
      <c r="AD25" s="20">
        <v>2719.636</v>
      </c>
      <c r="AE25" s="20">
        <v>7244.25</v>
      </c>
      <c r="AF25" s="20"/>
      <c r="AG25" s="20"/>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19443.835999999999</v>
      </c>
      <c r="K26" s="20"/>
      <c r="L26" s="20"/>
      <c r="M26" s="20">
        <v>21216.695</v>
      </c>
      <c r="N26" s="20"/>
      <c r="O26" s="20">
        <v>27016.36418</v>
      </c>
      <c r="P26" s="20"/>
      <c r="Q26" s="20"/>
      <c r="R26" s="66">
        <v>25163.432000000001</v>
      </c>
      <c r="S26" s="20">
        <v>33777.980000000003</v>
      </c>
      <c r="T26" s="20">
        <v>37664.841999999997</v>
      </c>
      <c r="U26" s="20">
        <v>36873.567999999999</v>
      </c>
      <c r="V26" s="20">
        <v>39541.864000000001</v>
      </c>
      <c r="W26" s="33">
        <v>44334.658000000003</v>
      </c>
      <c r="X26" s="33">
        <v>40152.203000000001</v>
      </c>
      <c r="Y26" s="33">
        <v>45997.561999999998</v>
      </c>
      <c r="Z26" s="33">
        <v>49418.110999999997</v>
      </c>
      <c r="AA26" s="33">
        <v>51579.682999999997</v>
      </c>
      <c r="AB26" s="33">
        <v>44011.086000000003</v>
      </c>
      <c r="AC26" s="33">
        <v>43464</v>
      </c>
      <c r="AD26" s="20">
        <v>44726.794999999998</v>
      </c>
      <c r="AE26" s="20">
        <v>41607.108</v>
      </c>
      <c r="AF26" s="20">
        <v>5986.5330000000004</v>
      </c>
      <c r="AG26" s="20">
        <v>7107.62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277791.14799999999</v>
      </c>
      <c r="K27" s="20"/>
      <c r="L27" s="20"/>
      <c r="M27" s="20">
        <v>233058.622</v>
      </c>
      <c r="N27" s="20"/>
      <c r="O27" s="20">
        <v>389036.46120000002</v>
      </c>
      <c r="P27" s="20"/>
      <c r="Q27" s="20"/>
      <c r="R27" s="66">
        <v>450752.07199999999</v>
      </c>
      <c r="S27" s="20">
        <v>1113020.706</v>
      </c>
      <c r="T27" s="20">
        <v>644635.66700000002</v>
      </c>
      <c r="U27" s="20">
        <v>579156.20700000005</v>
      </c>
      <c r="V27" s="20">
        <v>598098.98199999996</v>
      </c>
      <c r="W27" s="33">
        <v>805314.49399999995</v>
      </c>
      <c r="X27" s="33">
        <v>800201.65</v>
      </c>
      <c r="Y27" s="33">
        <v>971328.44400000002</v>
      </c>
      <c r="Z27" s="33">
        <v>996737.66099999996</v>
      </c>
      <c r="AA27" s="33">
        <v>984219.86100000003</v>
      </c>
      <c r="AB27" s="33">
        <v>791863.47199999995</v>
      </c>
      <c r="AC27" s="33">
        <v>750405</v>
      </c>
      <c r="AD27" s="20">
        <v>725418.47400000005</v>
      </c>
      <c r="AE27" s="20">
        <v>807210.99</v>
      </c>
      <c r="AF27" s="20">
        <v>677066.88500000001</v>
      </c>
      <c r="AG27" s="20">
        <v>914624.777</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13297.668</v>
      </c>
      <c r="K28" s="20"/>
      <c r="L28" s="20"/>
      <c r="M28" s="20">
        <v>13669.137000000001</v>
      </c>
      <c r="N28" s="20"/>
      <c r="O28" s="20">
        <v>21316.004000000001</v>
      </c>
      <c r="P28" s="20"/>
      <c r="Q28" s="20"/>
      <c r="R28" s="66">
        <v>21031.673999999999</v>
      </c>
      <c r="S28" s="20">
        <v>23218.055</v>
      </c>
      <c r="T28" s="20">
        <v>28431.904999999999</v>
      </c>
      <c r="U28" s="20">
        <v>31471.477999999999</v>
      </c>
      <c r="V28" s="20">
        <v>29324.574000000001</v>
      </c>
      <c r="W28" s="33">
        <v>30068.853000000003</v>
      </c>
      <c r="X28" s="33">
        <v>56781.862999999998</v>
      </c>
      <c r="Y28" s="33">
        <v>55902.576000000001</v>
      </c>
      <c r="Z28" s="33">
        <v>58589.945</v>
      </c>
      <c r="AA28" s="33">
        <v>58615.088000000003</v>
      </c>
      <c r="AB28" s="33">
        <v>39339.023999999998</v>
      </c>
      <c r="AC28" s="33">
        <v>53534</v>
      </c>
      <c r="AD28" s="20">
        <v>52231.303999999996</v>
      </c>
      <c r="AE28" s="20">
        <v>59265.913999999997</v>
      </c>
      <c r="AF28" s="20">
        <v>34062.798000000003</v>
      </c>
      <c r="AG28" s="20">
        <v>37313.686000000002</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4053.3220000000001</v>
      </c>
      <c r="K29" s="20"/>
      <c r="L29" s="20"/>
      <c r="M29" s="20">
        <v>3726.1279999999997</v>
      </c>
      <c r="N29" s="20"/>
      <c r="O29" s="20">
        <v>1020.765</v>
      </c>
      <c r="P29" s="20"/>
      <c r="Q29" s="20"/>
      <c r="R29" s="66">
        <v>1184.481</v>
      </c>
      <c r="S29" s="20">
        <v>980.44799999999998</v>
      </c>
      <c r="T29" s="20">
        <v>782.28800000000001</v>
      </c>
      <c r="U29" s="20">
        <v>21885.843000000001</v>
      </c>
      <c r="V29" s="20">
        <v>19690.449000000001</v>
      </c>
      <c r="W29" s="33">
        <v>21111.992000000002</v>
      </c>
      <c r="X29" s="33">
        <v>24714.762999999999</v>
      </c>
      <c r="Y29" s="33">
        <v>27067.999</v>
      </c>
      <c r="Z29" s="33">
        <v>31499.499</v>
      </c>
      <c r="AA29" s="33">
        <v>42605.368999999999</v>
      </c>
      <c r="AB29" s="33">
        <v>39778.415000000001</v>
      </c>
      <c r="AC29" s="33">
        <v>39373</v>
      </c>
      <c r="AD29" s="20">
        <v>41788.834000000003</v>
      </c>
      <c r="AE29" s="20">
        <v>45273.154999999999</v>
      </c>
      <c r="AF29" s="20">
        <v>41838.226000000002</v>
      </c>
      <c r="AG29" s="20">
        <v>52499.199999999997</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1601.35</v>
      </c>
      <c r="K30" s="20"/>
      <c r="L30" s="20"/>
      <c r="M30" s="20">
        <v>3173.7739999999999</v>
      </c>
      <c r="N30" s="20"/>
      <c r="O30" s="20">
        <v>4693.2290000000003</v>
      </c>
      <c r="P30" s="20"/>
      <c r="Q30" s="20"/>
      <c r="R30" s="66">
        <v>4909.9180000000006</v>
      </c>
      <c r="S30" s="20">
        <v>5689.2829999999994</v>
      </c>
      <c r="T30" s="20">
        <v>5738.58</v>
      </c>
      <c r="U30" s="20">
        <v>10931.254000000001</v>
      </c>
      <c r="V30" s="20">
        <v>10694.956</v>
      </c>
      <c r="W30" s="33">
        <v>10541.128999999999</v>
      </c>
      <c r="X30" s="33">
        <v>11738.603999999999</v>
      </c>
      <c r="Y30" s="33">
        <v>9820.857</v>
      </c>
      <c r="Z30" s="33">
        <v>11504.787</v>
      </c>
      <c r="AA30" s="33">
        <v>11708.052</v>
      </c>
      <c r="AB30" s="33">
        <v>14890.439</v>
      </c>
      <c r="AC30" s="33">
        <v>12183</v>
      </c>
      <c r="AD30" s="20">
        <v>12787.218000000001</v>
      </c>
      <c r="AE30" s="20">
        <v>17662.625</v>
      </c>
      <c r="AF30" s="20">
        <v>17748.434000000001</v>
      </c>
      <c r="AG30" s="20">
        <v>6828.7619999999997</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1077.8739999999998</v>
      </c>
      <c r="K31" s="20"/>
      <c r="L31" s="20"/>
      <c r="M31" s="20">
        <v>1909.287</v>
      </c>
      <c r="N31" s="20"/>
      <c r="O31" s="20">
        <v>3744.6721600000001</v>
      </c>
      <c r="P31" s="20"/>
      <c r="Q31" s="20"/>
      <c r="R31" s="90">
        <v>4408.5069999999996</v>
      </c>
      <c r="S31" s="20">
        <v>4104.366</v>
      </c>
      <c r="T31" s="20">
        <v>4849.509</v>
      </c>
      <c r="U31" s="20">
        <v>7648.3609999999999</v>
      </c>
      <c r="V31" s="20">
        <v>5063.0339999999997</v>
      </c>
      <c r="W31" s="33">
        <v>3347.4630000000002</v>
      </c>
      <c r="X31" s="33">
        <v>5300.1459999999997</v>
      </c>
      <c r="Y31" s="33">
        <v>5484.0379999999996</v>
      </c>
      <c r="Z31" s="33">
        <v>7591.9650000000001</v>
      </c>
      <c r="AA31" s="33">
        <v>7635.9260000000004</v>
      </c>
      <c r="AB31" s="33">
        <v>5901.15</v>
      </c>
      <c r="AC31" s="33">
        <v>5497</v>
      </c>
      <c r="AD31" s="20">
        <v>5678.393</v>
      </c>
      <c r="AE31" s="20">
        <v>4781.558</v>
      </c>
      <c r="AF31" s="20">
        <v>5182.3389999999999</v>
      </c>
      <c r="AG31" s="20">
        <v>5318.7839999999997</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2260.7429999999999</v>
      </c>
      <c r="K32" s="20"/>
      <c r="L32" s="20"/>
      <c r="M32" s="20">
        <v>3238.0889999999999</v>
      </c>
      <c r="N32" s="20"/>
      <c r="O32" s="20">
        <v>4183</v>
      </c>
      <c r="P32" s="20"/>
      <c r="Q32" s="20"/>
      <c r="R32" s="92">
        <v>7363</v>
      </c>
      <c r="S32" s="20">
        <v>8991</v>
      </c>
      <c r="T32" s="20">
        <v>10645</v>
      </c>
      <c r="U32" s="20">
        <v>10348</v>
      </c>
      <c r="V32" s="20">
        <v>4037</v>
      </c>
      <c r="W32" s="33">
        <v>3554</v>
      </c>
      <c r="X32" s="33">
        <v>3580</v>
      </c>
      <c r="Y32" s="33">
        <v>2149</v>
      </c>
      <c r="Z32" s="33">
        <v>1864</v>
      </c>
      <c r="AA32" s="33">
        <v>10662</v>
      </c>
      <c r="AB32" s="33">
        <v>13333</v>
      </c>
      <c r="AC32" s="33">
        <v>13062</v>
      </c>
      <c r="AD32" s="20">
        <v>8175</v>
      </c>
      <c r="AE32" s="20">
        <v>8053</v>
      </c>
      <c r="AF32" s="20">
        <v>7632</v>
      </c>
      <c r="AG32" s="20">
        <v>7268</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9729.7260000000006</v>
      </c>
      <c r="K33" s="20"/>
      <c r="L33" s="20"/>
      <c r="M33" s="20">
        <v>8058.7910000000002</v>
      </c>
      <c r="N33" s="20"/>
      <c r="O33" s="20">
        <v>10307.32756</v>
      </c>
      <c r="P33" s="20"/>
      <c r="Q33" s="20"/>
      <c r="R33" s="92">
        <v>23446.232</v>
      </c>
      <c r="S33" s="20">
        <v>23477.155999999999</v>
      </c>
      <c r="T33" s="20">
        <v>22470.626</v>
      </c>
      <c r="U33" s="20">
        <v>33375.847999999998</v>
      </c>
      <c r="V33" s="20">
        <v>32666.031999999999</v>
      </c>
      <c r="W33" s="33">
        <v>32230.040999999997</v>
      </c>
      <c r="X33" s="33">
        <v>36722.163999999997</v>
      </c>
      <c r="Y33" s="33">
        <v>33002.999000000003</v>
      </c>
      <c r="Z33" s="33">
        <v>39011.733999999997</v>
      </c>
      <c r="AA33" s="33">
        <v>46919.686999999998</v>
      </c>
      <c r="AB33" s="33">
        <v>44048.896000000001</v>
      </c>
      <c r="AC33" s="33">
        <v>45930</v>
      </c>
      <c r="AD33" s="20">
        <v>44921.550999999999</v>
      </c>
      <c r="AE33" s="20">
        <v>44658.254000000001</v>
      </c>
      <c r="AF33" s="20">
        <v>38026.923999999999</v>
      </c>
      <c r="AG33" s="20">
        <v>30190.395</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30929.987999999998</v>
      </c>
      <c r="K34" s="20"/>
      <c r="L34" s="20"/>
      <c r="M34" s="20">
        <v>37622.033000000003</v>
      </c>
      <c r="N34" s="20"/>
      <c r="O34" s="20">
        <v>42571.821660000001</v>
      </c>
      <c r="P34" s="20"/>
      <c r="Q34" s="20"/>
      <c r="R34" s="66">
        <v>49639.082000000002</v>
      </c>
      <c r="S34" s="20">
        <v>46202.161</v>
      </c>
      <c r="T34" s="20">
        <v>45599.81</v>
      </c>
      <c r="U34" s="20">
        <v>44331.381000000001</v>
      </c>
      <c r="V34" s="20">
        <v>41572.671000000002</v>
      </c>
      <c r="W34" s="33">
        <v>44720.244000000006</v>
      </c>
      <c r="X34" s="33">
        <v>51516.112999999998</v>
      </c>
      <c r="Y34" s="33">
        <v>50083.133999999998</v>
      </c>
      <c r="Z34" s="33">
        <v>60583.538</v>
      </c>
      <c r="AA34" s="33">
        <v>97820.656000000003</v>
      </c>
      <c r="AB34" s="33">
        <v>108735.215</v>
      </c>
      <c r="AC34" s="33">
        <v>61660</v>
      </c>
      <c r="AD34" s="20">
        <v>70225.987999999998</v>
      </c>
      <c r="AE34" s="20">
        <v>59845.413</v>
      </c>
      <c r="AF34" s="20">
        <v>65496.148000000001</v>
      </c>
      <c r="AG34" s="20">
        <v>64960.004999999997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6171.2340000000004</v>
      </c>
      <c r="K35" s="20"/>
      <c r="L35" s="20"/>
      <c r="M35" s="20">
        <v>4910.0860000000002</v>
      </c>
      <c r="N35" s="20"/>
      <c r="O35" s="20">
        <v>6987.8389999999999</v>
      </c>
      <c r="P35" s="20"/>
      <c r="Q35" s="20"/>
      <c r="R35" s="66">
        <v>6494.3090000000002</v>
      </c>
      <c r="S35" s="20">
        <v>8932.6939999999995</v>
      </c>
      <c r="T35" s="20">
        <v>6608.2240000000002</v>
      </c>
      <c r="U35" s="20">
        <v>8214.1</v>
      </c>
      <c r="V35" s="20">
        <v>10111.867</v>
      </c>
      <c r="W35" s="33">
        <v>8831.9359999999997</v>
      </c>
      <c r="X35" s="33">
        <v>11354.646000000001</v>
      </c>
      <c r="Y35" s="33">
        <v>12553.806</v>
      </c>
      <c r="Z35" s="33">
        <v>15559.322</v>
      </c>
      <c r="AA35" s="33">
        <v>13256.558999999999</v>
      </c>
      <c r="AB35" s="33">
        <v>11970.646000000001</v>
      </c>
      <c r="AC35" s="33">
        <v>8830</v>
      </c>
      <c r="AD35" s="20">
        <v>4523.9179999999997</v>
      </c>
      <c r="AE35" s="20">
        <v>10175.885</v>
      </c>
      <c r="AF35" s="20">
        <v>7872.4070000000002</v>
      </c>
      <c r="AG35" s="20">
        <v>8443.5290000000005</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56984.535999999993</v>
      </c>
      <c r="K36" s="20"/>
      <c r="L36" s="20"/>
      <c r="M36" s="20">
        <v>109589.64700000001</v>
      </c>
      <c r="N36" s="20"/>
      <c r="O36" s="20">
        <v>124193.57549</v>
      </c>
      <c r="P36" s="20"/>
      <c r="Q36" s="20"/>
      <c r="R36" s="66">
        <v>177782.38800000001</v>
      </c>
      <c r="S36" s="20">
        <v>213570.98499999999</v>
      </c>
      <c r="T36" s="20">
        <v>200124.84400000001</v>
      </c>
      <c r="U36" s="20">
        <v>221402.41099999999</v>
      </c>
      <c r="V36" s="20">
        <v>247348.071</v>
      </c>
      <c r="W36" s="33">
        <v>249700.56399999998</v>
      </c>
      <c r="X36" s="33">
        <v>263011.38</v>
      </c>
      <c r="Y36" s="33">
        <v>253642.16899999999</v>
      </c>
      <c r="Z36" s="33">
        <v>278364.815</v>
      </c>
      <c r="AA36" s="33">
        <v>337371.34499999997</v>
      </c>
      <c r="AB36" s="33">
        <v>329593.67099999997</v>
      </c>
      <c r="AC36" s="33">
        <v>329243</v>
      </c>
      <c r="AD36" s="20">
        <v>361576.62300000002</v>
      </c>
      <c r="AE36" s="20">
        <v>367742.01799999998</v>
      </c>
      <c r="AF36" s="20">
        <v>305406.114</v>
      </c>
      <c r="AG36" s="20">
        <v>298508.51699999999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5386.8310000000001</v>
      </c>
      <c r="K37" s="51"/>
      <c r="L37" s="51"/>
      <c r="M37" s="51">
        <v>4487.0259999999998</v>
      </c>
      <c r="N37" s="51"/>
      <c r="O37" s="51">
        <v>4802.143</v>
      </c>
      <c r="P37" s="51"/>
      <c r="Q37" s="51"/>
      <c r="R37" s="67">
        <v>4035.1390000000001</v>
      </c>
      <c r="S37" s="51">
        <v>4801.6909999999998</v>
      </c>
      <c r="T37" s="51">
        <v>5498.009</v>
      </c>
      <c r="U37" s="51">
        <v>5818.3990000000003</v>
      </c>
      <c r="V37" s="51">
        <v>5815.451</v>
      </c>
      <c r="W37" s="50">
        <v>5026.3109999999997</v>
      </c>
      <c r="X37" s="50">
        <v>7215.817</v>
      </c>
      <c r="Y37" s="50">
        <v>13449.19</v>
      </c>
      <c r="Z37" s="50">
        <v>20536.207999999999</v>
      </c>
      <c r="AA37" s="50">
        <v>14238.146000000001</v>
      </c>
      <c r="AB37" s="50">
        <v>17662.842000000001</v>
      </c>
      <c r="AC37" s="50">
        <v>18423</v>
      </c>
      <c r="AD37" s="51">
        <v>20101.526999999998</v>
      </c>
      <c r="AE37" s="51">
        <v>28195.647000000001</v>
      </c>
      <c r="AF37" s="51">
        <v>28080.687999999998</v>
      </c>
      <c r="AG37" s="51">
        <v>39078.264000000003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209556.00399999996</v>
      </c>
      <c r="K38" s="104">
        <f t="shared" si="9"/>
        <v>0</v>
      </c>
      <c r="L38" s="104">
        <f t="shared" si="9"/>
        <v>0</v>
      </c>
      <c r="M38" s="104">
        <f t="shared" si="9"/>
        <v>273027.66600000003</v>
      </c>
      <c r="N38" s="104">
        <f t="shared" si="9"/>
        <v>0</v>
      </c>
      <c r="O38" s="104">
        <f t="shared" si="9"/>
        <v>443447.90270000004</v>
      </c>
      <c r="P38" s="104">
        <f t="shared" si="9"/>
        <v>0</v>
      </c>
      <c r="Q38" s="104">
        <f t="shared" si="9"/>
        <v>0</v>
      </c>
      <c r="R38" s="104">
        <f t="shared" si="9"/>
        <v>478905.39800000004</v>
      </c>
      <c r="S38" s="104">
        <f t="shared" si="9"/>
        <v>514262.83299999998</v>
      </c>
      <c r="T38" s="104">
        <f t="shared" si="9"/>
        <v>601356.93700000003</v>
      </c>
      <c r="U38" s="104">
        <f t="shared" si="9"/>
        <v>592196.46400000004</v>
      </c>
      <c r="V38" s="104">
        <f t="shared" si="9"/>
        <v>740533.35100000014</v>
      </c>
      <c r="W38" s="104">
        <f t="shared" si="9"/>
        <v>646794.72199999995</v>
      </c>
      <c r="X38" s="104">
        <f t="shared" si="9"/>
        <v>656170.62799999991</v>
      </c>
      <c r="Y38" s="104">
        <f t="shared" si="9"/>
        <v>648791.34499999997</v>
      </c>
      <c r="Z38" s="104">
        <f t="shared" si="9"/>
        <v>704946.9439999999</v>
      </c>
      <c r="AA38" s="104">
        <f t="shared" si="9"/>
        <v>786388.39600000007</v>
      </c>
      <c r="AB38" s="104">
        <f t="shared" si="9"/>
        <v>699053.00300000003</v>
      </c>
      <c r="AC38" s="104">
        <f t="shared" si="9"/>
        <v>761133</v>
      </c>
      <c r="AD38" s="104">
        <f t="shared" si="9"/>
        <v>810090.09900000016</v>
      </c>
      <c r="AE38" s="104">
        <f t="shared" si="9"/>
        <v>863959.19200000004</v>
      </c>
      <c r="AF38" s="104">
        <f t="shared" si="9"/>
        <v>600730.60699999996</v>
      </c>
      <c r="AG38" s="104">
        <f t="shared" si="9"/>
        <v>630445.14500000002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74626.426999999996</v>
      </c>
      <c r="K40" s="20"/>
      <c r="L40" s="20"/>
      <c r="M40" s="20">
        <v>90289.403999999995</v>
      </c>
      <c r="N40" s="20"/>
      <c r="O40" s="20">
        <v>192995.60434000002</v>
      </c>
      <c r="P40" s="20"/>
      <c r="Q40" s="20"/>
      <c r="R40" s="66">
        <v>199458.18600000002</v>
      </c>
      <c r="S40" s="20">
        <v>197560.84599999999</v>
      </c>
      <c r="T40" s="20">
        <v>260540.92199999999</v>
      </c>
      <c r="U40" s="20">
        <v>203701.43</v>
      </c>
      <c r="V40" s="20">
        <v>396319.72399999999</v>
      </c>
      <c r="W40" s="33">
        <v>265367.69699999999</v>
      </c>
      <c r="X40" s="33">
        <v>267790.48499999999</v>
      </c>
      <c r="Y40" s="33">
        <v>241575.266</v>
      </c>
      <c r="Z40" s="33">
        <v>266347.70699999999</v>
      </c>
      <c r="AA40" s="33">
        <v>268620.06599999999</v>
      </c>
      <c r="AB40" s="33">
        <v>307533.98599999998</v>
      </c>
      <c r="AC40" s="33">
        <v>343150</v>
      </c>
      <c r="AD40" s="20">
        <v>384309.36200000002</v>
      </c>
      <c r="AE40" s="20">
        <v>425286.93099999998</v>
      </c>
      <c r="AF40" s="20">
        <v>234203.64499999999</v>
      </c>
      <c r="AG40" s="20">
        <v>242282.91699999999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22199.527999999998</v>
      </c>
      <c r="K41" s="20"/>
      <c r="L41" s="20"/>
      <c r="M41" s="20">
        <v>24864.249</v>
      </c>
      <c r="N41" s="20"/>
      <c r="O41" s="20">
        <v>45467.952000000005</v>
      </c>
      <c r="P41" s="20"/>
      <c r="Q41" s="20"/>
      <c r="R41" s="66">
        <v>40637.999000000003</v>
      </c>
      <c r="S41" s="20">
        <v>40887.557000000001</v>
      </c>
      <c r="T41" s="20">
        <v>41544.805</v>
      </c>
      <c r="U41" s="20">
        <v>47669.84</v>
      </c>
      <c r="V41" s="20">
        <v>29943.322</v>
      </c>
      <c r="W41" s="33">
        <v>37714.468999999997</v>
      </c>
      <c r="X41" s="33">
        <v>37652.555</v>
      </c>
      <c r="Y41" s="33">
        <v>27403.518</v>
      </c>
      <c r="Z41" s="33">
        <v>30778.828000000001</v>
      </c>
      <c r="AA41" s="33">
        <v>39544.591999999997</v>
      </c>
      <c r="AB41" s="33">
        <v>52221.993000000002</v>
      </c>
      <c r="AC41" s="33">
        <v>65939</v>
      </c>
      <c r="AD41" s="20">
        <v>65987.769</v>
      </c>
      <c r="AE41" s="20">
        <v>70567.798999999999</v>
      </c>
      <c r="AF41" s="20">
        <v>74208.563999999998</v>
      </c>
      <c r="AG41" s="20">
        <v>71714.414999999994</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9259.3729999999996</v>
      </c>
      <c r="K42" s="20"/>
      <c r="L42" s="20"/>
      <c r="M42" s="20">
        <v>9809.610999999999</v>
      </c>
      <c r="N42" s="20"/>
      <c r="O42" s="20">
        <v>9283.9490000000005</v>
      </c>
      <c r="P42" s="20"/>
      <c r="Q42" s="20"/>
      <c r="R42" s="66">
        <v>16372.244999999999</v>
      </c>
      <c r="S42" s="20">
        <v>18493.987000000001</v>
      </c>
      <c r="T42" s="20">
        <v>22519.385999999999</v>
      </c>
      <c r="U42" s="20">
        <v>32851.978999999999</v>
      </c>
      <c r="V42" s="20">
        <v>39153.754999999997</v>
      </c>
      <c r="W42" s="33">
        <v>41200.117000000006</v>
      </c>
      <c r="X42" s="33">
        <v>48555.349000000002</v>
      </c>
      <c r="Y42" s="33">
        <v>48016.836000000003</v>
      </c>
      <c r="Z42" s="33">
        <v>60008.408000000003</v>
      </c>
      <c r="AA42" s="33">
        <v>71319.591</v>
      </c>
      <c r="AB42" s="33">
        <v>45269.593999999997</v>
      </c>
      <c r="AC42" s="33">
        <v>50757</v>
      </c>
      <c r="AD42" s="20">
        <v>52459.427000000003</v>
      </c>
      <c r="AE42" s="20">
        <v>60581.116999999998</v>
      </c>
      <c r="AF42" s="20">
        <v>44576.534</v>
      </c>
      <c r="AG42" s="20">
        <v>56729.163999999997</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11528.324999999999</v>
      </c>
      <c r="K43" s="20"/>
      <c r="L43" s="20"/>
      <c r="M43" s="20">
        <v>8299.4850000000006</v>
      </c>
      <c r="N43" s="20"/>
      <c r="O43" s="20">
        <v>12455.384</v>
      </c>
      <c r="P43" s="20"/>
      <c r="Q43" s="20"/>
      <c r="R43" s="66">
        <v>16927.240000000002</v>
      </c>
      <c r="S43" s="20">
        <v>12960.513000000001</v>
      </c>
      <c r="T43" s="20">
        <v>20446.915000000001</v>
      </c>
      <c r="U43" s="20">
        <v>22557.677</v>
      </c>
      <c r="V43" s="20">
        <v>13170.397000000001</v>
      </c>
      <c r="W43" s="33">
        <v>24563.913</v>
      </c>
      <c r="X43" s="33">
        <v>16017.813</v>
      </c>
      <c r="Y43" s="33">
        <v>16670.436000000002</v>
      </c>
      <c r="Z43" s="33">
        <v>17394.222000000002</v>
      </c>
      <c r="AA43" s="33">
        <v>56666.936999999998</v>
      </c>
      <c r="AB43" s="33">
        <v>19761.284</v>
      </c>
      <c r="AC43" s="33">
        <v>19426</v>
      </c>
      <c r="AD43" s="20">
        <v>18693.675999999999</v>
      </c>
      <c r="AE43" s="20">
        <v>24967.105</v>
      </c>
      <c r="AF43" s="20">
        <v>13336.161</v>
      </c>
      <c r="AG43" s="20">
        <v>12825.467000000001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28454.725000000002</v>
      </c>
      <c r="K44" s="20"/>
      <c r="L44" s="20"/>
      <c r="M44" s="20">
        <v>52992.383999999998</v>
      </c>
      <c r="N44" s="20"/>
      <c r="O44" s="20">
        <v>42874.014000000003</v>
      </c>
      <c r="P44" s="20"/>
      <c r="Q44" s="20"/>
      <c r="R44" s="66">
        <v>51550.662000000004</v>
      </c>
      <c r="S44" s="20">
        <v>63462.338000000003</v>
      </c>
      <c r="T44" s="20">
        <v>73318.847999999998</v>
      </c>
      <c r="U44" s="20">
        <v>79905.683000000005</v>
      </c>
      <c r="V44" s="20">
        <v>62050.826999999997</v>
      </c>
      <c r="W44" s="33">
        <v>63240.837</v>
      </c>
      <c r="X44" s="33">
        <v>67254.570999999996</v>
      </c>
      <c r="Y44" s="33">
        <v>69858.42</v>
      </c>
      <c r="Z44" s="33">
        <v>63008.455999999998</v>
      </c>
      <c r="AA44" s="33">
        <v>63072.879000000001</v>
      </c>
      <c r="AB44" s="33">
        <v>47465.712</v>
      </c>
      <c r="AC44" s="33">
        <v>48169</v>
      </c>
      <c r="AD44" s="20">
        <v>54352.436999999998</v>
      </c>
      <c r="AE44" s="20">
        <v>37395.000999999997</v>
      </c>
      <c r="AF44" s="20">
        <v>45346.48</v>
      </c>
      <c r="AG44" s="20">
        <v>54765.85</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16648.028999999999</v>
      </c>
      <c r="K45" s="20"/>
      <c r="L45" s="20"/>
      <c r="M45" s="20">
        <v>32191.817999999999</v>
      </c>
      <c r="N45" s="20"/>
      <c r="O45" s="20">
        <v>42967.273609999997</v>
      </c>
      <c r="P45" s="20"/>
      <c r="Q45" s="20"/>
      <c r="R45" s="66">
        <v>41541.069000000003</v>
      </c>
      <c r="S45" s="20">
        <v>44312.54</v>
      </c>
      <c r="T45" s="20">
        <v>49928.107000000004</v>
      </c>
      <c r="U45" s="20">
        <v>40677.417999999998</v>
      </c>
      <c r="V45" s="20">
        <v>37582.356</v>
      </c>
      <c r="W45" s="33">
        <v>45354.127</v>
      </c>
      <c r="X45" s="33">
        <v>47658.853000000003</v>
      </c>
      <c r="Y45" s="33">
        <v>57705.576999999997</v>
      </c>
      <c r="Z45" s="33">
        <v>56369.508000000002</v>
      </c>
      <c r="AA45" s="33">
        <v>57176.500999999997</v>
      </c>
      <c r="AB45" s="33">
        <v>57850.313000000002</v>
      </c>
      <c r="AC45" s="33">
        <v>44224</v>
      </c>
      <c r="AD45" s="20">
        <v>47873.658000000003</v>
      </c>
      <c r="AE45" s="20">
        <v>57721.781000000003</v>
      </c>
      <c r="AF45" s="20">
        <v>47645.542999999998</v>
      </c>
      <c r="AG45" s="20">
        <v>52965.788999999997</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14336.849</v>
      </c>
      <c r="K46" s="20"/>
      <c r="L46" s="20"/>
      <c r="M46" s="20">
        <v>9245.5079999999998</v>
      </c>
      <c r="N46" s="20"/>
      <c r="O46" s="20">
        <v>38370.078999999998</v>
      </c>
      <c r="P46" s="20"/>
      <c r="Q46" s="20"/>
      <c r="R46" s="66">
        <v>28598.16</v>
      </c>
      <c r="S46" s="20">
        <v>37012.542000000001</v>
      </c>
      <c r="T46" s="20">
        <v>20923.314999999999</v>
      </c>
      <c r="U46" s="20">
        <v>18542.218000000001</v>
      </c>
      <c r="V46" s="20">
        <v>20130.542000000001</v>
      </c>
      <c r="W46" s="33">
        <v>18285.224999999999</v>
      </c>
      <c r="X46" s="33">
        <v>19817.516</v>
      </c>
      <c r="Y46" s="33">
        <v>22542.624</v>
      </c>
      <c r="Z46" s="33">
        <v>42131.247000000003</v>
      </c>
      <c r="AA46" s="33">
        <v>28089.656999999999</v>
      </c>
      <c r="AB46" s="33">
        <v>30225.473000000002</v>
      </c>
      <c r="AC46" s="33">
        <v>30347</v>
      </c>
      <c r="AD46" s="20">
        <v>41774.334000000003</v>
      </c>
      <c r="AE46" s="20">
        <v>29349.359</v>
      </c>
      <c r="AF46" s="20">
        <v>36781.108</v>
      </c>
      <c r="AG46" s="20">
        <v>31404.532999999999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2871.1469999999999</v>
      </c>
      <c r="K47" s="20"/>
      <c r="L47" s="20"/>
      <c r="M47" s="20">
        <v>1919.835</v>
      </c>
      <c r="N47" s="20"/>
      <c r="O47" s="20">
        <v>3801.2550000000001</v>
      </c>
      <c r="P47" s="20"/>
      <c r="Q47" s="20"/>
      <c r="R47" s="92">
        <v>2991.683</v>
      </c>
      <c r="S47" s="20">
        <v>3117.6909999999998</v>
      </c>
      <c r="T47" s="20">
        <v>4720.7870000000003</v>
      </c>
      <c r="U47" s="20">
        <v>6335.9170000000004</v>
      </c>
      <c r="V47" s="20">
        <v>6364.1750000000002</v>
      </c>
      <c r="W47" s="33">
        <v>6481.0380000000005</v>
      </c>
      <c r="X47" s="33">
        <v>6084.915</v>
      </c>
      <c r="Y47" s="33">
        <v>4639.83</v>
      </c>
      <c r="Z47" s="33">
        <v>4580.4679999999998</v>
      </c>
      <c r="AA47" s="33">
        <v>5256.3549999999996</v>
      </c>
      <c r="AB47" s="33">
        <v>3950.5770000000002</v>
      </c>
      <c r="AC47" s="33">
        <v>5969</v>
      </c>
      <c r="AD47" s="20">
        <v>7003.0349999999999</v>
      </c>
      <c r="AE47" s="20">
        <v>5938.8389999999999</v>
      </c>
      <c r="AF47" s="20">
        <v>7439.5240000000003</v>
      </c>
      <c r="AG47" s="20">
        <v>9162.0239999999994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3341.2969999999996</v>
      </c>
      <c r="K48" s="20"/>
      <c r="L48" s="20"/>
      <c r="M48" s="20">
        <v>4106.5839999999998</v>
      </c>
      <c r="N48" s="20"/>
      <c r="O48" s="20">
        <v>2268.18262</v>
      </c>
      <c r="P48" s="20"/>
      <c r="Q48" s="20"/>
      <c r="R48" s="66">
        <v>5170.0779999999995</v>
      </c>
      <c r="S48" s="20">
        <v>4948.7209999999995</v>
      </c>
      <c r="T48" s="20">
        <v>4152.6180000000004</v>
      </c>
      <c r="U48" s="20">
        <v>3530.239</v>
      </c>
      <c r="V48" s="20">
        <v>3668.87</v>
      </c>
      <c r="W48" s="33">
        <v>4512.1559999999999</v>
      </c>
      <c r="X48" s="33">
        <v>5637.7719999999999</v>
      </c>
      <c r="Y48" s="33">
        <v>6050.9170000000004</v>
      </c>
      <c r="Z48" s="33">
        <v>5357.6440000000002</v>
      </c>
      <c r="AA48" s="33">
        <v>9032.1090000000004</v>
      </c>
      <c r="AB48" s="33">
        <v>8875.5110000000004</v>
      </c>
      <c r="AC48" s="33">
        <v>10141</v>
      </c>
      <c r="AD48" s="20">
        <v>11532.513999999999</v>
      </c>
      <c r="AE48" s="20">
        <v>11110.82</v>
      </c>
      <c r="AF48" s="20">
        <v>18538.57</v>
      </c>
      <c r="AG48" s="20">
        <v>19168.856</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24486.482</v>
      </c>
      <c r="K49" s="20"/>
      <c r="L49" s="20"/>
      <c r="M49" s="20">
        <v>35340.245999999999</v>
      </c>
      <c r="N49" s="20"/>
      <c r="O49" s="20">
        <v>39123.569000000003</v>
      </c>
      <c r="P49" s="20"/>
      <c r="Q49" s="20"/>
      <c r="R49" s="66">
        <v>52672.271999999997</v>
      </c>
      <c r="S49" s="20">
        <v>62040.481</v>
      </c>
      <c r="T49" s="20">
        <v>53669.716999999997</v>
      </c>
      <c r="U49" s="20">
        <v>63477.184999999998</v>
      </c>
      <c r="V49" s="20">
        <v>63051.788999999997</v>
      </c>
      <c r="W49" s="33">
        <v>68814.05</v>
      </c>
      <c r="X49" s="33">
        <v>67923.116999999998</v>
      </c>
      <c r="Y49" s="33">
        <v>79533.84</v>
      </c>
      <c r="Z49" s="33">
        <v>83823.255999999994</v>
      </c>
      <c r="AA49" s="33">
        <v>104930.274</v>
      </c>
      <c r="AB49" s="33">
        <v>37243.048000000003</v>
      </c>
      <c r="AC49" s="33">
        <v>49053</v>
      </c>
      <c r="AD49" s="20">
        <v>41403.900999999998</v>
      </c>
      <c r="AE49" s="20">
        <v>43537.387000000002</v>
      </c>
      <c r="AF49" s="20">
        <v>44522.05</v>
      </c>
      <c r="AG49" s="20">
        <v>46835.08</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151.07499999999999</v>
      </c>
      <c r="N50" s="20"/>
      <c r="O50" s="20">
        <v>7592.74413</v>
      </c>
      <c r="P50" s="20"/>
      <c r="Q50" s="20"/>
      <c r="R50" s="66">
        <v>5440.9639999999999</v>
      </c>
      <c r="S50" s="20">
        <v>5896.6869999999999</v>
      </c>
      <c r="T50" s="20">
        <v>7914.7619999999997</v>
      </c>
      <c r="U50" s="20">
        <v>7922.3760000000002</v>
      </c>
      <c r="V50" s="20">
        <v>8009.3</v>
      </c>
      <c r="W50" s="33">
        <v>8481.9629999999997</v>
      </c>
      <c r="X50" s="33">
        <v>8446.09</v>
      </c>
      <c r="Y50" s="33">
        <v>11077.92</v>
      </c>
      <c r="Z50" s="33">
        <v>9820.2540000000008</v>
      </c>
      <c r="AA50" s="33">
        <v>16785.525000000001</v>
      </c>
      <c r="AB50" s="33">
        <v>16441.839</v>
      </c>
      <c r="AC50" s="33">
        <v>16091</v>
      </c>
      <c r="AD50" s="20">
        <v>11998.707</v>
      </c>
      <c r="AE50" s="20">
        <v>19298.600999999999</v>
      </c>
      <c r="AF50" s="20">
        <v>19851.738000000001</v>
      </c>
      <c r="AG50" s="20">
        <v>14891.591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1803.8220000000001</v>
      </c>
      <c r="K51" s="51"/>
      <c r="L51" s="51"/>
      <c r="M51" s="51">
        <v>3817.4670000000001</v>
      </c>
      <c r="N51" s="51"/>
      <c r="O51" s="51">
        <v>6247.8959999999997</v>
      </c>
      <c r="P51" s="51"/>
      <c r="Q51" s="51"/>
      <c r="R51" s="67">
        <v>17544.84</v>
      </c>
      <c r="S51" s="51">
        <v>23568.93</v>
      </c>
      <c r="T51" s="51">
        <v>41676.754999999997</v>
      </c>
      <c r="U51" s="51">
        <v>65024.502</v>
      </c>
      <c r="V51" s="51">
        <v>61088.294000000002</v>
      </c>
      <c r="W51" s="50">
        <v>62779.13</v>
      </c>
      <c r="X51" s="50">
        <v>63331.591999999997</v>
      </c>
      <c r="Y51" s="50">
        <v>63716.161</v>
      </c>
      <c r="Z51" s="50">
        <v>65326.946000000004</v>
      </c>
      <c r="AA51" s="50">
        <v>65893.91</v>
      </c>
      <c r="AB51" s="50">
        <v>72213.672999999995</v>
      </c>
      <c r="AC51" s="50">
        <v>77867</v>
      </c>
      <c r="AD51" s="51">
        <v>72701.278999999995</v>
      </c>
      <c r="AE51" s="51">
        <v>78204.452000000005</v>
      </c>
      <c r="AF51" s="51">
        <v>14280.69</v>
      </c>
      <c r="AG51" s="51">
        <v>17699.458999999999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171995.81400000001</v>
      </c>
      <c r="K52" s="104">
        <f t="shared" si="10"/>
        <v>0</v>
      </c>
      <c r="L52" s="104">
        <f t="shared" si="10"/>
        <v>0</v>
      </c>
      <c r="M52" s="104">
        <f t="shared" si="10"/>
        <v>236731.54800000001</v>
      </c>
      <c r="N52" s="104">
        <f t="shared" si="10"/>
        <v>0</v>
      </c>
      <c r="O52" s="104">
        <f t="shared" si="10"/>
        <v>259046.97106999994</v>
      </c>
      <c r="P52" s="104">
        <f t="shared" si="10"/>
        <v>0</v>
      </c>
      <c r="Q52" s="104">
        <f t="shared" si="10"/>
        <v>0</v>
      </c>
      <c r="R52" s="104">
        <f t="shared" si="10"/>
        <v>266858.12299999996</v>
      </c>
      <c r="S52" s="104">
        <f t="shared" si="10"/>
        <v>330505.09000000003</v>
      </c>
      <c r="T52" s="104">
        <f t="shared" si="10"/>
        <v>432742.55499999999</v>
      </c>
      <c r="U52" s="104">
        <f t="shared" si="10"/>
        <v>410107.54999999993</v>
      </c>
      <c r="V52" s="104">
        <f t="shared" si="10"/>
        <v>392195.56999999995</v>
      </c>
      <c r="W52" s="104">
        <f t="shared" si="10"/>
        <v>407443.54</v>
      </c>
      <c r="X52" s="104">
        <f t="shared" si="10"/>
        <v>419684.522</v>
      </c>
      <c r="Y52" s="104">
        <f t="shared" si="10"/>
        <v>434639.299</v>
      </c>
      <c r="Z52" s="104">
        <f t="shared" si="10"/>
        <v>461070.09500000003</v>
      </c>
      <c r="AA52" s="104">
        <f t="shared" si="10"/>
        <v>505509.75799999997</v>
      </c>
      <c r="AB52" s="104">
        <f t="shared" si="10"/>
        <v>506218.23599999998</v>
      </c>
      <c r="AC52" s="104">
        <f t="shared" si="10"/>
        <v>524736</v>
      </c>
      <c r="AD52" s="104">
        <f t="shared" si="10"/>
        <v>551015.62699999998</v>
      </c>
      <c r="AE52" s="104">
        <f t="shared" si="10"/>
        <v>559295.23599999992</v>
      </c>
      <c r="AF52" s="104">
        <f t="shared" si="10"/>
        <v>586638.12699999998</v>
      </c>
      <c r="AG52" s="104">
        <f t="shared" si="10"/>
        <v>621838.1</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3953.44</v>
      </c>
      <c r="K54" s="20"/>
      <c r="L54" s="20"/>
      <c r="M54" s="65">
        <v>4280.585</v>
      </c>
      <c r="N54" s="20"/>
      <c r="O54" s="20">
        <v>4356.9875000000002</v>
      </c>
      <c r="P54" s="20"/>
      <c r="Q54" s="20"/>
      <c r="R54" s="66">
        <v>8956.66</v>
      </c>
      <c r="S54" s="20">
        <v>11286.565000000001</v>
      </c>
      <c r="T54" s="20">
        <v>10854.808000000001</v>
      </c>
      <c r="U54" s="20">
        <v>9420.5820000000003</v>
      </c>
      <c r="V54" s="20">
        <v>8870.9290000000001</v>
      </c>
      <c r="W54" s="33">
        <v>9700.56</v>
      </c>
      <c r="X54" s="33">
        <v>10463.397999999999</v>
      </c>
      <c r="Y54" s="33">
        <v>12410.865</v>
      </c>
      <c r="Z54" s="33">
        <v>17930.524000000001</v>
      </c>
      <c r="AA54" s="33">
        <v>18826.455999999998</v>
      </c>
      <c r="AB54" s="33">
        <v>21009.035</v>
      </c>
      <c r="AC54" s="33">
        <v>20278</v>
      </c>
      <c r="AD54" s="20">
        <v>22749.627</v>
      </c>
      <c r="AE54" s="20">
        <v>18658.399000000001</v>
      </c>
      <c r="AF54" s="20">
        <v>13013.083000000001</v>
      </c>
      <c r="AG54" s="20">
        <v>13482.075999999999</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3077.6610000000001</v>
      </c>
      <c r="K55" s="20"/>
      <c r="L55" s="20"/>
      <c r="M55" s="20">
        <v>2991.6440000000002</v>
      </c>
      <c r="N55" s="20"/>
      <c r="O55" s="20">
        <v>3031.4470000000001</v>
      </c>
      <c r="P55" s="20"/>
      <c r="Q55" s="20"/>
      <c r="R55" s="66">
        <v>4372.0290000000005</v>
      </c>
      <c r="S55" s="20">
        <v>4767.3680000000004</v>
      </c>
      <c r="T55" s="20">
        <v>7874.13</v>
      </c>
      <c r="U55" s="20">
        <v>6046.2060000000001</v>
      </c>
      <c r="V55" s="20">
        <v>7478.223</v>
      </c>
      <c r="W55" s="33">
        <v>8540.1869999999999</v>
      </c>
      <c r="X55" s="33">
        <v>6713.3119999999999</v>
      </c>
      <c r="Y55" s="33">
        <v>8394.7240000000002</v>
      </c>
      <c r="Z55" s="33">
        <v>8122.7020000000002</v>
      </c>
      <c r="AA55" s="33">
        <v>8337.1650000000009</v>
      </c>
      <c r="AB55" s="33">
        <v>7856.5879999999997</v>
      </c>
      <c r="AC55" s="33">
        <v>9458</v>
      </c>
      <c r="AD55" s="20">
        <v>20350.481</v>
      </c>
      <c r="AE55" s="20">
        <v>11051.648999999999</v>
      </c>
      <c r="AF55" s="20">
        <v>8170.1790000000001</v>
      </c>
      <c r="AG55" s="20">
        <v>11054.028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13994.897999999999</v>
      </c>
      <c r="K56" s="20"/>
      <c r="L56" s="20"/>
      <c r="M56" s="20">
        <v>17487.345999999998</v>
      </c>
      <c r="N56" s="20"/>
      <c r="O56" s="20">
        <v>21316.377</v>
      </c>
      <c r="P56" s="20"/>
      <c r="Q56" s="20"/>
      <c r="R56" s="66">
        <v>41379.923999999999</v>
      </c>
      <c r="S56" s="20">
        <v>45969.967999999993</v>
      </c>
      <c r="T56" s="20">
        <v>42593.042999999998</v>
      </c>
      <c r="U56" s="20">
        <v>41163.230000000003</v>
      </c>
      <c r="V56" s="20">
        <v>39453.896999999997</v>
      </c>
      <c r="W56" s="33">
        <v>38265.790999999997</v>
      </c>
      <c r="X56" s="33">
        <v>48838.936999999998</v>
      </c>
      <c r="Y56" s="33">
        <v>51182.142999999996</v>
      </c>
      <c r="Z56" s="33">
        <v>57492.951999999997</v>
      </c>
      <c r="AA56" s="33">
        <v>65121.614000000001</v>
      </c>
      <c r="AB56" s="33">
        <v>52590.860999999997</v>
      </c>
      <c r="AC56" s="33">
        <v>61412</v>
      </c>
      <c r="AD56" s="20">
        <v>55296.247000000003</v>
      </c>
      <c r="AE56" s="20">
        <v>60259.875999999997</v>
      </c>
      <c r="AF56" s="20">
        <v>69772.258000000002</v>
      </c>
      <c r="AG56" s="20">
        <v>68946.392999999996</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296.12</v>
      </c>
      <c r="K57" s="20"/>
      <c r="L57" s="20"/>
      <c r="M57" s="20">
        <v>177.93299999999999</v>
      </c>
      <c r="N57" s="20"/>
      <c r="O57" s="20">
        <v>1158.72</v>
      </c>
      <c r="P57" s="20"/>
      <c r="Q57" s="20"/>
      <c r="R57" s="92">
        <v>658.65699999999993</v>
      </c>
      <c r="S57" s="20">
        <v>623.63200000000006</v>
      </c>
      <c r="T57" s="20">
        <v>680.51900000000001</v>
      </c>
      <c r="U57" s="20">
        <v>788.04700000000003</v>
      </c>
      <c r="V57" s="20">
        <v>271.27800000000002</v>
      </c>
      <c r="W57" s="33">
        <v>822.90899999999999</v>
      </c>
      <c r="X57" s="33">
        <v>898.58900000000006</v>
      </c>
      <c r="Y57" s="33">
        <v>7991.8869999999997</v>
      </c>
      <c r="Z57" s="33">
        <v>1463.596</v>
      </c>
      <c r="AA57" s="33">
        <v>3049.5709999999999</v>
      </c>
      <c r="AB57" s="33">
        <v>1441.2239999999999</v>
      </c>
      <c r="AC57" s="33">
        <v>4936</v>
      </c>
      <c r="AD57" s="20">
        <v>2969.1089999999999</v>
      </c>
      <c r="AE57" s="20">
        <v>3528.6489999999999</v>
      </c>
      <c r="AF57" s="20">
        <v>2921.3719999999998</v>
      </c>
      <c r="AG57" s="20">
        <v>3705.136</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40291.692999999999</v>
      </c>
      <c r="K58" s="20"/>
      <c r="L58" s="20"/>
      <c r="M58" s="20">
        <v>38098.889000000003</v>
      </c>
      <c r="N58" s="20"/>
      <c r="O58" s="20">
        <v>44859.597999999998</v>
      </c>
      <c r="P58" s="20"/>
      <c r="Q58" s="20"/>
      <c r="R58" s="92">
        <v>46707.212</v>
      </c>
      <c r="S58" s="20">
        <v>55765.611000000004</v>
      </c>
      <c r="T58" s="20">
        <v>73192.493000000002</v>
      </c>
      <c r="U58" s="20">
        <v>65227.889000000003</v>
      </c>
      <c r="V58" s="20">
        <v>77290.315000000002</v>
      </c>
      <c r="W58" s="33">
        <v>80297.47099999999</v>
      </c>
      <c r="X58" s="33">
        <v>77560.612999999998</v>
      </c>
      <c r="Y58" s="33">
        <v>82071.676000000007</v>
      </c>
      <c r="Z58" s="33">
        <v>87002.989000000001</v>
      </c>
      <c r="AA58" s="33">
        <v>102684.803</v>
      </c>
      <c r="AB58" s="33">
        <v>115434.981</v>
      </c>
      <c r="AC58" s="33">
        <v>99357</v>
      </c>
      <c r="AD58" s="20">
        <v>89564.198999999993</v>
      </c>
      <c r="AE58" s="20">
        <v>95477.606</v>
      </c>
      <c r="AF58" s="20">
        <v>96136.588000000003</v>
      </c>
      <c r="AG58" s="20">
        <v>87928.145999999993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90631.627000000008</v>
      </c>
      <c r="K59" s="20"/>
      <c r="L59" s="20"/>
      <c r="M59" s="20">
        <v>145409.071</v>
      </c>
      <c r="N59" s="20"/>
      <c r="O59" s="20">
        <v>156917.95699999999</v>
      </c>
      <c r="P59" s="20"/>
      <c r="Q59" s="20"/>
      <c r="R59" s="92">
        <v>132590.94</v>
      </c>
      <c r="S59" s="20">
        <v>175695.283</v>
      </c>
      <c r="T59" s="20">
        <v>257893.516</v>
      </c>
      <c r="U59" s="20">
        <v>246216.851</v>
      </c>
      <c r="V59" s="20">
        <v>214730.70499999999</v>
      </c>
      <c r="W59" s="33">
        <v>224489.53899999999</v>
      </c>
      <c r="X59" s="33">
        <v>230340.014</v>
      </c>
      <c r="Y59" s="33">
        <v>228667.54500000001</v>
      </c>
      <c r="Z59" s="33">
        <v>238213.49900000001</v>
      </c>
      <c r="AA59" s="33">
        <v>260609.951</v>
      </c>
      <c r="AB59" s="33">
        <v>265497.57199999999</v>
      </c>
      <c r="AC59" s="33">
        <v>283785</v>
      </c>
      <c r="AD59" s="20">
        <v>307324.51400000002</v>
      </c>
      <c r="AE59" s="20">
        <v>313023.429</v>
      </c>
      <c r="AF59" s="20">
        <v>340666.80499999999</v>
      </c>
      <c r="AG59" s="20">
        <v>375496.152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13709.864</v>
      </c>
      <c r="K60" s="20"/>
      <c r="L60" s="20"/>
      <c r="M60" s="20">
        <v>24005.351999999999</v>
      </c>
      <c r="N60" s="20"/>
      <c r="O60" s="20">
        <v>23211.295569999998</v>
      </c>
      <c r="P60" s="20"/>
      <c r="Q60" s="20"/>
      <c r="R60" s="66">
        <v>26920.093000000001</v>
      </c>
      <c r="S60" s="20">
        <v>32403.476999999999</v>
      </c>
      <c r="T60" s="20">
        <v>36521.044000000002</v>
      </c>
      <c r="U60" s="20">
        <v>38410.182000000001</v>
      </c>
      <c r="V60" s="20">
        <v>40765.330999999998</v>
      </c>
      <c r="W60" s="33">
        <v>42090.668999999994</v>
      </c>
      <c r="X60" s="33">
        <v>41584.480000000003</v>
      </c>
      <c r="Y60" s="33">
        <v>40917.269999999997</v>
      </c>
      <c r="Z60" s="33">
        <v>47128.271000000001</v>
      </c>
      <c r="AA60" s="33">
        <v>40710.974999999999</v>
      </c>
      <c r="AB60" s="33">
        <v>38533.830999999998</v>
      </c>
      <c r="AC60" s="33">
        <v>42412</v>
      </c>
      <c r="AD60" s="20">
        <v>49666.203000000001</v>
      </c>
      <c r="AE60" s="20">
        <v>52214.624000000003</v>
      </c>
      <c r="AF60" s="20">
        <v>50878.097999999998</v>
      </c>
      <c r="AG60" s="20">
        <v>54600.252999999997</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4136.7449999999999</v>
      </c>
      <c r="K61" s="20"/>
      <c r="L61" s="20"/>
      <c r="M61" s="20">
        <v>3572.6529999999998</v>
      </c>
      <c r="N61" s="20"/>
      <c r="O61" s="20">
        <v>3423.0169999999998</v>
      </c>
      <c r="P61" s="20"/>
      <c r="Q61" s="20"/>
      <c r="R61" s="66">
        <v>4478.7440000000006</v>
      </c>
      <c r="S61" s="20">
        <v>3194.95</v>
      </c>
      <c r="T61" s="20">
        <v>2032.942</v>
      </c>
      <c r="U61" s="20">
        <v>2232.0929999999998</v>
      </c>
      <c r="V61" s="20">
        <v>2820.1439999999998</v>
      </c>
      <c r="W61" s="33">
        <v>2841.3049999999998</v>
      </c>
      <c r="X61" s="33">
        <v>2885.116</v>
      </c>
      <c r="Y61" s="33">
        <v>2887.3409999999999</v>
      </c>
      <c r="Z61" s="33">
        <v>3497.5259999999998</v>
      </c>
      <c r="AA61" s="33">
        <v>4156.8559999999998</v>
      </c>
      <c r="AB61" s="33">
        <v>3052.7559999999999</v>
      </c>
      <c r="AC61" s="33">
        <v>2615</v>
      </c>
      <c r="AD61" s="20">
        <v>2696.9650000000001</v>
      </c>
      <c r="AE61" s="20">
        <v>2794.0390000000002</v>
      </c>
      <c r="AF61" s="20">
        <v>2902.328</v>
      </c>
      <c r="AG61" s="20">
        <v>2637.0909999999999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1903.7660000000001</v>
      </c>
      <c r="K62" s="51"/>
      <c r="L62" s="51"/>
      <c r="M62" s="51">
        <v>708.07500000000005</v>
      </c>
      <c r="N62" s="51"/>
      <c r="O62" s="51">
        <v>771.572</v>
      </c>
      <c r="P62" s="51"/>
      <c r="Q62" s="51"/>
      <c r="R62" s="67">
        <v>793.86399999999992</v>
      </c>
      <c r="S62" s="51">
        <v>798.2360000000001</v>
      </c>
      <c r="T62" s="51">
        <v>1100.06</v>
      </c>
      <c r="U62" s="51">
        <v>602.47</v>
      </c>
      <c r="V62" s="51">
        <v>514.74800000000005</v>
      </c>
      <c r="W62" s="50">
        <v>395.10899999999998</v>
      </c>
      <c r="X62" s="50">
        <v>400.06299999999999</v>
      </c>
      <c r="Y62" s="50">
        <v>115.848</v>
      </c>
      <c r="Z62" s="50">
        <v>218.036</v>
      </c>
      <c r="AA62" s="50">
        <v>2012.367</v>
      </c>
      <c r="AB62" s="50">
        <v>801.38800000000003</v>
      </c>
      <c r="AC62" s="50">
        <v>483</v>
      </c>
      <c r="AD62" s="20">
        <v>398.28199999999998</v>
      </c>
      <c r="AE62" s="20">
        <v>2286.9650000000001</v>
      </c>
      <c r="AF62" s="20">
        <v>2177.4160000000002</v>
      </c>
      <c r="AG62" s="20">
        <v>3988.8249999999998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87">
        <v>0</v>
      </c>
      <c r="AG63" s="87">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Z4" activePane="bottomRight" state="frozen"/>
      <selection activeCell="O44" sqref="O44"/>
      <selection pane="topRight" activeCell="O44" sqref="O44"/>
      <selection pane="bottomLeft" activeCell="O44" sqref="O44"/>
      <selection pane="bottomRight" activeCell="A2" sqref="A2"/>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0.7109375" style="13" bestFit="1" customWidth="1"/>
    <col min="33"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102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v>12650</v>
      </c>
      <c r="C4" s="12">
        <v>12844</v>
      </c>
      <c r="D4" s="12">
        <v>13738</v>
      </c>
      <c r="E4" s="12"/>
      <c r="F4" s="12"/>
      <c r="G4" s="12"/>
      <c r="H4" s="12"/>
      <c r="I4" s="12">
        <v>15350.384</v>
      </c>
      <c r="J4" s="98">
        <f>+J5+J23+J38+J52+J63</f>
        <v>15145.375000000002</v>
      </c>
      <c r="K4" s="69">
        <v>15656.78</v>
      </c>
      <c r="L4" s="69">
        <v>17605.739000000001</v>
      </c>
      <c r="M4" s="98">
        <f>+M5+M23+M38+M52+M63</f>
        <v>24178.597000000002</v>
      </c>
      <c r="N4" s="69">
        <v>23588.491000000002</v>
      </c>
      <c r="O4" s="98">
        <f>+O5+O23+O38+O52+O63</f>
        <v>19300.043300000001</v>
      </c>
      <c r="P4" s="12"/>
      <c r="Q4" s="12"/>
      <c r="R4" s="98">
        <f t="shared" ref="R4:AA4" si="0">+R5+R23+R38+R52+R63</f>
        <v>22651.368999999999</v>
      </c>
      <c r="S4" s="98">
        <f t="shared" si="0"/>
        <v>27170.374</v>
      </c>
      <c r="T4" s="98">
        <f t="shared" si="0"/>
        <v>202883.76699999996</v>
      </c>
      <c r="U4" s="98">
        <f t="shared" si="0"/>
        <v>221126.92800000004</v>
      </c>
      <c r="V4" s="98">
        <f t="shared" si="0"/>
        <v>191113.65400000001</v>
      </c>
      <c r="W4" s="98">
        <f t="shared" si="0"/>
        <v>377091.402</v>
      </c>
      <c r="X4" s="98">
        <f t="shared" si="0"/>
        <v>600373.78399999999</v>
      </c>
      <c r="Y4" s="98">
        <f t="shared" si="0"/>
        <v>891025.505</v>
      </c>
      <c r="Z4" s="98">
        <f t="shared" si="0"/>
        <v>741866.08400000015</v>
      </c>
      <c r="AA4" s="98">
        <f t="shared" si="0"/>
        <v>412002.29600000003</v>
      </c>
      <c r="AB4" s="98">
        <f t="shared" ref="AB4:AC4" si="1">+AB5+AB23+AB38+AB52+AB63</f>
        <v>411167.82000000007</v>
      </c>
      <c r="AC4" s="98">
        <f t="shared" si="1"/>
        <v>460299</v>
      </c>
      <c r="AD4" s="98">
        <f t="shared" ref="AD4:AE4" si="2">+AD5+AD23+AD38+AD52+AD63</f>
        <v>193005.45199999999</v>
      </c>
      <c r="AE4" s="98">
        <f t="shared" si="2"/>
        <v>194445.00599999999</v>
      </c>
      <c r="AF4" s="98">
        <f t="shared" ref="AF4:AG4" si="3">+AF5+AF23+AF38+AF52+AF63</f>
        <v>339321.989</v>
      </c>
      <c r="AG4" s="98">
        <f t="shared" si="3"/>
        <v>126635.06800000001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1070</v>
      </c>
      <c r="C5" s="101">
        <f t="shared" ref="C5:AA5" si="4">SUM(C7:C22)</f>
        <v>1590</v>
      </c>
      <c r="D5" s="101">
        <f t="shared" si="4"/>
        <v>1506</v>
      </c>
      <c r="E5" s="101">
        <f t="shared" si="4"/>
        <v>0</v>
      </c>
      <c r="F5" s="101">
        <f t="shared" si="4"/>
        <v>0</v>
      </c>
      <c r="G5" s="101">
        <f t="shared" si="4"/>
        <v>0</v>
      </c>
      <c r="H5" s="101">
        <f t="shared" si="4"/>
        <v>0</v>
      </c>
      <c r="I5" s="101">
        <f t="shared" si="4"/>
        <v>2785.3649999999998</v>
      </c>
      <c r="J5" s="101">
        <f t="shared" si="4"/>
        <v>3131.5579999999995</v>
      </c>
      <c r="K5" s="101">
        <f t="shared" si="4"/>
        <v>3501.4280000000003</v>
      </c>
      <c r="L5" s="101">
        <f t="shared" si="4"/>
        <v>3172.8630000000003</v>
      </c>
      <c r="M5" s="101">
        <f t="shared" si="4"/>
        <v>8702.0370000000003</v>
      </c>
      <c r="N5" s="101">
        <f t="shared" si="4"/>
        <v>9593.1370000000006</v>
      </c>
      <c r="O5" s="101">
        <f t="shared" si="4"/>
        <v>4056.6189999999997</v>
      </c>
      <c r="P5" s="101">
        <f t="shared" si="4"/>
        <v>0</v>
      </c>
      <c r="Q5" s="101">
        <f t="shared" si="4"/>
        <v>0</v>
      </c>
      <c r="R5" s="101">
        <f t="shared" si="4"/>
        <v>5067.4139999999989</v>
      </c>
      <c r="S5" s="101">
        <f t="shared" si="4"/>
        <v>5895.3780000000015</v>
      </c>
      <c r="T5" s="101">
        <f t="shared" si="4"/>
        <v>62830.86099999999</v>
      </c>
      <c r="U5" s="101">
        <f t="shared" si="4"/>
        <v>58767.548000000003</v>
      </c>
      <c r="V5" s="101">
        <f t="shared" si="4"/>
        <v>52123.091</v>
      </c>
      <c r="W5" s="101">
        <f t="shared" si="4"/>
        <v>80870.803999999989</v>
      </c>
      <c r="X5" s="101">
        <f t="shared" si="4"/>
        <v>154161.77300000002</v>
      </c>
      <c r="Y5" s="101">
        <f t="shared" si="4"/>
        <v>258509.40400000001</v>
      </c>
      <c r="Z5" s="101">
        <f t="shared" si="4"/>
        <v>174868.86400000003</v>
      </c>
      <c r="AA5" s="101">
        <f t="shared" si="4"/>
        <v>54793.446000000011</v>
      </c>
      <c r="AB5" s="101">
        <f t="shared" ref="AB5:AC5" si="5">SUM(AB7:AB22)</f>
        <v>101592.67600000001</v>
      </c>
      <c r="AC5" s="101">
        <f t="shared" si="5"/>
        <v>86427</v>
      </c>
      <c r="AD5" s="101">
        <f t="shared" ref="AD5:AE5" si="6">SUM(AD7:AD22)</f>
        <v>46485.152999999998</v>
      </c>
      <c r="AE5" s="101">
        <f t="shared" si="6"/>
        <v>44490.125999999997</v>
      </c>
      <c r="AF5" s="101">
        <f t="shared" ref="AF5:AG5" si="7">SUM(AF7:AF22)</f>
        <v>88459.109000000011</v>
      </c>
      <c r="AG5" s="101">
        <f t="shared" si="7"/>
        <v>29957.196</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v>12</v>
      </c>
      <c r="C7" s="12">
        <v>253</v>
      </c>
      <c r="D7" s="12">
        <v>50</v>
      </c>
      <c r="E7" s="12"/>
      <c r="F7" s="12"/>
      <c r="G7" s="12"/>
      <c r="H7" s="12"/>
      <c r="I7" s="12">
        <v>185.39599999999999</v>
      </c>
      <c r="J7" s="32">
        <v>155.57300000000001</v>
      </c>
      <c r="K7" s="12">
        <v>103.79600000000001</v>
      </c>
      <c r="L7" s="12">
        <v>70.313999999999993</v>
      </c>
      <c r="M7" s="12">
        <v>107.04</v>
      </c>
      <c r="N7" s="12">
        <v>142.011</v>
      </c>
      <c r="O7" s="12">
        <v>134.309</v>
      </c>
      <c r="P7" s="12"/>
      <c r="Q7" s="12"/>
      <c r="R7" s="44">
        <v>142.80500000000001</v>
      </c>
      <c r="S7" s="12">
        <v>154.387</v>
      </c>
      <c r="T7" s="82">
        <v>3146.1990000000001</v>
      </c>
      <c r="U7" s="12">
        <v>3192.6179999999999</v>
      </c>
      <c r="V7" s="12">
        <v>3843.9960000000001</v>
      </c>
      <c r="W7" s="32">
        <v>6501.0469999999996</v>
      </c>
      <c r="X7" s="32">
        <v>11690.317999999999</v>
      </c>
      <c r="Y7" s="32">
        <v>12726.099</v>
      </c>
      <c r="Z7" s="32">
        <v>9018.1470000000008</v>
      </c>
      <c r="AA7" s="32">
        <v>4080.6770000000001</v>
      </c>
      <c r="AB7" s="32">
        <v>3093.5729999999999</v>
      </c>
      <c r="AC7" s="32">
        <v>2977</v>
      </c>
      <c r="AD7" s="12">
        <v>25348.763999999999</v>
      </c>
      <c r="AE7" s="12">
        <v>24438.946</v>
      </c>
      <c r="AF7" s="12">
        <v>865.65899999999999</v>
      </c>
      <c r="AG7" s="12">
        <v>909.97900000000004</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32</v>
      </c>
      <c r="C8" s="12">
        <v>4</v>
      </c>
      <c r="D8" s="12">
        <v>1</v>
      </c>
      <c r="E8" s="12"/>
      <c r="F8" s="12"/>
      <c r="G8" s="12"/>
      <c r="H8" s="12"/>
      <c r="I8" s="12">
        <v>0</v>
      </c>
      <c r="J8" s="32">
        <v>0.878</v>
      </c>
      <c r="K8" s="12">
        <v>0.82100000000000006</v>
      </c>
      <c r="L8" s="12">
        <v>3.2229999999999999</v>
      </c>
      <c r="M8" s="12">
        <v>65.376999999999995</v>
      </c>
      <c r="N8" s="12">
        <v>102.592</v>
      </c>
      <c r="O8" s="12">
        <v>0</v>
      </c>
      <c r="P8" s="12"/>
      <c r="Q8" s="12"/>
      <c r="R8" s="63">
        <v>0</v>
      </c>
      <c r="S8" s="12">
        <v>0</v>
      </c>
      <c r="T8" s="82">
        <v>1648.1389999999999</v>
      </c>
      <c r="U8" s="12">
        <v>1704.15</v>
      </c>
      <c r="V8" s="12">
        <v>1589.1849999999999</v>
      </c>
      <c r="W8" s="32">
        <v>2416.1489999999999</v>
      </c>
      <c r="X8" s="32">
        <v>4136.7290000000003</v>
      </c>
      <c r="Y8" s="32">
        <v>6538.9870000000001</v>
      </c>
      <c r="Z8" s="32">
        <v>5366.6750000000002</v>
      </c>
      <c r="AA8" s="32">
        <v>2691.6950000000002</v>
      </c>
      <c r="AB8" s="32">
        <v>2098.3339999999998</v>
      </c>
      <c r="AC8" s="32">
        <v>1966</v>
      </c>
      <c r="AD8" s="12">
        <v>-3104.07</v>
      </c>
      <c r="AE8" s="12">
        <v>-3400.8919999999998</v>
      </c>
      <c r="AF8" s="12">
        <v>1163.5360000000001</v>
      </c>
      <c r="AG8" s="12">
        <v>643.34299999999996</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0</v>
      </c>
      <c r="O9" s="12">
        <v>0</v>
      </c>
      <c r="P9" s="12"/>
      <c r="Q9" s="12"/>
      <c r="R9" s="63">
        <v>0</v>
      </c>
      <c r="S9" s="61">
        <v>0</v>
      </c>
      <c r="T9" s="83">
        <v>0</v>
      </c>
      <c r="U9" s="61">
        <v>0</v>
      </c>
      <c r="V9" s="61">
        <v>0</v>
      </c>
      <c r="W9" s="32">
        <v>0</v>
      </c>
      <c r="X9" s="32">
        <v>0</v>
      </c>
      <c r="Y9" s="32">
        <v>0</v>
      </c>
      <c r="Z9" s="32">
        <v>0</v>
      </c>
      <c r="AA9" s="32">
        <v>0</v>
      </c>
      <c r="AB9" s="32">
        <v>0</v>
      </c>
      <c r="AC9" s="32">
        <v>0</v>
      </c>
      <c r="AD9" s="12">
        <v>1233.528</v>
      </c>
      <c r="AE9" s="12">
        <v>1347.5419999999999</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58</v>
      </c>
      <c r="C10" s="12">
        <v>67</v>
      </c>
      <c r="D10" s="12">
        <v>249</v>
      </c>
      <c r="E10" s="12"/>
      <c r="F10" s="12"/>
      <c r="G10" s="12"/>
      <c r="H10" s="12"/>
      <c r="I10" s="12">
        <v>640.62099999999998</v>
      </c>
      <c r="J10" s="32">
        <v>514.21199999999999</v>
      </c>
      <c r="K10" s="12">
        <v>985.74699999999996</v>
      </c>
      <c r="L10" s="12">
        <v>611.47400000000005</v>
      </c>
      <c r="M10" s="12">
        <v>282.33999999999997</v>
      </c>
      <c r="N10" s="12">
        <v>122.395</v>
      </c>
      <c r="O10" s="12">
        <v>27.213999999999999</v>
      </c>
      <c r="P10" s="12"/>
      <c r="Q10" s="12"/>
      <c r="R10" s="63">
        <v>0</v>
      </c>
      <c r="S10" s="12">
        <v>4.0010000000000003</v>
      </c>
      <c r="T10" s="82">
        <v>13659.191000000001</v>
      </c>
      <c r="U10" s="12">
        <v>13075.2</v>
      </c>
      <c r="V10" s="12">
        <v>8204.9419999999991</v>
      </c>
      <c r="W10" s="32">
        <v>11518.267</v>
      </c>
      <c r="X10" s="32">
        <v>18215.071</v>
      </c>
      <c r="Y10" s="32">
        <v>55819.749000000003</v>
      </c>
      <c r="Z10" s="32">
        <v>21665.934000000001</v>
      </c>
      <c r="AA10" s="32">
        <v>-12699.781999999999</v>
      </c>
      <c r="AB10" s="32">
        <v>53737.930999999997</v>
      </c>
      <c r="AC10" s="32">
        <v>47823</v>
      </c>
      <c r="AD10" s="12">
        <v>928.14499999999998</v>
      </c>
      <c r="AE10" s="12">
        <v>782.90599999999995</v>
      </c>
      <c r="AF10" s="12">
        <v>54238.47</v>
      </c>
      <c r="AG10" s="12">
        <v>10817.61</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21</v>
      </c>
      <c r="C11" s="12">
        <v>23</v>
      </c>
      <c r="D11" s="12">
        <v>19</v>
      </c>
      <c r="E11" s="12"/>
      <c r="F11" s="12"/>
      <c r="G11" s="12"/>
      <c r="H11" s="12"/>
      <c r="I11" s="12">
        <v>105.73099999999999</v>
      </c>
      <c r="J11" s="32">
        <v>103.883</v>
      </c>
      <c r="K11" s="12">
        <v>158.67400000000001</v>
      </c>
      <c r="L11" s="12">
        <v>74.462000000000003</v>
      </c>
      <c r="M11" s="12">
        <v>56.021999999999998</v>
      </c>
      <c r="N11" s="12">
        <v>67.816000000000003</v>
      </c>
      <c r="O11" s="12">
        <v>80.852999999999994</v>
      </c>
      <c r="P11" s="12"/>
      <c r="Q11" s="12"/>
      <c r="R11" s="63">
        <v>144.494</v>
      </c>
      <c r="S11" s="12">
        <v>126.99299999999999</v>
      </c>
      <c r="T11" s="82">
        <v>1631.788</v>
      </c>
      <c r="U11" s="12">
        <v>717.52200000000005</v>
      </c>
      <c r="V11" s="12">
        <v>887.36900000000003</v>
      </c>
      <c r="W11" s="32">
        <v>1428.377</v>
      </c>
      <c r="X11" s="32">
        <v>3294.8739999999998</v>
      </c>
      <c r="Y11" s="32">
        <v>4104.7349999999997</v>
      </c>
      <c r="Z11" s="32">
        <v>2738.3380000000002</v>
      </c>
      <c r="AA11" s="32">
        <v>1050.739</v>
      </c>
      <c r="AB11" s="32">
        <v>1060.7929999999999</v>
      </c>
      <c r="AC11" s="32">
        <v>-5496</v>
      </c>
      <c r="AD11" s="12">
        <v>964.92899999999997</v>
      </c>
      <c r="AE11" s="12">
        <v>949.75300000000004</v>
      </c>
      <c r="AF11" s="12">
        <v>-3467.0059999999999</v>
      </c>
      <c r="AG11" s="12">
        <v>-3574.806</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3</v>
      </c>
      <c r="C12" s="12">
        <v>41</v>
      </c>
      <c r="D12" s="12">
        <v>33</v>
      </c>
      <c r="E12" s="12"/>
      <c r="F12" s="12"/>
      <c r="G12" s="12"/>
      <c r="H12" s="12"/>
      <c r="I12" s="12">
        <v>133.053</v>
      </c>
      <c r="J12" s="32">
        <v>225.44900000000001</v>
      </c>
      <c r="K12" s="12">
        <v>222.07</v>
      </c>
      <c r="L12" s="12">
        <v>220.67599999999999</v>
      </c>
      <c r="M12" s="12">
        <v>221.00700000000001</v>
      </c>
      <c r="N12" s="12">
        <v>319.649</v>
      </c>
      <c r="O12" s="12">
        <v>374.54399999999998</v>
      </c>
      <c r="P12" s="12"/>
      <c r="Q12" s="12"/>
      <c r="R12" s="34">
        <v>301.97199999999998</v>
      </c>
      <c r="S12" s="12">
        <v>281.16300000000001</v>
      </c>
      <c r="T12" s="82">
        <v>24.939</v>
      </c>
      <c r="U12" s="12">
        <v>27.56</v>
      </c>
      <c r="V12" s="12">
        <v>25.344000000000001</v>
      </c>
      <c r="W12" s="32">
        <v>971.57399999999996</v>
      </c>
      <c r="X12" s="32">
        <v>1079.4649999999999</v>
      </c>
      <c r="Y12" s="32">
        <v>1257.557</v>
      </c>
      <c r="Z12" s="32">
        <v>1603.0050000000001</v>
      </c>
      <c r="AA12" s="32">
        <v>1662.08</v>
      </c>
      <c r="AB12" s="32">
        <v>1005.524</v>
      </c>
      <c r="AC12" s="32">
        <v>1108</v>
      </c>
      <c r="AD12" s="12">
        <v>966.44299999999998</v>
      </c>
      <c r="AE12" s="12">
        <v>752.12199999999996</v>
      </c>
      <c r="AF12" s="12">
        <v>1388.5640000000001</v>
      </c>
      <c r="AG12" s="12">
        <v>1476.2829999999999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2</v>
      </c>
      <c r="C13" s="12">
        <v>2</v>
      </c>
      <c r="D13" s="12">
        <v>2</v>
      </c>
      <c r="E13" s="12"/>
      <c r="F13" s="12"/>
      <c r="G13" s="12"/>
      <c r="H13" s="12"/>
      <c r="I13" s="12">
        <v>3.6</v>
      </c>
      <c r="J13" s="32">
        <v>3.3</v>
      </c>
      <c r="K13" s="12">
        <v>2.6</v>
      </c>
      <c r="L13" s="12">
        <v>3.0539999999999998</v>
      </c>
      <c r="M13" s="12">
        <v>0.6</v>
      </c>
      <c r="N13" s="12">
        <v>1.474</v>
      </c>
      <c r="O13" s="12">
        <v>6.2110000000000003</v>
      </c>
      <c r="P13" s="12"/>
      <c r="Q13" s="12"/>
      <c r="R13" s="34">
        <v>55.845999999999997</v>
      </c>
      <c r="S13" s="12">
        <v>120.379</v>
      </c>
      <c r="T13" s="82">
        <v>412.43799999999999</v>
      </c>
      <c r="U13" s="12">
        <v>1093.0409999999999</v>
      </c>
      <c r="V13" s="12">
        <v>546.29200000000003</v>
      </c>
      <c r="W13" s="32">
        <v>1215.213</v>
      </c>
      <c r="X13" s="32">
        <v>2800.5039999999999</v>
      </c>
      <c r="Y13" s="32">
        <v>4360.348</v>
      </c>
      <c r="Z13" s="32">
        <v>3453.3809999999999</v>
      </c>
      <c r="AA13" s="32">
        <v>3468.9780000000001</v>
      </c>
      <c r="AB13" s="32">
        <v>1173.759</v>
      </c>
      <c r="AC13" s="32">
        <v>1158</v>
      </c>
      <c r="AD13" s="12">
        <v>1407.299</v>
      </c>
      <c r="AE13" s="12">
        <v>7215.6040000000003</v>
      </c>
      <c r="AF13" s="12">
        <v>849.01199999999994</v>
      </c>
      <c r="AG13" s="12">
        <v>308.24200000000002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0</v>
      </c>
      <c r="C14" s="12">
        <v>0</v>
      </c>
      <c r="D14" s="12">
        <v>12</v>
      </c>
      <c r="E14" s="12"/>
      <c r="F14" s="12"/>
      <c r="G14" s="12"/>
      <c r="H14" s="12"/>
      <c r="I14" s="12">
        <v>0</v>
      </c>
      <c r="J14" s="32">
        <v>144.529</v>
      </c>
      <c r="K14" s="12">
        <v>131.27799999999999</v>
      </c>
      <c r="L14" s="12">
        <v>21.164000000000001</v>
      </c>
      <c r="M14" s="12">
        <v>90.254999999999995</v>
      </c>
      <c r="N14" s="12">
        <v>103.217</v>
      </c>
      <c r="O14" s="12">
        <v>89.37</v>
      </c>
      <c r="P14" s="12"/>
      <c r="Q14" s="12"/>
      <c r="R14" s="34">
        <v>126.79300000000001</v>
      </c>
      <c r="S14" s="12">
        <v>143.13999999999999</v>
      </c>
      <c r="T14" s="82">
        <v>4058.8989999999999</v>
      </c>
      <c r="U14" s="12">
        <v>3334.1089999999999</v>
      </c>
      <c r="V14" s="12">
        <v>2693.2170000000001</v>
      </c>
      <c r="W14" s="32">
        <v>5144.2820000000002</v>
      </c>
      <c r="X14" s="32">
        <v>9282.607</v>
      </c>
      <c r="Y14" s="32">
        <v>12922.173000000001</v>
      </c>
      <c r="Z14" s="32">
        <v>11400.776</v>
      </c>
      <c r="AA14" s="32">
        <v>4291.4970000000003</v>
      </c>
      <c r="AB14" s="32">
        <v>1441.0650000000001</v>
      </c>
      <c r="AC14" s="32">
        <v>1421</v>
      </c>
      <c r="AD14" s="12">
        <v>1388.4590000000001</v>
      </c>
      <c r="AE14" s="12">
        <v>1676.508</v>
      </c>
      <c r="AF14" s="12">
        <v>874.90300000000002</v>
      </c>
      <c r="AG14" s="12">
        <v>982.03499999999997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16</v>
      </c>
      <c r="C15" s="12">
        <v>45</v>
      </c>
      <c r="D15" s="12">
        <v>40</v>
      </c>
      <c r="E15" s="12"/>
      <c r="F15" s="12"/>
      <c r="G15" s="12"/>
      <c r="H15" s="12"/>
      <c r="I15" s="12">
        <v>14.393000000000001</v>
      </c>
      <c r="J15" s="32">
        <v>30.481000000000002</v>
      </c>
      <c r="K15" s="12">
        <v>0</v>
      </c>
      <c r="L15" s="12">
        <v>0</v>
      </c>
      <c r="M15" s="12">
        <v>60</v>
      </c>
      <c r="N15" s="12">
        <v>0</v>
      </c>
      <c r="O15" s="12">
        <v>15.7</v>
      </c>
      <c r="P15" s="12"/>
      <c r="Q15" s="12"/>
      <c r="R15" s="34">
        <v>0</v>
      </c>
      <c r="S15" s="12">
        <v>0</v>
      </c>
      <c r="T15" s="82">
        <v>0</v>
      </c>
      <c r="U15" s="12">
        <v>2048.6779999999999</v>
      </c>
      <c r="V15" s="12">
        <v>2391.944</v>
      </c>
      <c r="W15" s="32">
        <v>3497.027</v>
      </c>
      <c r="X15" s="32">
        <v>5586.6350000000002</v>
      </c>
      <c r="Y15" s="32">
        <v>7929.1729999999998</v>
      </c>
      <c r="Z15" s="32">
        <v>7163.59</v>
      </c>
      <c r="AA15" s="32">
        <v>3444.6460000000002</v>
      </c>
      <c r="AB15" s="32">
        <v>2421.5010000000002</v>
      </c>
      <c r="AC15" s="32">
        <v>1395</v>
      </c>
      <c r="AD15" s="12">
        <v>1783.1289999999999</v>
      </c>
      <c r="AE15" s="12">
        <v>1064.3309999999999</v>
      </c>
      <c r="AF15" s="12">
        <v>745.92700000000002</v>
      </c>
      <c r="AG15" s="12">
        <v>826.77499999999998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109</v>
      </c>
      <c r="C16" s="20">
        <v>169</v>
      </c>
      <c r="D16" s="20">
        <v>158</v>
      </c>
      <c r="E16" s="20"/>
      <c r="F16" s="20"/>
      <c r="G16" s="20"/>
      <c r="H16" s="20"/>
      <c r="I16" s="20">
        <v>534.39400000000001</v>
      </c>
      <c r="J16" s="33">
        <v>481.464</v>
      </c>
      <c r="K16" s="20">
        <v>237.14099999999999</v>
      </c>
      <c r="L16" s="20">
        <v>543.904</v>
      </c>
      <c r="M16" s="20">
        <v>6399.1080000000002</v>
      </c>
      <c r="N16" s="20">
        <v>6883.527</v>
      </c>
      <c r="O16" s="20">
        <v>529.49699999999996</v>
      </c>
      <c r="P16" s="20"/>
      <c r="Q16" s="20"/>
      <c r="R16" s="66">
        <v>1146.366</v>
      </c>
      <c r="S16" s="20">
        <v>803.09699999999998</v>
      </c>
      <c r="T16" s="20">
        <v>2753.384</v>
      </c>
      <c r="U16" s="20">
        <v>4381.7359999999999</v>
      </c>
      <c r="V16" s="20">
        <v>4935.6059999999998</v>
      </c>
      <c r="W16" s="33">
        <v>5328.6419999999998</v>
      </c>
      <c r="X16" s="33">
        <v>7711.4750000000004</v>
      </c>
      <c r="Y16" s="33">
        <v>15045.165000000001</v>
      </c>
      <c r="Z16" s="33">
        <v>4484.4369999999999</v>
      </c>
      <c r="AA16" s="33">
        <v>-3440.98</v>
      </c>
      <c r="AB16" s="33">
        <v>7968.4059999999999</v>
      </c>
      <c r="AC16" s="33">
        <v>12059</v>
      </c>
      <c r="AD16" s="20">
        <v>472.154</v>
      </c>
      <c r="AE16" s="20">
        <v>456.89400000000001</v>
      </c>
      <c r="AF16" s="20">
        <v>11512.964</v>
      </c>
      <c r="AG16" s="20">
        <v>2443.79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7</v>
      </c>
      <c r="C17" s="20">
        <v>25</v>
      </c>
      <c r="D17" s="20">
        <v>8</v>
      </c>
      <c r="E17" s="20"/>
      <c r="F17" s="20"/>
      <c r="G17" s="20"/>
      <c r="H17" s="20"/>
      <c r="I17" s="20">
        <v>11.78</v>
      </c>
      <c r="J17" s="33">
        <v>14.355</v>
      </c>
      <c r="K17" s="20">
        <v>8.6229999999999993</v>
      </c>
      <c r="L17" s="20">
        <v>8.9659999999999993</v>
      </c>
      <c r="M17" s="20">
        <v>8.6750000000000007</v>
      </c>
      <c r="N17" s="20">
        <v>11.746</v>
      </c>
      <c r="O17" s="20">
        <v>5.9550000000000001</v>
      </c>
      <c r="P17" s="20"/>
      <c r="Q17" s="20"/>
      <c r="R17" s="66">
        <v>6.0289999999999999</v>
      </c>
      <c r="S17" s="20">
        <v>6.8289999999999997</v>
      </c>
      <c r="T17" s="20">
        <v>2020.4749999999999</v>
      </c>
      <c r="U17" s="20">
        <v>1475.28</v>
      </c>
      <c r="V17" s="20">
        <v>915.44500000000005</v>
      </c>
      <c r="W17" s="33">
        <v>1711.1189999999999</v>
      </c>
      <c r="X17" s="33">
        <v>4186.8760000000002</v>
      </c>
      <c r="Y17" s="33">
        <v>8915.6</v>
      </c>
      <c r="Z17" s="33">
        <v>6877.22</v>
      </c>
      <c r="AA17" s="33">
        <v>2929.1779999999999</v>
      </c>
      <c r="AB17" s="33">
        <v>3937.7860000000001</v>
      </c>
      <c r="AC17" s="33">
        <v>2701</v>
      </c>
      <c r="AD17" s="20">
        <v>11827.918</v>
      </c>
      <c r="AE17" s="20">
        <v>6547.1379999999999</v>
      </c>
      <c r="AF17" s="20">
        <v>1309.607</v>
      </c>
      <c r="AG17" s="20">
        <v>233.541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0</v>
      </c>
      <c r="C18" s="20">
        <v>0</v>
      </c>
      <c r="D18" s="20">
        <v>0</v>
      </c>
      <c r="E18" s="20"/>
      <c r="F18" s="20"/>
      <c r="G18" s="20"/>
      <c r="H18" s="20"/>
      <c r="I18" s="20">
        <v>0</v>
      </c>
      <c r="J18" s="33">
        <v>0.995</v>
      </c>
      <c r="K18" s="20">
        <v>2.3980000000000001</v>
      </c>
      <c r="L18" s="20">
        <v>0</v>
      </c>
      <c r="M18" s="20">
        <v>61.768999999999998</v>
      </c>
      <c r="N18" s="20">
        <v>35.901000000000003</v>
      </c>
      <c r="O18" s="20">
        <v>58.292000000000002</v>
      </c>
      <c r="P18" s="20"/>
      <c r="Q18" s="20"/>
      <c r="R18" s="66">
        <v>45.387999999999998</v>
      </c>
      <c r="S18" s="20">
        <v>86.688000000000002</v>
      </c>
      <c r="T18" s="20">
        <v>2655.62</v>
      </c>
      <c r="U18" s="20">
        <v>2016.3109999999999</v>
      </c>
      <c r="V18" s="20">
        <v>1523.9480000000001</v>
      </c>
      <c r="W18" s="33">
        <v>3492.4059999999999</v>
      </c>
      <c r="X18" s="33">
        <v>7641.15</v>
      </c>
      <c r="Y18" s="33">
        <v>10391.712</v>
      </c>
      <c r="Z18" s="33">
        <v>7816.3140000000003</v>
      </c>
      <c r="AA18" s="33">
        <v>3379.3939999999998</v>
      </c>
      <c r="AB18" s="33">
        <v>2275.2130000000002</v>
      </c>
      <c r="AC18" s="33">
        <v>2224</v>
      </c>
      <c r="AD18" s="20">
        <v>3200.011</v>
      </c>
      <c r="AE18" s="20">
        <v>2572.29</v>
      </c>
      <c r="AF18" s="20">
        <v>1725.4380000000001</v>
      </c>
      <c r="AG18" s="20">
        <v>1793.712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1</v>
      </c>
      <c r="C19" s="20">
        <v>0</v>
      </c>
      <c r="D19" s="20">
        <v>1</v>
      </c>
      <c r="E19" s="20"/>
      <c r="F19" s="20"/>
      <c r="G19" s="20"/>
      <c r="H19" s="20"/>
      <c r="I19" s="20">
        <v>10.035</v>
      </c>
      <c r="J19" s="33">
        <v>5.6509999999999998</v>
      </c>
      <c r="K19" s="20">
        <v>3.4969999999999999</v>
      </c>
      <c r="L19" s="20">
        <v>6.8840000000000003</v>
      </c>
      <c r="M19" s="20">
        <v>5.7080000000000002</v>
      </c>
      <c r="N19" s="20">
        <v>9.1850000000000005</v>
      </c>
      <c r="O19" s="20">
        <v>13.991</v>
      </c>
      <c r="P19" s="20"/>
      <c r="Q19" s="20"/>
      <c r="R19" s="90">
        <v>16.449000000000002</v>
      </c>
      <c r="S19" s="20">
        <v>13.419</v>
      </c>
      <c r="T19" s="20">
        <v>1631.6120000000001</v>
      </c>
      <c r="U19" s="20">
        <v>1299.057</v>
      </c>
      <c r="V19" s="20">
        <v>1137.866</v>
      </c>
      <c r="W19" s="33">
        <v>2772.3209999999999</v>
      </c>
      <c r="X19" s="33">
        <v>5782.6570000000002</v>
      </c>
      <c r="Y19" s="33">
        <v>7378.8649999999998</v>
      </c>
      <c r="Z19" s="33">
        <v>6287.7139999999999</v>
      </c>
      <c r="AA19" s="33">
        <v>2683.1689999999999</v>
      </c>
      <c r="AB19" s="33">
        <v>854.58500000000004</v>
      </c>
      <c r="AC19" s="33">
        <v>643</v>
      </c>
      <c r="AD19" s="20">
        <v>68.444000000000003</v>
      </c>
      <c r="AE19" s="20">
        <v>86.983999999999995</v>
      </c>
      <c r="AF19" s="20">
        <v>360.02100000000002</v>
      </c>
      <c r="AG19" s="20">
        <v>322.89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802</v>
      </c>
      <c r="C20" s="20">
        <v>954</v>
      </c>
      <c r="D20" s="20">
        <v>924</v>
      </c>
      <c r="E20" s="20"/>
      <c r="F20" s="20"/>
      <c r="G20" s="20"/>
      <c r="H20" s="20"/>
      <c r="I20" s="20">
        <v>1131.33</v>
      </c>
      <c r="J20" s="33">
        <v>1437.8</v>
      </c>
      <c r="K20" s="20">
        <v>1486.597</v>
      </c>
      <c r="L20" s="20">
        <v>1590.1010000000001</v>
      </c>
      <c r="M20" s="20">
        <v>1331.556</v>
      </c>
      <c r="N20" s="20">
        <v>1782.721</v>
      </c>
      <c r="O20" s="20">
        <v>2705.5349999999999</v>
      </c>
      <c r="P20" s="20"/>
      <c r="Q20" s="20"/>
      <c r="R20" s="66">
        <v>3067.7289999999998</v>
      </c>
      <c r="S20" s="20">
        <v>4035.5590000000002</v>
      </c>
      <c r="T20" s="20">
        <v>27318.476999999999</v>
      </c>
      <c r="U20" s="20">
        <v>22828.708999999999</v>
      </c>
      <c r="V20" s="20">
        <v>22153.65</v>
      </c>
      <c r="W20" s="33">
        <v>33336.228999999999</v>
      </c>
      <c r="X20" s="33">
        <v>69768.231</v>
      </c>
      <c r="Y20" s="33">
        <v>104253.92600000001</v>
      </c>
      <c r="Z20" s="33">
        <v>79286.77</v>
      </c>
      <c r="AA20" s="33">
        <v>35491.633000000002</v>
      </c>
      <c r="AB20" s="33">
        <v>17306.655999999999</v>
      </c>
      <c r="AC20" s="33">
        <v>13597</v>
      </c>
      <c r="AD20" s="20">
        <v>0</v>
      </c>
      <c r="AE20" s="20">
        <v>0</v>
      </c>
      <c r="AF20" s="20">
        <v>15726.22</v>
      </c>
      <c r="AG20" s="20">
        <v>11764.977999999999</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7</v>
      </c>
      <c r="C21" s="20">
        <v>7</v>
      </c>
      <c r="D21" s="20">
        <v>9</v>
      </c>
      <c r="E21" s="20"/>
      <c r="F21" s="20"/>
      <c r="G21" s="20"/>
      <c r="H21" s="20"/>
      <c r="I21" s="20">
        <v>15.032</v>
      </c>
      <c r="J21" s="33">
        <v>12.988</v>
      </c>
      <c r="K21" s="20">
        <v>17.186</v>
      </c>
      <c r="L21" s="20">
        <v>18.640999999999998</v>
      </c>
      <c r="M21" s="20">
        <v>12.58</v>
      </c>
      <c r="N21" s="20">
        <v>10.903</v>
      </c>
      <c r="O21" s="20">
        <v>15.148</v>
      </c>
      <c r="P21" s="20"/>
      <c r="Q21" s="20"/>
      <c r="R21" s="66">
        <v>13.542999999999999</v>
      </c>
      <c r="S21" s="20">
        <v>14.404</v>
      </c>
      <c r="T21" s="20">
        <v>1569.4369999999999</v>
      </c>
      <c r="U21" s="20">
        <v>1250.5930000000001</v>
      </c>
      <c r="V21" s="20">
        <v>1233.133</v>
      </c>
      <c r="W21" s="33">
        <v>1178.9949999999999</v>
      </c>
      <c r="X21" s="33">
        <v>2176.48</v>
      </c>
      <c r="Y21" s="33">
        <v>5368.8220000000001</v>
      </c>
      <c r="Z21" s="33">
        <v>6519.5950000000003</v>
      </c>
      <c r="AA21" s="33">
        <v>5255.7960000000003</v>
      </c>
      <c r="AB21" s="33">
        <v>3100.7550000000001</v>
      </c>
      <c r="AC21" s="33">
        <v>2738</v>
      </c>
      <c r="AD21" s="20">
        <v>0</v>
      </c>
      <c r="AE21" s="20">
        <v>0</v>
      </c>
      <c r="AF21" s="20">
        <v>1077.0429999999999</v>
      </c>
      <c r="AG21" s="20">
        <v>932.67600000000004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v>0</v>
      </c>
      <c r="E22" s="51"/>
      <c r="F22" s="51"/>
      <c r="G22" s="51"/>
      <c r="H22" s="51"/>
      <c r="I22" s="51">
        <v>0</v>
      </c>
      <c r="J22" s="50">
        <v>0</v>
      </c>
      <c r="K22" s="51">
        <v>141</v>
      </c>
      <c r="L22" s="51">
        <v>0</v>
      </c>
      <c r="M22" s="51">
        <v>0</v>
      </c>
      <c r="N22" s="51">
        <v>0</v>
      </c>
      <c r="O22" s="51">
        <v>0</v>
      </c>
      <c r="P22" s="51"/>
      <c r="Q22" s="51"/>
      <c r="R22" s="51">
        <v>0</v>
      </c>
      <c r="S22" s="51">
        <v>105.319</v>
      </c>
      <c r="T22" s="51">
        <v>300.26299999999998</v>
      </c>
      <c r="U22" s="51">
        <v>322.98399999999998</v>
      </c>
      <c r="V22" s="51">
        <v>41.154000000000003</v>
      </c>
      <c r="W22" s="50">
        <v>359.15600000000001</v>
      </c>
      <c r="X22" s="50">
        <v>808.70100000000002</v>
      </c>
      <c r="Y22" s="50">
        <v>1496.4929999999999</v>
      </c>
      <c r="Z22" s="50">
        <v>1186.9680000000001</v>
      </c>
      <c r="AA22" s="50">
        <v>504.726</v>
      </c>
      <c r="AB22" s="50">
        <v>116.795</v>
      </c>
      <c r="AC22" s="50">
        <v>113</v>
      </c>
      <c r="AD22" s="51">
        <v>0</v>
      </c>
      <c r="AE22" s="51">
        <v>0</v>
      </c>
      <c r="AF22" s="51">
        <v>88.751000000000005</v>
      </c>
      <c r="AG22" s="51">
        <v>76.147999999999996</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G23" si="8">SUM(C25:C37)</f>
        <v>0</v>
      </c>
      <c r="D23" s="104">
        <f t="shared" si="8"/>
        <v>0</v>
      </c>
      <c r="E23" s="104">
        <f t="shared" si="8"/>
        <v>0</v>
      </c>
      <c r="F23" s="104">
        <f t="shared" si="8"/>
        <v>0</v>
      </c>
      <c r="G23" s="104">
        <f t="shared" si="8"/>
        <v>0</v>
      </c>
      <c r="H23" s="104">
        <f t="shared" si="8"/>
        <v>0</v>
      </c>
      <c r="I23" s="104">
        <f t="shared" si="8"/>
        <v>0</v>
      </c>
      <c r="J23" s="104">
        <f t="shared" si="8"/>
        <v>7028.6230000000005</v>
      </c>
      <c r="K23" s="104">
        <f t="shared" si="8"/>
        <v>0</v>
      </c>
      <c r="L23" s="104">
        <f t="shared" si="8"/>
        <v>0</v>
      </c>
      <c r="M23" s="104">
        <f t="shared" si="8"/>
        <v>9477.107</v>
      </c>
      <c r="N23" s="104">
        <f t="shared" si="8"/>
        <v>0</v>
      </c>
      <c r="O23" s="104">
        <f t="shared" si="8"/>
        <v>8689.8261799999982</v>
      </c>
      <c r="P23" s="104">
        <f t="shared" si="8"/>
        <v>0</v>
      </c>
      <c r="Q23" s="104">
        <f t="shared" si="8"/>
        <v>0</v>
      </c>
      <c r="R23" s="104">
        <f t="shared" si="8"/>
        <v>10415.861000000001</v>
      </c>
      <c r="S23" s="104">
        <f t="shared" si="8"/>
        <v>12699.14</v>
      </c>
      <c r="T23" s="104">
        <f t="shared" si="8"/>
        <v>65518.197</v>
      </c>
      <c r="U23" s="104">
        <f t="shared" si="8"/>
        <v>72506.692999999999</v>
      </c>
      <c r="V23" s="104">
        <f t="shared" si="8"/>
        <v>73045.187999999995</v>
      </c>
      <c r="W23" s="104">
        <f t="shared" si="8"/>
        <v>186508.31600000002</v>
      </c>
      <c r="X23" s="104">
        <f t="shared" si="8"/>
        <v>262128.62800000003</v>
      </c>
      <c r="Y23" s="104">
        <f t="shared" si="8"/>
        <v>359681.55399999995</v>
      </c>
      <c r="Z23" s="104">
        <f t="shared" si="8"/>
        <v>334861.99000000011</v>
      </c>
      <c r="AA23" s="104">
        <f t="shared" si="8"/>
        <v>231912.28600000002</v>
      </c>
      <c r="AB23" s="104">
        <f t="shared" si="8"/>
        <v>200461.83900000001</v>
      </c>
      <c r="AC23" s="104">
        <f t="shared" si="8"/>
        <v>280540</v>
      </c>
      <c r="AD23" s="104">
        <f t="shared" si="8"/>
        <v>77517.070999999996</v>
      </c>
      <c r="AE23" s="104">
        <f t="shared" si="8"/>
        <v>115830.10399999999</v>
      </c>
      <c r="AF23" s="104">
        <f t="shared" si="8"/>
        <v>160266.51</v>
      </c>
      <c r="AG23" s="104">
        <f t="shared" si="8"/>
        <v>54149.114000000001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D24" s="20"/>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0</v>
      </c>
      <c r="K25" s="20"/>
      <c r="L25" s="20"/>
      <c r="M25" s="20">
        <v>1</v>
      </c>
      <c r="N25" s="20"/>
      <c r="O25" s="20">
        <v>15</v>
      </c>
      <c r="P25" s="20"/>
      <c r="Q25" s="20"/>
      <c r="R25" s="66">
        <v>15.808999999999999</v>
      </c>
      <c r="S25" s="20">
        <v>13.191000000000001</v>
      </c>
      <c r="T25" s="20">
        <v>44.054000000000002</v>
      </c>
      <c r="U25" s="20">
        <v>6.7679999999999998</v>
      </c>
      <c r="V25" s="20">
        <v>17.248999999999999</v>
      </c>
      <c r="W25" s="33">
        <v>0</v>
      </c>
      <c r="X25" s="33">
        <v>62.206000000000003</v>
      </c>
      <c r="Y25" s="33">
        <v>39.061</v>
      </c>
      <c r="Z25" s="33">
        <v>19.364999999999998</v>
      </c>
      <c r="AA25" s="33">
        <v>1.9430000000000001</v>
      </c>
      <c r="AB25" s="33">
        <v>0.34200000000000003</v>
      </c>
      <c r="AC25" s="33">
        <v>0</v>
      </c>
      <c r="AD25" s="20">
        <v>-10.02</v>
      </c>
      <c r="AE25" s="20">
        <v>246.27500000000001</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208.173</v>
      </c>
      <c r="K26" s="20"/>
      <c r="L26" s="20"/>
      <c r="M26" s="20">
        <v>275.90800000000002</v>
      </c>
      <c r="N26" s="20"/>
      <c r="O26" s="20">
        <v>237.54</v>
      </c>
      <c r="P26" s="20"/>
      <c r="Q26" s="20"/>
      <c r="R26" s="66">
        <v>307.05799999999999</v>
      </c>
      <c r="S26" s="20">
        <v>100</v>
      </c>
      <c r="T26" s="20">
        <v>7074.13</v>
      </c>
      <c r="U26" s="20">
        <v>1543.559</v>
      </c>
      <c r="V26" s="20">
        <v>2400.9029999999998</v>
      </c>
      <c r="W26" s="33">
        <v>3952.623</v>
      </c>
      <c r="X26" s="33">
        <v>7821.3119999999999</v>
      </c>
      <c r="Y26" s="33">
        <v>14498.272000000001</v>
      </c>
      <c r="Z26" s="33">
        <v>12602.165000000001</v>
      </c>
      <c r="AA26" s="33">
        <v>3746.8649999999998</v>
      </c>
      <c r="AB26" s="33">
        <v>2426.1979999999999</v>
      </c>
      <c r="AC26" s="33">
        <v>2004</v>
      </c>
      <c r="AD26" s="20">
        <v>1417.3409999999999</v>
      </c>
      <c r="AE26" s="20">
        <v>2251.9580000000001</v>
      </c>
      <c r="AF26" s="20">
        <v>994.13300000000004</v>
      </c>
      <c r="AG26" s="20">
        <v>419.072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255.18600000000001</v>
      </c>
      <c r="K27" s="20"/>
      <c r="L27" s="20"/>
      <c r="M27" s="20">
        <v>3099.578</v>
      </c>
      <c r="N27" s="20"/>
      <c r="O27" s="20">
        <v>1818.6924099999999</v>
      </c>
      <c r="P27" s="20"/>
      <c r="Q27" s="20"/>
      <c r="R27" s="66">
        <v>2810.623</v>
      </c>
      <c r="S27" s="20">
        <v>4416.03</v>
      </c>
      <c r="T27" s="20">
        <v>37744.875999999997</v>
      </c>
      <c r="U27" s="20">
        <v>46995.108</v>
      </c>
      <c r="V27" s="20">
        <v>27604.3</v>
      </c>
      <c r="W27" s="33">
        <v>111252.124</v>
      </c>
      <c r="X27" s="33">
        <v>164617.39000000001</v>
      </c>
      <c r="Y27" s="33">
        <v>212053.541</v>
      </c>
      <c r="Z27" s="33">
        <v>264743.06800000003</v>
      </c>
      <c r="AA27" s="33">
        <v>250906.587</v>
      </c>
      <c r="AB27" s="33">
        <v>110676.43</v>
      </c>
      <c r="AC27" s="33">
        <v>165272</v>
      </c>
      <c r="AD27" s="20">
        <v>42611.173999999999</v>
      </c>
      <c r="AE27" s="20">
        <v>36127.864000000001</v>
      </c>
      <c r="AF27" s="20">
        <v>53084.288</v>
      </c>
      <c r="AG27" s="20">
        <v>28645.212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0</v>
      </c>
      <c r="K28" s="20"/>
      <c r="L28" s="20"/>
      <c r="M28" s="20">
        <v>0</v>
      </c>
      <c r="N28" s="20"/>
      <c r="O28" s="20">
        <v>0</v>
      </c>
      <c r="P28" s="20"/>
      <c r="Q28" s="20"/>
      <c r="R28" s="66">
        <v>0</v>
      </c>
      <c r="S28" s="20">
        <v>0</v>
      </c>
      <c r="T28" s="20">
        <v>1972.3810000000001</v>
      </c>
      <c r="U28" s="20">
        <v>2239.9780000000001</v>
      </c>
      <c r="V28" s="20">
        <v>1745</v>
      </c>
      <c r="W28" s="33">
        <v>2220.1439999999998</v>
      </c>
      <c r="X28" s="33">
        <v>4895.518</v>
      </c>
      <c r="Y28" s="33">
        <v>6970.4539999999997</v>
      </c>
      <c r="Z28" s="33">
        <v>7808.91</v>
      </c>
      <c r="AA28" s="33">
        <v>5243.625</v>
      </c>
      <c r="AB28" s="33">
        <v>4992.6980000000003</v>
      </c>
      <c r="AC28" s="33">
        <v>5511</v>
      </c>
      <c r="AD28" s="20">
        <v>3833.826</v>
      </c>
      <c r="AE28" s="20">
        <v>490.06099999999998</v>
      </c>
      <c r="AF28" s="20">
        <v>1260.152</v>
      </c>
      <c r="AG28" s="20">
        <v>1363.39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8.5389999999999997</v>
      </c>
      <c r="K29" s="20"/>
      <c r="L29" s="20"/>
      <c r="M29" s="20">
        <v>10.314</v>
      </c>
      <c r="N29" s="20"/>
      <c r="O29" s="20">
        <v>12.682</v>
      </c>
      <c r="P29" s="20"/>
      <c r="Q29" s="20"/>
      <c r="R29" s="66">
        <v>25.661000000000001</v>
      </c>
      <c r="S29" s="20">
        <v>27.968</v>
      </c>
      <c r="T29" s="20">
        <v>549.35699999999997</v>
      </c>
      <c r="U29" s="20">
        <v>475.19099999999997</v>
      </c>
      <c r="V29" s="20">
        <v>310.036</v>
      </c>
      <c r="W29" s="33">
        <v>447.72899999999998</v>
      </c>
      <c r="X29" s="33">
        <v>685.32299999999998</v>
      </c>
      <c r="Y29" s="33">
        <v>1101.93</v>
      </c>
      <c r="Z29" s="33">
        <v>1235.8589999999999</v>
      </c>
      <c r="AA29" s="33">
        <v>848.96900000000005</v>
      </c>
      <c r="AB29" s="33">
        <v>432.96800000000002</v>
      </c>
      <c r="AC29" s="33">
        <v>376</v>
      </c>
      <c r="AD29" s="20">
        <v>300.13799999999998</v>
      </c>
      <c r="AE29" s="20">
        <v>249.34899999999999</v>
      </c>
      <c r="AF29" s="20">
        <v>188.166</v>
      </c>
      <c r="AG29" s="20">
        <v>99.006</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0</v>
      </c>
      <c r="K30" s="20"/>
      <c r="L30" s="20"/>
      <c r="M30" s="20">
        <v>0</v>
      </c>
      <c r="N30" s="20"/>
      <c r="O30" s="20">
        <v>0</v>
      </c>
      <c r="P30" s="20"/>
      <c r="Q30" s="20"/>
      <c r="R30" s="66">
        <v>0</v>
      </c>
      <c r="S30" s="20">
        <v>0</v>
      </c>
      <c r="T30" s="20">
        <v>10.446</v>
      </c>
      <c r="U30" s="20">
        <v>-439.04700000000003</v>
      </c>
      <c r="V30" s="20">
        <v>183.435</v>
      </c>
      <c r="W30" s="33">
        <v>196.357</v>
      </c>
      <c r="X30" s="33">
        <v>304.90499999999997</v>
      </c>
      <c r="Y30" s="33">
        <v>562.19100000000003</v>
      </c>
      <c r="Z30" s="33">
        <v>562.08100000000002</v>
      </c>
      <c r="AA30" s="33">
        <v>221.86699999999999</v>
      </c>
      <c r="AB30" s="33">
        <v>57.353999999999999</v>
      </c>
      <c r="AC30" s="33">
        <v>74</v>
      </c>
      <c r="AD30" s="20">
        <v>155.762</v>
      </c>
      <c r="AE30" s="20">
        <v>223.00800000000001</v>
      </c>
      <c r="AF30" s="20">
        <v>216.798</v>
      </c>
      <c r="AG30" s="20">
        <v>195.559</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98.722999999999999</v>
      </c>
      <c r="K31" s="20"/>
      <c r="L31" s="20"/>
      <c r="M31" s="20">
        <v>141.512</v>
      </c>
      <c r="N31" s="20"/>
      <c r="O31" s="20">
        <v>218.691</v>
      </c>
      <c r="P31" s="20"/>
      <c r="Q31" s="20"/>
      <c r="R31" s="90">
        <v>319.11399999999998</v>
      </c>
      <c r="S31" s="20">
        <v>365.32</v>
      </c>
      <c r="T31" s="20">
        <v>542.596</v>
      </c>
      <c r="U31" s="20">
        <v>429.822</v>
      </c>
      <c r="V31" s="20">
        <v>342.50700000000001</v>
      </c>
      <c r="W31" s="33">
        <v>611.21199999999999</v>
      </c>
      <c r="X31" s="33">
        <v>2112.8220000000001</v>
      </c>
      <c r="Y31" s="33">
        <v>2403.42</v>
      </c>
      <c r="Z31" s="33">
        <v>1057.058</v>
      </c>
      <c r="AA31" s="33">
        <v>421.15300000000002</v>
      </c>
      <c r="AB31" s="33">
        <v>1080.857</v>
      </c>
      <c r="AC31" s="33">
        <v>472</v>
      </c>
      <c r="AD31" s="20">
        <v>939.10799999999995</v>
      </c>
      <c r="AE31" s="20">
        <v>779.51499999999999</v>
      </c>
      <c r="AF31" s="20">
        <v>1311.5619999999999</v>
      </c>
      <c r="AG31" s="20">
        <v>409.11399999999998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289.92599999999999</v>
      </c>
      <c r="K32" s="20"/>
      <c r="L32" s="20"/>
      <c r="M32" s="20">
        <v>103.33199999999999</v>
      </c>
      <c r="N32" s="20"/>
      <c r="O32" s="20">
        <v>162</v>
      </c>
      <c r="P32" s="20"/>
      <c r="Q32" s="20"/>
      <c r="R32" s="92">
        <v>236</v>
      </c>
      <c r="S32" s="20">
        <v>227</v>
      </c>
      <c r="T32" s="20">
        <v>124</v>
      </c>
      <c r="U32" s="20">
        <v>1867</v>
      </c>
      <c r="V32" s="20">
        <v>1961</v>
      </c>
      <c r="W32" s="33">
        <v>1849</v>
      </c>
      <c r="X32" s="33">
        <v>2173</v>
      </c>
      <c r="Y32" s="33">
        <v>3000</v>
      </c>
      <c r="Z32" s="33">
        <v>547</v>
      </c>
      <c r="AA32" s="33">
        <v>-8411</v>
      </c>
      <c r="AB32" s="33">
        <v>8673</v>
      </c>
      <c r="AC32" s="33">
        <v>9067</v>
      </c>
      <c r="AD32" s="20">
        <v>2380</v>
      </c>
      <c r="AE32" s="20">
        <v>7819</v>
      </c>
      <c r="AF32" s="20">
        <v>10959</v>
      </c>
      <c r="AG32" s="20">
        <v>1788</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5087.3940000000002</v>
      </c>
      <c r="K33" s="20"/>
      <c r="L33" s="20"/>
      <c r="M33" s="20">
        <v>5046.192</v>
      </c>
      <c r="N33" s="20"/>
      <c r="O33" s="20">
        <v>5211.2947699999995</v>
      </c>
      <c r="P33" s="20"/>
      <c r="Q33" s="20"/>
      <c r="R33" s="92">
        <v>5590.3639999999996</v>
      </c>
      <c r="S33" s="20">
        <v>6094.24</v>
      </c>
      <c r="T33" s="20">
        <v>8801.6290000000008</v>
      </c>
      <c r="U33" s="20">
        <v>6334.6120000000001</v>
      </c>
      <c r="V33" s="20">
        <v>18485.079000000002</v>
      </c>
      <c r="W33" s="33">
        <v>14115.513999999999</v>
      </c>
      <c r="X33" s="33">
        <v>18498.844000000001</v>
      </c>
      <c r="Y33" s="33">
        <v>36369.906999999999</v>
      </c>
      <c r="Z33" s="33">
        <v>7160.4160000000002</v>
      </c>
      <c r="AA33" s="33">
        <v>-31505.850999999999</v>
      </c>
      <c r="AB33" s="33">
        <v>26811.510999999999</v>
      </c>
      <c r="AC33" s="33">
        <v>44534</v>
      </c>
      <c r="AD33" s="20">
        <v>11733.186</v>
      </c>
      <c r="AE33" s="20">
        <v>32002.602999999999</v>
      </c>
      <c r="AF33" s="20">
        <v>41063.150999999998</v>
      </c>
      <c r="AG33" s="20">
        <v>13179.081</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17.341999999999999</v>
      </c>
      <c r="K34" s="20"/>
      <c r="L34" s="20"/>
      <c r="M34" s="20">
        <v>6.806</v>
      </c>
      <c r="N34" s="20"/>
      <c r="O34" s="20">
        <v>9.718</v>
      </c>
      <c r="P34" s="20"/>
      <c r="Q34" s="20"/>
      <c r="R34" s="66">
        <v>98.942999999999998</v>
      </c>
      <c r="S34" s="20">
        <v>132.636</v>
      </c>
      <c r="T34" s="20">
        <v>7383.6610000000001</v>
      </c>
      <c r="U34" s="20">
        <v>9529.7180000000008</v>
      </c>
      <c r="V34" s="20">
        <v>12264.138000000001</v>
      </c>
      <c r="W34" s="33">
        <v>41572.103999999999</v>
      </c>
      <c r="X34" s="33">
        <v>43110.764000000003</v>
      </c>
      <c r="Y34" s="33">
        <v>53304.627999999997</v>
      </c>
      <c r="Z34" s="33">
        <v>18564.309000000001</v>
      </c>
      <c r="AA34" s="33">
        <v>3093.9609999999998</v>
      </c>
      <c r="AB34" s="33">
        <v>31646.31</v>
      </c>
      <c r="AC34" s="33">
        <v>37241</v>
      </c>
      <c r="AD34" s="20">
        <v>8645.9539999999997</v>
      </c>
      <c r="AE34" s="20">
        <v>23895.931</v>
      </c>
      <c r="AF34" s="20">
        <v>37133.373</v>
      </c>
      <c r="AG34" s="20">
        <v>2508.4270000000001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289.66800000000001</v>
      </c>
      <c r="K35" s="20"/>
      <c r="L35" s="20"/>
      <c r="M35" s="20">
        <v>561.89800000000002</v>
      </c>
      <c r="N35" s="20"/>
      <c r="O35" s="20">
        <v>642.80600000000004</v>
      </c>
      <c r="P35" s="20"/>
      <c r="Q35" s="20"/>
      <c r="R35" s="66">
        <v>752.85</v>
      </c>
      <c r="S35" s="20">
        <v>1100.0250000000001</v>
      </c>
      <c r="T35" s="20">
        <v>912.94600000000003</v>
      </c>
      <c r="U35" s="20">
        <v>2339.7840000000001</v>
      </c>
      <c r="V35" s="20">
        <v>3337.9450000000002</v>
      </c>
      <c r="W35" s="33">
        <v>3664.9609999999998</v>
      </c>
      <c r="X35" s="33">
        <v>4184.4319999999998</v>
      </c>
      <c r="Y35" s="33">
        <v>8230.7350000000006</v>
      </c>
      <c r="Z35" s="33">
        <v>4630.4030000000002</v>
      </c>
      <c r="AA35" s="33">
        <v>671.38800000000003</v>
      </c>
      <c r="AB35" s="33">
        <v>4361.4319999999998</v>
      </c>
      <c r="AC35" s="33">
        <v>5291</v>
      </c>
      <c r="AD35" s="20">
        <v>1586.6079999999999</v>
      </c>
      <c r="AE35" s="20">
        <v>2950.4050000000002</v>
      </c>
      <c r="AF35" s="20">
        <v>2927.0079999999998</v>
      </c>
      <c r="AG35" s="20">
        <v>1485.8420000000001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672.28300000000002</v>
      </c>
      <c r="K36" s="20"/>
      <c r="L36" s="20"/>
      <c r="M36" s="20">
        <v>180.279</v>
      </c>
      <c r="N36" s="20"/>
      <c r="O36" s="20">
        <v>314.73599999999999</v>
      </c>
      <c r="P36" s="20"/>
      <c r="Q36" s="20"/>
      <c r="R36" s="66">
        <v>217.00899999999999</v>
      </c>
      <c r="S36" s="20">
        <v>165.58199999999999</v>
      </c>
      <c r="T36" s="20">
        <v>310.72800000000001</v>
      </c>
      <c r="U36" s="20">
        <v>187.809</v>
      </c>
      <c r="V36" s="20">
        <v>3843.7710000000002</v>
      </c>
      <c r="W36" s="33">
        <v>5522.4049999999997</v>
      </c>
      <c r="X36" s="33">
        <v>10663.59</v>
      </c>
      <c r="Y36" s="33">
        <v>15318.757</v>
      </c>
      <c r="Z36" s="33">
        <v>13242.547</v>
      </c>
      <c r="AA36" s="33">
        <v>7214.7849999999999</v>
      </c>
      <c r="AB36" s="33">
        <v>4726.7169999999996</v>
      </c>
      <c r="AC36" s="33">
        <v>3926</v>
      </c>
      <c r="AD36" s="20">
        <v>2919.28</v>
      </c>
      <c r="AE36" s="20">
        <v>3643.6469999999999</v>
      </c>
      <c r="AF36" s="20">
        <v>1693.548</v>
      </c>
      <c r="AG36" s="20">
        <v>2325.3229999999999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101.389</v>
      </c>
      <c r="K37" s="51"/>
      <c r="L37" s="51"/>
      <c r="M37" s="51">
        <v>50.287999999999997</v>
      </c>
      <c r="N37" s="51"/>
      <c r="O37" s="51">
        <v>46.665999999999997</v>
      </c>
      <c r="P37" s="51"/>
      <c r="Q37" s="51"/>
      <c r="R37" s="67">
        <v>42.43</v>
      </c>
      <c r="S37" s="51">
        <v>57.148000000000003</v>
      </c>
      <c r="T37" s="51">
        <v>47.393000000000001</v>
      </c>
      <c r="U37" s="51">
        <v>996.39099999999996</v>
      </c>
      <c r="V37" s="51">
        <v>549.82500000000005</v>
      </c>
      <c r="W37" s="50">
        <v>1104.143</v>
      </c>
      <c r="X37" s="50">
        <v>2998.5219999999999</v>
      </c>
      <c r="Y37" s="50">
        <v>5828.6580000000004</v>
      </c>
      <c r="Z37" s="50">
        <v>2688.8090000000002</v>
      </c>
      <c r="AA37" s="50">
        <v>-542.00599999999997</v>
      </c>
      <c r="AB37" s="50">
        <v>4576.0219999999999</v>
      </c>
      <c r="AC37" s="50">
        <v>6772</v>
      </c>
      <c r="AD37" s="51">
        <v>1004.7140000000001</v>
      </c>
      <c r="AE37" s="51">
        <v>5150.4880000000003</v>
      </c>
      <c r="AF37" s="51">
        <v>9435.3310000000001</v>
      </c>
      <c r="AG37" s="51">
        <v>1731.088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4190.8120000000008</v>
      </c>
      <c r="K38" s="104">
        <f t="shared" si="9"/>
        <v>0</v>
      </c>
      <c r="L38" s="104">
        <f t="shared" si="9"/>
        <v>0</v>
      </c>
      <c r="M38" s="104">
        <f t="shared" si="9"/>
        <v>4851.5920000000006</v>
      </c>
      <c r="N38" s="104">
        <f t="shared" si="9"/>
        <v>0</v>
      </c>
      <c r="O38" s="104">
        <f t="shared" si="9"/>
        <v>5391.3401199999998</v>
      </c>
      <c r="P38" s="104">
        <f t="shared" si="9"/>
        <v>0</v>
      </c>
      <c r="Q38" s="104">
        <f t="shared" si="9"/>
        <v>0</v>
      </c>
      <c r="R38" s="104">
        <f t="shared" si="9"/>
        <v>6269.3839999999991</v>
      </c>
      <c r="S38" s="104">
        <f t="shared" si="9"/>
        <v>7704.5680000000002</v>
      </c>
      <c r="T38" s="104">
        <f t="shared" si="9"/>
        <v>59454.669999999991</v>
      </c>
      <c r="U38" s="104">
        <f t="shared" si="9"/>
        <v>75285.767000000007</v>
      </c>
      <c r="V38" s="104">
        <f t="shared" si="9"/>
        <v>49988.014999999999</v>
      </c>
      <c r="W38" s="104">
        <f t="shared" si="9"/>
        <v>86028.088000000003</v>
      </c>
      <c r="X38" s="104">
        <f t="shared" si="9"/>
        <v>136057.39099999997</v>
      </c>
      <c r="Y38" s="104">
        <f t="shared" si="9"/>
        <v>205807.32599999997</v>
      </c>
      <c r="Z38" s="104">
        <f t="shared" si="9"/>
        <v>182894.87199999997</v>
      </c>
      <c r="AA38" s="104">
        <f t="shared" si="9"/>
        <v>101997.79999999999</v>
      </c>
      <c r="AB38" s="104">
        <f t="shared" si="9"/>
        <v>81491.51400000001</v>
      </c>
      <c r="AC38" s="104">
        <f t="shared" si="9"/>
        <v>65459</v>
      </c>
      <c r="AD38" s="104">
        <f t="shared" si="9"/>
        <v>59604.008999999998</v>
      </c>
      <c r="AE38" s="104">
        <f t="shared" si="9"/>
        <v>21350.894</v>
      </c>
      <c r="AF38" s="104">
        <f t="shared" si="9"/>
        <v>68071.115999999995</v>
      </c>
      <c r="AG38" s="104">
        <f t="shared" si="9"/>
        <v>36593.132000000005</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D39" s="20"/>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384.76799999999997</v>
      </c>
      <c r="K40" s="20"/>
      <c r="L40" s="20"/>
      <c r="M40" s="20">
        <v>470.911</v>
      </c>
      <c r="N40" s="20"/>
      <c r="O40" s="20">
        <v>583.50800000000004</v>
      </c>
      <c r="P40" s="20"/>
      <c r="Q40" s="20"/>
      <c r="R40" s="66">
        <v>624.08699999999999</v>
      </c>
      <c r="S40" s="20">
        <v>795.75800000000004</v>
      </c>
      <c r="T40" s="20">
        <v>23969.655999999999</v>
      </c>
      <c r="U40" s="20">
        <v>22450.031999999999</v>
      </c>
      <c r="V40" s="20">
        <v>15188.962</v>
      </c>
      <c r="W40" s="33">
        <v>25558.06</v>
      </c>
      <c r="X40" s="33">
        <v>42344.743999999999</v>
      </c>
      <c r="Y40" s="33">
        <v>65471.248</v>
      </c>
      <c r="Z40" s="33">
        <v>61361.035000000003</v>
      </c>
      <c r="AA40" s="33">
        <v>37789.082999999999</v>
      </c>
      <c r="AB40" s="33">
        <v>25015.396000000001</v>
      </c>
      <c r="AC40" s="33">
        <v>16095</v>
      </c>
      <c r="AD40" s="20">
        <v>13810.82</v>
      </c>
      <c r="AE40" s="20">
        <v>7262.4440000000004</v>
      </c>
      <c r="AF40" s="20">
        <v>13536.316999999999</v>
      </c>
      <c r="AG40" s="20">
        <v>4288.6480000000001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1324.077</v>
      </c>
      <c r="K41" s="20"/>
      <c r="L41" s="20"/>
      <c r="M41" s="20">
        <v>1205.9839999999999</v>
      </c>
      <c r="N41" s="20"/>
      <c r="O41" s="20">
        <v>1032.3309999999999</v>
      </c>
      <c r="P41" s="20"/>
      <c r="Q41" s="20"/>
      <c r="R41" s="66">
        <v>916.03</v>
      </c>
      <c r="S41" s="20">
        <v>952.10699999999997</v>
      </c>
      <c r="T41" s="20">
        <v>4113.38</v>
      </c>
      <c r="U41" s="20">
        <v>3821.375</v>
      </c>
      <c r="V41" s="20">
        <v>43.881999999999998</v>
      </c>
      <c r="W41" s="33">
        <v>259.31200000000001</v>
      </c>
      <c r="X41" s="33">
        <v>1205.95</v>
      </c>
      <c r="Y41" s="33">
        <v>1993.1949999999999</v>
      </c>
      <c r="Z41" s="33">
        <v>121.181</v>
      </c>
      <c r="AA41" s="33">
        <v>22.917999999999999</v>
      </c>
      <c r="AB41" s="33">
        <v>-1E-3</v>
      </c>
      <c r="AC41" s="33">
        <v>6</v>
      </c>
      <c r="AD41" s="20">
        <v>3729.7759999999998</v>
      </c>
      <c r="AE41" s="20">
        <v>2501.8809999999999</v>
      </c>
      <c r="AF41" s="20">
        <v>3652.922</v>
      </c>
      <c r="AG41" s="20">
        <v>5564.5240000000003</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3.9980000000000002</v>
      </c>
      <c r="K42" s="20"/>
      <c r="L42" s="20"/>
      <c r="M42" s="20">
        <v>6.2320000000000002</v>
      </c>
      <c r="N42" s="20"/>
      <c r="O42" s="20">
        <v>7.7249999999999996</v>
      </c>
      <c r="P42" s="20"/>
      <c r="Q42" s="20"/>
      <c r="R42" s="66">
        <v>7.1660000000000004</v>
      </c>
      <c r="S42" s="20">
        <v>7.516</v>
      </c>
      <c r="T42" s="20">
        <v>14.696999999999999</v>
      </c>
      <c r="U42" s="20">
        <v>4675.0450000000001</v>
      </c>
      <c r="V42" s="20">
        <v>4160.9189999999999</v>
      </c>
      <c r="W42" s="33">
        <v>6422.4229999999998</v>
      </c>
      <c r="X42" s="33">
        <v>12184.638000000001</v>
      </c>
      <c r="Y42" s="33">
        <v>17935.580000000002</v>
      </c>
      <c r="Z42" s="33">
        <v>23358.912</v>
      </c>
      <c r="AA42" s="33">
        <v>8526.8310000000001</v>
      </c>
      <c r="AB42" s="33">
        <v>4434.0569999999998</v>
      </c>
      <c r="AC42" s="33">
        <v>3544</v>
      </c>
      <c r="AD42" s="20">
        <v>2137.2139999999999</v>
      </c>
      <c r="AE42" s="20">
        <v>1857.078</v>
      </c>
      <c r="AF42" s="20">
        <v>2011.0740000000001</v>
      </c>
      <c r="AG42" s="20">
        <v>2339.1019999999999</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73.966999999999999</v>
      </c>
      <c r="K43" s="20"/>
      <c r="L43" s="20"/>
      <c r="M43" s="20">
        <v>214.58699999999999</v>
      </c>
      <c r="N43" s="20"/>
      <c r="O43" s="20">
        <v>355.65600000000001</v>
      </c>
      <c r="P43" s="20"/>
      <c r="Q43" s="20"/>
      <c r="R43" s="66">
        <v>707.88800000000003</v>
      </c>
      <c r="S43" s="20">
        <v>578.10900000000004</v>
      </c>
      <c r="T43" s="20">
        <v>1917.9069999999999</v>
      </c>
      <c r="U43" s="20">
        <v>2662.538</v>
      </c>
      <c r="V43" s="20">
        <v>2983.0749999999998</v>
      </c>
      <c r="W43" s="33">
        <v>5634.0039999999999</v>
      </c>
      <c r="X43" s="33">
        <v>10534.630999999999</v>
      </c>
      <c r="Y43" s="33">
        <v>13425.675999999999</v>
      </c>
      <c r="Z43" s="33">
        <v>9747.848</v>
      </c>
      <c r="AA43" s="33">
        <v>3582.346</v>
      </c>
      <c r="AB43" s="33">
        <v>2024.3320000000001</v>
      </c>
      <c r="AC43" s="33">
        <v>1250</v>
      </c>
      <c r="AD43" s="20">
        <v>-341.71100000000001</v>
      </c>
      <c r="AE43" s="20">
        <v>-150.15100000000001</v>
      </c>
      <c r="AF43" s="20">
        <v>-533.08900000000006</v>
      </c>
      <c r="AG43" s="20">
        <v>-805.02599999999995</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1826.991</v>
      </c>
      <c r="K44" s="20"/>
      <c r="L44" s="20"/>
      <c r="M44" s="20">
        <v>1831.309</v>
      </c>
      <c r="N44" s="20"/>
      <c r="O44" s="20">
        <v>1868.99802</v>
      </c>
      <c r="P44" s="20"/>
      <c r="Q44" s="20"/>
      <c r="R44" s="66">
        <v>2248.672</v>
      </c>
      <c r="S44" s="20">
        <v>3480.7049999999999</v>
      </c>
      <c r="T44" s="20">
        <v>9944.3330000000005</v>
      </c>
      <c r="U44" s="20">
        <v>20412.07</v>
      </c>
      <c r="V44" s="20">
        <v>15327.155000000001</v>
      </c>
      <c r="W44" s="33">
        <v>21022.982</v>
      </c>
      <c r="X44" s="33">
        <v>31723.460999999999</v>
      </c>
      <c r="Y44" s="33">
        <v>51187.527000000002</v>
      </c>
      <c r="Z44" s="33">
        <v>38721.516000000003</v>
      </c>
      <c r="AA44" s="33">
        <v>21283.646000000001</v>
      </c>
      <c r="AB44" s="33">
        <v>25053.16</v>
      </c>
      <c r="AC44" s="33">
        <v>19592</v>
      </c>
      <c r="AD44" s="20">
        <v>20991.612000000001</v>
      </c>
      <c r="AE44" s="20">
        <v>-8520.3080000000009</v>
      </c>
      <c r="AF44" s="20">
        <v>19414.878000000001</v>
      </c>
      <c r="AG44" s="20">
        <v>20279.786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81.936000000000007</v>
      </c>
      <c r="K45" s="20"/>
      <c r="L45" s="20"/>
      <c r="M45" s="20">
        <v>6.7000000000000004E-2</v>
      </c>
      <c r="N45" s="20"/>
      <c r="O45" s="20">
        <v>0</v>
      </c>
      <c r="P45" s="20"/>
      <c r="Q45" s="20"/>
      <c r="R45" s="66">
        <v>78.988</v>
      </c>
      <c r="S45" s="20">
        <v>100.27800000000001</v>
      </c>
      <c r="T45" s="20">
        <v>64.688999999999993</v>
      </c>
      <c r="U45" s="20">
        <v>727.43</v>
      </c>
      <c r="V45" s="20">
        <v>561.52300000000002</v>
      </c>
      <c r="W45" s="33">
        <v>639.851</v>
      </c>
      <c r="X45" s="33">
        <v>1278.0519999999999</v>
      </c>
      <c r="Y45" s="33">
        <v>2089.7919999999999</v>
      </c>
      <c r="Z45" s="33">
        <v>1701.798</v>
      </c>
      <c r="AA45" s="33">
        <v>1230.665</v>
      </c>
      <c r="AB45" s="33">
        <v>1241.444</v>
      </c>
      <c r="AC45" s="33">
        <v>2751</v>
      </c>
      <c r="AD45" s="20">
        <v>2804.6390000000001</v>
      </c>
      <c r="AE45" s="20">
        <v>2680.0010000000002</v>
      </c>
      <c r="AF45" s="20">
        <v>3004.127</v>
      </c>
      <c r="AG45" s="20">
        <v>2730.598</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20.722000000000001</v>
      </c>
      <c r="K46" s="20"/>
      <c r="L46" s="20"/>
      <c r="M46" s="20">
        <v>184.95</v>
      </c>
      <c r="N46" s="20"/>
      <c r="O46" s="20">
        <v>20.896000000000001</v>
      </c>
      <c r="P46" s="20"/>
      <c r="Q46" s="20"/>
      <c r="R46" s="66">
        <v>94.405000000000001</v>
      </c>
      <c r="S46" s="20">
        <v>91.350999999999999</v>
      </c>
      <c r="T46" s="20">
        <v>169.93899999999999</v>
      </c>
      <c r="U46" s="20">
        <v>1373.3340000000001</v>
      </c>
      <c r="V46" s="20">
        <v>1450.701</v>
      </c>
      <c r="W46" s="33">
        <v>3283.1550000000002</v>
      </c>
      <c r="X46" s="33">
        <v>5397.9120000000003</v>
      </c>
      <c r="Y46" s="33">
        <v>7678.97</v>
      </c>
      <c r="Z46" s="33">
        <v>5931.3829999999998</v>
      </c>
      <c r="AA46" s="33">
        <v>3049.6950000000002</v>
      </c>
      <c r="AB46" s="33">
        <v>2036.502</v>
      </c>
      <c r="AC46" s="33">
        <v>1791</v>
      </c>
      <c r="AD46" s="20">
        <v>2152.85</v>
      </c>
      <c r="AE46" s="20">
        <v>2166.29</v>
      </c>
      <c r="AF46" s="20">
        <v>2959.357</v>
      </c>
      <c r="AG46" s="20">
        <v>1813.221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5.19</v>
      </c>
      <c r="K47" s="20"/>
      <c r="L47" s="20"/>
      <c r="M47" s="20">
        <v>7.45</v>
      </c>
      <c r="N47" s="20"/>
      <c r="O47" s="20">
        <v>45.908000000000001</v>
      </c>
      <c r="P47" s="20"/>
      <c r="Q47" s="20"/>
      <c r="R47" s="92">
        <v>59.206000000000003</v>
      </c>
      <c r="S47" s="20">
        <v>25.652000000000001</v>
      </c>
      <c r="T47" s="20">
        <v>8.3610000000000007</v>
      </c>
      <c r="U47" s="20">
        <v>1370.308</v>
      </c>
      <c r="V47" s="20">
        <v>1113.251</v>
      </c>
      <c r="W47" s="33">
        <v>1386.9970000000001</v>
      </c>
      <c r="X47" s="33">
        <v>2501.6610000000001</v>
      </c>
      <c r="Y47" s="33">
        <v>3610.623</v>
      </c>
      <c r="Z47" s="33">
        <v>3245.4270000000001</v>
      </c>
      <c r="AA47" s="33">
        <v>2261.087</v>
      </c>
      <c r="AB47" s="33">
        <v>1173.3240000000001</v>
      </c>
      <c r="AC47" s="33">
        <v>709</v>
      </c>
      <c r="AD47" s="20">
        <v>465.416</v>
      </c>
      <c r="AE47" s="20">
        <v>908.572</v>
      </c>
      <c r="AF47" s="20">
        <v>360.44900000000001</v>
      </c>
      <c r="AG47" s="20">
        <v>369.89800000000002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200.90600000000001</v>
      </c>
      <c r="K48" s="20"/>
      <c r="L48" s="20"/>
      <c r="M48" s="20">
        <v>259.27699999999999</v>
      </c>
      <c r="N48" s="20"/>
      <c r="O48" s="20">
        <v>273.74197999999996</v>
      </c>
      <c r="P48" s="20"/>
      <c r="Q48" s="20"/>
      <c r="R48" s="66">
        <v>369.58300000000003</v>
      </c>
      <c r="S48" s="20">
        <v>449.274</v>
      </c>
      <c r="T48" s="20">
        <v>532.68799999999999</v>
      </c>
      <c r="U48" s="20">
        <v>430.642</v>
      </c>
      <c r="V48" s="20">
        <v>401.84100000000001</v>
      </c>
      <c r="W48" s="33">
        <v>570.65700000000004</v>
      </c>
      <c r="X48" s="33">
        <v>944.28800000000001</v>
      </c>
      <c r="Y48" s="33">
        <v>942.99199999999996</v>
      </c>
      <c r="Z48" s="33">
        <v>722.322</v>
      </c>
      <c r="AA48" s="33">
        <v>1788.575</v>
      </c>
      <c r="AB48" s="33">
        <v>2007.375</v>
      </c>
      <c r="AC48" s="33">
        <v>795</v>
      </c>
      <c r="AD48" s="20">
        <v>-13.058999999999999</v>
      </c>
      <c r="AE48" s="20">
        <v>118.14400000000001</v>
      </c>
      <c r="AF48" s="20">
        <v>806.10599999999999</v>
      </c>
      <c r="AG48" s="20">
        <v>775.30100000000004</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239.43600000000001</v>
      </c>
      <c r="K49" s="20"/>
      <c r="L49" s="20"/>
      <c r="M49" s="20">
        <v>657.654</v>
      </c>
      <c r="N49" s="20"/>
      <c r="O49" s="20">
        <v>878.07</v>
      </c>
      <c r="P49" s="20"/>
      <c r="Q49" s="20"/>
      <c r="R49" s="66">
        <v>1003.891</v>
      </c>
      <c r="S49" s="20">
        <v>960.04100000000005</v>
      </c>
      <c r="T49" s="20">
        <v>15207.32</v>
      </c>
      <c r="U49" s="20">
        <v>11978.397000000001</v>
      </c>
      <c r="V49" s="20">
        <v>5177.3599999999997</v>
      </c>
      <c r="W49" s="33">
        <v>13063.968999999999</v>
      </c>
      <c r="X49" s="33">
        <v>13595.137000000001</v>
      </c>
      <c r="Y49" s="33">
        <v>24590.648000000001</v>
      </c>
      <c r="Z49" s="33">
        <v>24932.581999999999</v>
      </c>
      <c r="AA49" s="33">
        <v>13822.143</v>
      </c>
      <c r="AB49" s="33">
        <v>15180.421</v>
      </c>
      <c r="AC49" s="33">
        <v>16400</v>
      </c>
      <c r="AD49" s="20">
        <v>11201.4</v>
      </c>
      <c r="AE49" s="20">
        <v>8159.0420000000004</v>
      </c>
      <c r="AF49" s="20">
        <v>18797.077000000001</v>
      </c>
      <c r="AG49" s="20">
        <v>7708.5950000000003</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5.47</v>
      </c>
      <c r="N50" s="20"/>
      <c r="O50" s="20">
        <v>89.911119999999997</v>
      </c>
      <c r="P50" s="20"/>
      <c r="Q50" s="20"/>
      <c r="R50" s="66">
        <v>130.96199999999999</v>
      </c>
      <c r="S50" s="20">
        <v>17.684000000000001</v>
      </c>
      <c r="T50" s="20">
        <v>0</v>
      </c>
      <c r="U50" s="20">
        <v>83.504000000000005</v>
      </c>
      <c r="V50" s="20">
        <v>37.286999999999999</v>
      </c>
      <c r="W50" s="33">
        <v>372.87</v>
      </c>
      <c r="X50" s="33">
        <v>392.56</v>
      </c>
      <c r="Y50" s="33">
        <v>407.62900000000002</v>
      </c>
      <c r="Z50" s="33">
        <v>377.78899999999999</v>
      </c>
      <c r="AA50" s="33">
        <v>2939.6280000000002</v>
      </c>
      <c r="AB50" s="33">
        <v>97.528999999999996</v>
      </c>
      <c r="AC50" s="33">
        <v>109</v>
      </c>
      <c r="AD50" s="20">
        <v>116.88500000000001</v>
      </c>
      <c r="AE50" s="20">
        <v>2244.3040000000001</v>
      </c>
      <c r="AF50" s="20">
        <v>3624.9630000000002</v>
      </c>
      <c r="AG50" s="20">
        <v>-8639.6919999999991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28.821000000000002</v>
      </c>
      <c r="K51" s="51"/>
      <c r="L51" s="51"/>
      <c r="M51" s="51">
        <v>7.7009999999999996</v>
      </c>
      <c r="N51" s="51"/>
      <c r="O51" s="51">
        <v>234.595</v>
      </c>
      <c r="P51" s="51"/>
      <c r="Q51" s="51"/>
      <c r="R51" s="67">
        <v>28.506</v>
      </c>
      <c r="S51" s="51">
        <v>246.09299999999999</v>
      </c>
      <c r="T51" s="51">
        <v>3511.7</v>
      </c>
      <c r="U51" s="51">
        <v>5301.0919999999996</v>
      </c>
      <c r="V51" s="51">
        <v>3542.0590000000002</v>
      </c>
      <c r="W51" s="50">
        <v>7813.808</v>
      </c>
      <c r="X51" s="50">
        <v>13954.357</v>
      </c>
      <c r="Y51" s="50">
        <v>16473.446</v>
      </c>
      <c r="Z51" s="50">
        <v>12673.079</v>
      </c>
      <c r="AA51" s="50">
        <v>5701.183</v>
      </c>
      <c r="AB51" s="50">
        <v>3227.9749999999999</v>
      </c>
      <c r="AC51" s="50">
        <v>2417</v>
      </c>
      <c r="AD51" s="51">
        <v>2548.1669999999999</v>
      </c>
      <c r="AE51" s="51">
        <v>2123.5970000000002</v>
      </c>
      <c r="AF51" s="51">
        <v>436.935</v>
      </c>
      <c r="AG51" s="51">
        <v>168.17699999999999</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794.38200000000006</v>
      </c>
      <c r="K52" s="104">
        <f t="shared" si="10"/>
        <v>0</v>
      </c>
      <c r="L52" s="104">
        <f t="shared" si="10"/>
        <v>0</v>
      </c>
      <c r="M52" s="104">
        <f t="shared" si="10"/>
        <v>1147.8609999999999</v>
      </c>
      <c r="N52" s="104">
        <f t="shared" si="10"/>
        <v>0</v>
      </c>
      <c r="O52" s="104">
        <f t="shared" si="10"/>
        <v>1162.258</v>
      </c>
      <c r="P52" s="104">
        <f t="shared" si="10"/>
        <v>0</v>
      </c>
      <c r="Q52" s="104">
        <f t="shared" si="10"/>
        <v>0</v>
      </c>
      <c r="R52" s="104">
        <f t="shared" si="10"/>
        <v>898.70999999999992</v>
      </c>
      <c r="S52" s="104">
        <f t="shared" si="10"/>
        <v>871.28800000000001</v>
      </c>
      <c r="T52" s="104">
        <f t="shared" si="10"/>
        <v>15080.039000000001</v>
      </c>
      <c r="U52" s="104">
        <f t="shared" si="10"/>
        <v>14566.92</v>
      </c>
      <c r="V52" s="104">
        <f t="shared" si="10"/>
        <v>15957.360000000002</v>
      </c>
      <c r="W52" s="104">
        <f t="shared" si="10"/>
        <v>23684.194</v>
      </c>
      <c r="X52" s="104">
        <f t="shared" si="10"/>
        <v>48025.991999999998</v>
      </c>
      <c r="Y52" s="104">
        <f t="shared" si="10"/>
        <v>67027.221000000005</v>
      </c>
      <c r="Z52" s="104">
        <f t="shared" si="10"/>
        <v>49240.358</v>
      </c>
      <c r="AA52" s="104">
        <f t="shared" si="10"/>
        <v>23298.763999999999</v>
      </c>
      <c r="AB52" s="104">
        <f t="shared" si="10"/>
        <v>27621.791000000001</v>
      </c>
      <c r="AC52" s="104">
        <f t="shared" si="10"/>
        <v>27873</v>
      </c>
      <c r="AD52" s="104">
        <f t="shared" si="10"/>
        <v>9399.219000000001</v>
      </c>
      <c r="AE52" s="104">
        <f t="shared" si="10"/>
        <v>12773.882</v>
      </c>
      <c r="AF52" s="104">
        <f t="shared" si="10"/>
        <v>22525.254000000001</v>
      </c>
      <c r="AG52" s="104">
        <f t="shared" si="10"/>
        <v>5935.6260000000002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D53" s="20"/>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20">
        <v>830.93299999999999</v>
      </c>
      <c r="U54" s="20">
        <v>514.21699999999998</v>
      </c>
      <c r="V54" s="20">
        <v>434.404</v>
      </c>
      <c r="W54" s="33">
        <v>1003.921</v>
      </c>
      <c r="X54" s="33">
        <v>2141.971</v>
      </c>
      <c r="Y54" s="33">
        <v>3464.8220000000001</v>
      </c>
      <c r="Z54" s="33">
        <v>2812.473</v>
      </c>
      <c r="AA54" s="33">
        <v>1072.296</v>
      </c>
      <c r="AB54" s="33">
        <v>230.57300000000001</v>
      </c>
      <c r="AC54" s="33">
        <v>197</v>
      </c>
      <c r="AD54" s="20">
        <v>127.639</v>
      </c>
      <c r="AE54" s="20">
        <v>119.289</v>
      </c>
      <c r="AF54" s="20">
        <v>103.06</v>
      </c>
      <c r="AG54" s="20">
        <v>100.616</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52.451999999999998</v>
      </c>
      <c r="K55" s="20"/>
      <c r="L55" s="20"/>
      <c r="M55" s="20">
        <v>42.642000000000003</v>
      </c>
      <c r="N55" s="20"/>
      <c r="O55" s="20">
        <v>50.381</v>
      </c>
      <c r="P55" s="20"/>
      <c r="Q55" s="20"/>
      <c r="R55" s="66">
        <v>102.143</v>
      </c>
      <c r="S55" s="20">
        <v>125.048</v>
      </c>
      <c r="T55" s="20">
        <v>-596.95299999999997</v>
      </c>
      <c r="U55" s="20">
        <v>-148.14699999999999</v>
      </c>
      <c r="V55" s="20">
        <v>131.66200000000001</v>
      </c>
      <c r="W55" s="33">
        <v>-6.16</v>
      </c>
      <c r="X55" s="33">
        <v>118.80800000000001</v>
      </c>
      <c r="Y55" s="33">
        <v>505.815</v>
      </c>
      <c r="Z55" s="33">
        <v>-564.25300000000004</v>
      </c>
      <c r="AA55" s="33">
        <v>-499.79399999999998</v>
      </c>
      <c r="AB55" s="33">
        <v>357.69400000000002</v>
      </c>
      <c r="AC55" s="33">
        <v>594</v>
      </c>
      <c r="AD55" s="20">
        <v>183.53299999999999</v>
      </c>
      <c r="AE55" s="20">
        <v>614.69899999999996</v>
      </c>
      <c r="AF55" s="20">
        <v>788.60500000000002</v>
      </c>
      <c r="AG55" s="20">
        <v>22.635000000000002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81.551000000000002</v>
      </c>
      <c r="K56" s="20"/>
      <c r="L56" s="20"/>
      <c r="M56" s="20">
        <v>439.036</v>
      </c>
      <c r="N56" s="20"/>
      <c r="O56" s="20">
        <v>326.05200000000002</v>
      </c>
      <c r="P56" s="20"/>
      <c r="Q56" s="20"/>
      <c r="R56" s="66">
        <v>2.165</v>
      </c>
      <c r="S56" s="20">
        <v>46.850999999999999</v>
      </c>
      <c r="T56" s="20">
        <v>972.07299999999998</v>
      </c>
      <c r="U56" s="20">
        <v>1436.788</v>
      </c>
      <c r="V56" s="20">
        <v>1916.9690000000001</v>
      </c>
      <c r="W56" s="33">
        <v>3574.8240000000001</v>
      </c>
      <c r="X56" s="33">
        <v>4565.4840000000004</v>
      </c>
      <c r="Y56" s="33">
        <v>7653.44</v>
      </c>
      <c r="Z56" s="33">
        <v>3065.5509999999999</v>
      </c>
      <c r="AA56" s="33">
        <v>-1889.8579999999999</v>
      </c>
      <c r="AB56" s="33">
        <v>3502.105</v>
      </c>
      <c r="AC56" s="33">
        <v>5446</v>
      </c>
      <c r="AD56" s="20">
        <v>1358.81</v>
      </c>
      <c r="AE56" s="20">
        <v>4975.3639999999996</v>
      </c>
      <c r="AF56" s="20">
        <v>8332.9609999999993</v>
      </c>
      <c r="AG56" s="20">
        <v>1814.248</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0</v>
      </c>
      <c r="S57" s="20">
        <v>0</v>
      </c>
      <c r="T57" s="20">
        <v>0</v>
      </c>
      <c r="U57" s="20">
        <v>0</v>
      </c>
      <c r="V57" s="20">
        <v>0</v>
      </c>
      <c r="W57" s="33">
        <v>0</v>
      </c>
      <c r="X57" s="33">
        <v>0</v>
      </c>
      <c r="Y57" s="33">
        <v>0</v>
      </c>
      <c r="Z57" s="33">
        <v>0</v>
      </c>
      <c r="AA57" s="33">
        <v>0</v>
      </c>
      <c r="AB57" s="33">
        <v>0</v>
      </c>
      <c r="AC57" s="33">
        <v>0</v>
      </c>
      <c r="AD57" s="20">
        <v>0</v>
      </c>
      <c r="AE57" s="20">
        <v>0</v>
      </c>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138.465</v>
      </c>
      <c r="K58" s="20"/>
      <c r="L58" s="20"/>
      <c r="M58" s="20">
        <v>174.292</v>
      </c>
      <c r="N58" s="20"/>
      <c r="O58" s="20">
        <v>91.519000000000005</v>
      </c>
      <c r="P58" s="20"/>
      <c r="Q58" s="20"/>
      <c r="R58" s="92">
        <v>383.03</v>
      </c>
      <c r="S58" s="20">
        <v>301.69499999999999</v>
      </c>
      <c r="T58" s="20">
        <v>5663.2539999999999</v>
      </c>
      <c r="U58" s="20">
        <v>3218.3229999999999</v>
      </c>
      <c r="V58" s="20">
        <v>2000.604</v>
      </c>
      <c r="W58" s="33">
        <v>4304.7579999999998</v>
      </c>
      <c r="X58" s="33">
        <v>8533.2440000000006</v>
      </c>
      <c r="Y58" s="33">
        <v>11883.909</v>
      </c>
      <c r="Z58" s="33">
        <v>8577.4850000000006</v>
      </c>
      <c r="AA58" s="33">
        <v>4594.8710000000001</v>
      </c>
      <c r="AB58" s="33">
        <v>3173.4989999999998</v>
      </c>
      <c r="AC58" s="33">
        <v>2369</v>
      </c>
      <c r="AD58" s="20">
        <v>1140.663</v>
      </c>
      <c r="AE58" s="20">
        <v>1802.865</v>
      </c>
      <c r="AF58" s="20">
        <v>2355.5650000000001</v>
      </c>
      <c r="AG58" s="20">
        <v>1276.777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380.02300000000002</v>
      </c>
      <c r="K59" s="20"/>
      <c r="L59" s="20"/>
      <c r="M59" s="20">
        <v>432.33800000000002</v>
      </c>
      <c r="N59" s="20"/>
      <c r="O59" s="20">
        <v>611.77800000000002</v>
      </c>
      <c r="P59" s="20"/>
      <c r="Q59" s="20"/>
      <c r="R59" s="92">
        <v>302.05399999999997</v>
      </c>
      <c r="S59" s="20">
        <v>7.81</v>
      </c>
      <c r="T59" s="20">
        <v>5707.8909999999996</v>
      </c>
      <c r="U59" s="20">
        <v>8365.875</v>
      </c>
      <c r="V59" s="20">
        <v>10247.727000000001</v>
      </c>
      <c r="W59" s="33">
        <v>11200.316999999999</v>
      </c>
      <c r="X59" s="33">
        <v>20880.816999999999</v>
      </c>
      <c r="Y59" s="33">
        <v>28198.488000000001</v>
      </c>
      <c r="Z59" s="33">
        <v>20991.465</v>
      </c>
      <c r="AA59" s="33">
        <v>13256.746999999999</v>
      </c>
      <c r="AB59" s="33">
        <v>14567.909</v>
      </c>
      <c r="AC59" s="33">
        <v>14021</v>
      </c>
      <c r="AD59" s="20">
        <v>3062.26</v>
      </c>
      <c r="AE59" s="20">
        <v>1675.9190000000001</v>
      </c>
      <c r="AF59" s="20">
        <v>6087.0659999999998</v>
      </c>
      <c r="AG59" s="20">
        <v>-33.372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19.600000000000001</v>
      </c>
      <c r="K60" s="20"/>
      <c r="L60" s="20"/>
      <c r="M60" s="20">
        <v>55.637</v>
      </c>
      <c r="N60" s="20"/>
      <c r="O60" s="20">
        <v>76.227999999999994</v>
      </c>
      <c r="P60" s="20"/>
      <c r="Q60" s="20"/>
      <c r="R60" s="66">
        <v>96.418000000000006</v>
      </c>
      <c r="S60" s="20">
        <v>374.78699999999998</v>
      </c>
      <c r="T60" s="20">
        <v>2264.5210000000002</v>
      </c>
      <c r="U60" s="20">
        <v>951.25800000000004</v>
      </c>
      <c r="V60" s="20">
        <v>1045.3340000000001</v>
      </c>
      <c r="W60" s="33">
        <v>3321.1120000000001</v>
      </c>
      <c r="X60" s="33">
        <v>11226.925999999999</v>
      </c>
      <c r="Y60" s="33">
        <v>14575.171</v>
      </c>
      <c r="Z60" s="33">
        <v>13836.223</v>
      </c>
      <c r="AA60" s="33">
        <v>6182.27</v>
      </c>
      <c r="AB60" s="33">
        <v>5615.183</v>
      </c>
      <c r="AC60" s="33">
        <v>4575</v>
      </c>
      <c r="AD60" s="20">
        <v>3207.857</v>
      </c>
      <c r="AE60" s="20">
        <v>2332.0439999999999</v>
      </c>
      <c r="AF60" s="20">
        <v>3567.038</v>
      </c>
      <c r="AG60" s="20">
        <v>2488.5709999999999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20">
        <v>135.989</v>
      </c>
      <c r="U61" s="20">
        <v>127.929</v>
      </c>
      <c r="V61" s="20">
        <v>81.823999999999998</v>
      </c>
      <c r="W61" s="33">
        <v>135.69399999999999</v>
      </c>
      <c r="X61" s="33">
        <v>317.971</v>
      </c>
      <c r="Y61" s="33">
        <v>495.077</v>
      </c>
      <c r="Z61" s="33">
        <v>349.06400000000002</v>
      </c>
      <c r="AA61" s="33">
        <v>149.15600000000001</v>
      </c>
      <c r="AB61" s="33">
        <v>57.859000000000002</v>
      </c>
      <c r="AC61" s="33">
        <v>113</v>
      </c>
      <c r="AD61" s="20">
        <v>97.114999999999995</v>
      </c>
      <c r="AE61" s="20">
        <v>120.515</v>
      </c>
      <c r="AF61" s="20">
        <v>103.584</v>
      </c>
      <c r="AG61" s="20">
        <v>110.798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122.291</v>
      </c>
      <c r="K62" s="51"/>
      <c r="L62" s="51"/>
      <c r="M62" s="51">
        <v>3.9159999999999999</v>
      </c>
      <c r="N62" s="51"/>
      <c r="O62" s="51">
        <v>6.3</v>
      </c>
      <c r="P62" s="51"/>
      <c r="Q62" s="51"/>
      <c r="R62" s="67">
        <v>12.9</v>
      </c>
      <c r="S62" s="51">
        <v>15.097</v>
      </c>
      <c r="T62" s="51">
        <v>102.331</v>
      </c>
      <c r="U62" s="51">
        <v>100.67700000000001</v>
      </c>
      <c r="V62" s="51">
        <v>98.835999999999999</v>
      </c>
      <c r="W62" s="50">
        <v>149.72800000000001</v>
      </c>
      <c r="X62" s="50">
        <v>240.77099999999999</v>
      </c>
      <c r="Y62" s="50">
        <v>250.499</v>
      </c>
      <c r="Z62" s="50">
        <v>172.35</v>
      </c>
      <c r="AA62" s="50">
        <v>433.07600000000002</v>
      </c>
      <c r="AB62" s="50">
        <v>116.96899999999999</v>
      </c>
      <c r="AC62" s="50">
        <v>558</v>
      </c>
      <c r="AD62" s="20">
        <v>221.34200000000001</v>
      </c>
      <c r="AE62" s="20">
        <v>1133.1869999999999</v>
      </c>
      <c r="AF62" s="51">
        <v>1187.375</v>
      </c>
      <c r="AG62" s="51">
        <v>155.35300000000001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v>0</v>
      </c>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8"/>
  </sheetPr>
  <dimension ref="A1:HB92"/>
  <sheetViews>
    <sheetView zoomScaleNormal="100" workbookViewId="0">
      <pane xSplit="1" ySplit="3" topLeftCell="U4" activePane="bottomRight" state="frozen"/>
      <selection activeCell="O44" sqref="O44"/>
      <selection pane="topRight" activeCell="O44" sqref="O44"/>
      <selection pane="bottomLeft" activeCell="O44" sqref="O44"/>
      <selection pane="bottomRight" activeCell="AI11" sqref="AI11"/>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1.7109375" style="13" bestFit="1" customWidth="1"/>
    <col min="33" max="33" width="11.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84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12">
        <f>74737+45998+296533+2555</f>
        <v>419823</v>
      </c>
      <c r="C4" s="12">
        <f>70426+47115+315687+11355</f>
        <v>444583</v>
      </c>
      <c r="D4" s="12">
        <f>62490+57414+320772+15210</f>
        <v>455886</v>
      </c>
      <c r="E4" s="12"/>
      <c r="F4" s="12"/>
      <c r="G4" s="12"/>
      <c r="H4" s="12"/>
      <c r="I4" s="12">
        <f>104505.919+79485.164+516955.556+23667.075+92536</f>
        <v>817149.71399999992</v>
      </c>
      <c r="J4" s="98">
        <f>+J5+J23+J38+J52+J63</f>
        <v>728148.99499999988</v>
      </c>
      <c r="K4" s="69">
        <f>105249.874+126372.827+518035.901+29338.468</f>
        <v>778997.07</v>
      </c>
      <c r="L4" s="69">
        <f>108550.968+141076.109+588594.278+20028.751</f>
        <v>858250.10600000003</v>
      </c>
      <c r="M4" s="98">
        <f>+M5+M23+M38+M52+M63</f>
        <v>862991.39599999995</v>
      </c>
      <c r="N4" s="69">
        <f>89357.407+148916.949+705462.95+10447.278</f>
        <v>954184.58400000003</v>
      </c>
      <c r="O4" s="98">
        <f>+O5+O23+O38+O52+O63</f>
        <v>1016647.9479500001</v>
      </c>
      <c r="P4" s="12"/>
      <c r="Q4" s="12"/>
      <c r="R4" s="98">
        <f t="shared" ref="R4:AA4" si="0">+R5+R23+R38+R52+R63</f>
        <v>1177443.7220000001</v>
      </c>
      <c r="S4" s="98">
        <f t="shared" si="0"/>
        <v>1356132.1939999999</v>
      </c>
      <c r="T4" s="98">
        <f t="shared" si="0"/>
        <v>1436418.8420000002</v>
      </c>
      <c r="U4" s="98">
        <f t="shared" si="0"/>
        <v>1284520.0999999999</v>
      </c>
      <c r="V4" s="98">
        <f t="shared" si="0"/>
        <v>1283966.0109999999</v>
      </c>
      <c r="W4" s="98">
        <f t="shared" si="0"/>
        <v>1252685.6769999999</v>
      </c>
      <c r="X4" s="98">
        <f t="shared" si="0"/>
        <v>1313950.1760000002</v>
      </c>
      <c r="Y4" s="98">
        <f t="shared" si="0"/>
        <v>1477257.4620000001</v>
      </c>
      <c r="Z4" s="98">
        <f t="shared" si="0"/>
        <v>1659723.311</v>
      </c>
      <c r="AA4" s="98">
        <f t="shared" si="0"/>
        <v>1543521.7140000002</v>
      </c>
      <c r="AB4" s="98">
        <f t="shared" ref="AB4:AC4" si="1">+AB5+AB23+AB38+AB52+AB63</f>
        <v>2031087.5619999999</v>
      </c>
      <c r="AC4" s="98">
        <f t="shared" si="1"/>
        <v>2141998</v>
      </c>
      <c r="AD4" s="98">
        <f t="shared" ref="AD4:AE4" si="2">+AD5+AD23+AD38+AD52+AD63</f>
        <v>2074314.96</v>
      </c>
      <c r="AE4" s="98">
        <f t="shared" si="2"/>
        <v>2121920.304</v>
      </c>
      <c r="AF4" s="98">
        <f t="shared" ref="AF4:AG4" si="3">+AF5+AF23+AF38+AF52+AF63</f>
        <v>1417054.25</v>
      </c>
      <c r="AG4" s="98">
        <f t="shared" si="3"/>
        <v>1596140.7820000001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114371</v>
      </c>
      <c r="C5" s="101">
        <f t="shared" ref="C5:AA5" si="4">SUM(C7:C22)</f>
        <v>117292</v>
      </c>
      <c r="D5" s="101">
        <f t="shared" si="4"/>
        <v>117695</v>
      </c>
      <c r="E5" s="101">
        <f t="shared" si="4"/>
        <v>0</v>
      </c>
      <c r="F5" s="101">
        <f t="shared" si="4"/>
        <v>0</v>
      </c>
      <c r="G5" s="101">
        <f t="shared" si="4"/>
        <v>0</v>
      </c>
      <c r="H5" s="101">
        <f t="shared" si="4"/>
        <v>0</v>
      </c>
      <c r="I5" s="101">
        <f t="shared" si="4"/>
        <v>181299.56900000002</v>
      </c>
      <c r="J5" s="101">
        <f t="shared" si="4"/>
        <v>183473.26099999997</v>
      </c>
      <c r="K5" s="101">
        <f t="shared" si="4"/>
        <v>191398.12699999998</v>
      </c>
      <c r="L5" s="101">
        <f t="shared" si="4"/>
        <v>197354.51199999999</v>
      </c>
      <c r="M5" s="101">
        <f t="shared" si="4"/>
        <v>191623.981</v>
      </c>
      <c r="N5" s="101">
        <f t="shared" si="4"/>
        <v>234274.69999999995</v>
      </c>
      <c r="O5" s="101">
        <f t="shared" si="4"/>
        <v>254794.85676000002</v>
      </c>
      <c r="P5" s="101">
        <f t="shared" si="4"/>
        <v>0</v>
      </c>
      <c r="Q5" s="101">
        <f t="shared" si="4"/>
        <v>0</v>
      </c>
      <c r="R5" s="101">
        <f t="shared" si="4"/>
        <v>293490.16499999998</v>
      </c>
      <c r="S5" s="101">
        <f t="shared" si="4"/>
        <v>333922.53599999996</v>
      </c>
      <c r="T5" s="101">
        <f t="shared" si="4"/>
        <v>518543.46299999999</v>
      </c>
      <c r="U5" s="101">
        <f t="shared" si="4"/>
        <v>523158.49</v>
      </c>
      <c r="V5" s="101">
        <f t="shared" si="4"/>
        <v>385763.43</v>
      </c>
      <c r="W5" s="101">
        <f t="shared" si="4"/>
        <v>294980.228</v>
      </c>
      <c r="X5" s="101">
        <f t="shared" si="4"/>
        <v>275773.87899999996</v>
      </c>
      <c r="Y5" s="101">
        <f t="shared" si="4"/>
        <v>346434.46800000005</v>
      </c>
      <c r="Z5" s="101">
        <f t="shared" si="4"/>
        <v>466171.26500000001</v>
      </c>
      <c r="AA5" s="101">
        <f t="shared" si="4"/>
        <v>410302.96500000003</v>
      </c>
      <c r="AB5" s="101">
        <f t="shared" ref="AB5:AC5" si="5">SUM(AB7:AB22)</f>
        <v>614290.23900000006</v>
      </c>
      <c r="AC5" s="101">
        <f t="shared" si="5"/>
        <v>614633</v>
      </c>
      <c r="AD5" s="101">
        <f t="shared" ref="AD5:AE5" si="6">SUM(AD7:AD22)</f>
        <v>563891.57400000002</v>
      </c>
      <c r="AE5" s="101">
        <f t="shared" si="6"/>
        <v>513866.50100000005</v>
      </c>
      <c r="AF5" s="101">
        <f t="shared" ref="AF5:AG5" si="7">SUM(AF7:AF22)</f>
        <v>312941.84399999998</v>
      </c>
      <c r="AG5" s="101">
        <f t="shared" si="7"/>
        <v>400548.49800000002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2461+493+1908</f>
        <v>4862</v>
      </c>
      <c r="C7" s="12">
        <f>594+1322+3857+0</f>
        <v>5773</v>
      </c>
      <c r="D7" s="12">
        <f>1890+2562+2966+0</f>
        <v>7418</v>
      </c>
      <c r="E7" s="12"/>
      <c r="F7" s="12"/>
      <c r="G7" s="12"/>
      <c r="H7" s="12"/>
      <c r="I7" s="12">
        <f>3620.534+1460.456+3815.598+4.534</f>
        <v>8901.1219999999994</v>
      </c>
      <c r="J7" s="32">
        <v>9509.6560000000009</v>
      </c>
      <c r="K7" s="12">
        <f>5483.396+1165.405+4032.577</f>
        <v>10681.378000000001</v>
      </c>
      <c r="L7" s="12">
        <f>12197.695+1403.998+5678.076</f>
        <v>19279.769</v>
      </c>
      <c r="M7" s="12">
        <v>9302.8590000000004</v>
      </c>
      <c r="N7" s="12">
        <f>0+1384.191+8698.154+0</f>
        <v>10082.345000000001</v>
      </c>
      <c r="O7" s="12">
        <v>8734.7492899999997</v>
      </c>
      <c r="P7" s="12"/>
      <c r="Q7" s="12"/>
      <c r="R7" s="44">
        <v>10644.437</v>
      </c>
      <c r="S7" s="12">
        <v>14534.955</v>
      </c>
      <c r="T7" s="82">
        <v>18893.192999999999</v>
      </c>
      <c r="U7" s="12">
        <v>17965.582999999999</v>
      </c>
      <c r="V7" s="12">
        <v>9001.1630000000005</v>
      </c>
      <c r="W7" s="32">
        <v>9791.6389999999992</v>
      </c>
      <c r="X7" s="32">
        <v>12227.656000000001</v>
      </c>
      <c r="Y7" s="32">
        <v>11038.377</v>
      </c>
      <c r="Z7" s="32">
        <v>12521.495999999999</v>
      </c>
      <c r="AA7" s="32">
        <v>13173.084999999999</v>
      </c>
      <c r="AB7" s="32">
        <v>11655.953</v>
      </c>
      <c r="AC7" s="32">
        <v>12416</v>
      </c>
      <c r="AD7" s="12">
        <v>16016.107</v>
      </c>
      <c r="AE7" s="12">
        <v>14015.38</v>
      </c>
      <c r="AF7" s="12">
        <v>11225.647000000001</v>
      </c>
      <c r="AG7" s="12">
        <v>12083.031999999999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234+753</f>
        <v>987</v>
      </c>
      <c r="C8" s="12">
        <f>0+387+878+0</f>
        <v>1265</v>
      </c>
      <c r="D8" s="12">
        <f>0+410+925+0</f>
        <v>1335</v>
      </c>
      <c r="E8" s="12"/>
      <c r="F8" s="12"/>
      <c r="G8" s="12"/>
      <c r="H8" s="12"/>
      <c r="I8" s="12">
        <f>149.996+189.864+1164.098+0</f>
        <v>1503.9580000000001</v>
      </c>
      <c r="J8" s="32">
        <v>1794.721</v>
      </c>
      <c r="K8" s="12">
        <f>19.713+302.394+1507.495</f>
        <v>1829.6019999999999</v>
      </c>
      <c r="L8" s="12">
        <f>22.008+408.142+1537.885</f>
        <v>1968.0349999999999</v>
      </c>
      <c r="M8" s="12">
        <v>2956.6579999999999</v>
      </c>
      <c r="N8" s="12">
        <f>32.724+531.703+2108.681+0</f>
        <v>2673.1080000000002</v>
      </c>
      <c r="O8" s="12">
        <v>3299.0610000000001</v>
      </c>
      <c r="P8" s="12"/>
      <c r="Q8" s="12"/>
      <c r="R8" s="63">
        <v>5191.1660000000002</v>
      </c>
      <c r="S8" s="12">
        <v>13870.290999999999</v>
      </c>
      <c r="T8" s="82">
        <v>14304.239</v>
      </c>
      <c r="U8" s="12">
        <v>4311.4390000000003</v>
      </c>
      <c r="V8" s="12">
        <v>8107.799</v>
      </c>
      <c r="W8" s="32">
        <v>7914.9290000000001</v>
      </c>
      <c r="X8" s="32">
        <v>9396.6190000000006</v>
      </c>
      <c r="Y8" s="32">
        <v>13769.107</v>
      </c>
      <c r="Z8" s="32">
        <v>14689.446</v>
      </c>
      <c r="AA8" s="32">
        <v>28222.73</v>
      </c>
      <c r="AB8" s="32">
        <v>22665.433000000001</v>
      </c>
      <c r="AC8" s="32">
        <v>8950</v>
      </c>
      <c r="AD8" s="12">
        <v>9699.6779999999999</v>
      </c>
      <c r="AE8" s="12">
        <v>6988.8010000000004</v>
      </c>
      <c r="AF8" s="12">
        <v>4303.3280000000004</v>
      </c>
      <c r="AG8" s="12">
        <v>6375.4830000000002</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0+0+0+0</f>
        <v>0</v>
      </c>
      <c r="E9" s="12"/>
      <c r="F9" s="12"/>
      <c r="G9" s="12"/>
      <c r="H9" s="12"/>
      <c r="I9" s="12">
        <v>101.09</v>
      </c>
      <c r="J9" s="32">
        <v>0</v>
      </c>
      <c r="K9" s="12"/>
      <c r="L9" s="12"/>
      <c r="M9" s="12">
        <v>1982.5</v>
      </c>
      <c r="N9" s="12">
        <f>0+0+0+0</f>
        <v>0</v>
      </c>
      <c r="O9" s="12">
        <v>0</v>
      </c>
      <c r="P9" s="12"/>
      <c r="Q9" s="12"/>
      <c r="R9" s="63">
        <v>0</v>
      </c>
      <c r="S9" s="61">
        <v>0</v>
      </c>
      <c r="T9" s="83">
        <v>0</v>
      </c>
      <c r="U9" s="61">
        <v>0</v>
      </c>
      <c r="V9" s="61">
        <v>7.3999999999999996E-2</v>
      </c>
      <c r="W9" s="32">
        <v>0</v>
      </c>
      <c r="X9" s="32">
        <v>0</v>
      </c>
      <c r="Y9" s="32">
        <v>0</v>
      </c>
      <c r="Z9" s="32">
        <v>0</v>
      </c>
      <c r="AA9" s="32">
        <v>0</v>
      </c>
      <c r="AB9" s="32">
        <v>0</v>
      </c>
      <c r="AC9" s="32">
        <v>1276</v>
      </c>
      <c r="AD9" s="12">
        <v>8458.31</v>
      </c>
      <c r="AE9" s="12">
        <v>19.998999999999999</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2876+3509+11049</f>
        <v>17434</v>
      </c>
      <c r="C10" s="12">
        <f>1888+3558+12933+0</f>
        <v>18379</v>
      </c>
      <c r="D10" s="12">
        <f>1793+2953+9975+0</f>
        <v>14721</v>
      </c>
      <c r="E10" s="12"/>
      <c r="F10" s="12"/>
      <c r="G10" s="12"/>
      <c r="H10" s="12"/>
      <c r="I10" s="12">
        <f>1912.855+4482.514+23247.455+14.992</f>
        <v>29657.815999999999</v>
      </c>
      <c r="J10" s="32">
        <v>23011.550999999999</v>
      </c>
      <c r="K10" s="12">
        <f>359.779+5126.467+17494.727</f>
        <v>22980.972999999998</v>
      </c>
      <c r="L10" s="12">
        <f>384.437+5133.99+21754.056</f>
        <v>27272.483</v>
      </c>
      <c r="M10" s="12">
        <v>26271.228999999999</v>
      </c>
      <c r="N10" s="12">
        <f>1085.298+6572.158+41307.792+0</f>
        <v>48965.248</v>
      </c>
      <c r="O10" s="12">
        <v>53773.822999999997</v>
      </c>
      <c r="P10" s="12"/>
      <c r="Q10" s="12"/>
      <c r="R10" s="63">
        <v>42808.696000000004</v>
      </c>
      <c r="S10" s="12">
        <v>56925.644</v>
      </c>
      <c r="T10" s="82">
        <v>34984.076999999997</v>
      </c>
      <c r="U10" s="12">
        <v>36948.934000000001</v>
      </c>
      <c r="V10" s="12">
        <v>31947.135999999999</v>
      </c>
      <c r="W10" s="32">
        <v>46183.891000000003</v>
      </c>
      <c r="X10" s="32">
        <v>32987.269999999997</v>
      </c>
      <c r="Y10" s="32">
        <v>36264.194000000003</v>
      </c>
      <c r="Z10" s="32">
        <v>34663.521999999997</v>
      </c>
      <c r="AA10" s="32">
        <v>24914.395</v>
      </c>
      <c r="AB10" s="32">
        <v>124471.586</v>
      </c>
      <c r="AC10" s="32">
        <v>121809</v>
      </c>
      <c r="AD10" s="12">
        <v>41685.218000000001</v>
      </c>
      <c r="AE10" s="12">
        <v>68405.803</v>
      </c>
      <c r="AF10" s="12">
        <v>23713.956999999999</v>
      </c>
      <c r="AG10" s="12">
        <v>74084.744000000006</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1164+940</f>
        <v>2104</v>
      </c>
      <c r="C11" s="12">
        <f>0+939+1440+0</f>
        <v>2379</v>
      </c>
      <c r="D11" s="12">
        <f>0+1053+1456+0</f>
        <v>2509</v>
      </c>
      <c r="E11" s="12"/>
      <c r="F11" s="12"/>
      <c r="G11" s="12"/>
      <c r="H11" s="12"/>
      <c r="I11" s="12">
        <f>9189.731+1279.53+6189.019+185.683</f>
        <v>16843.963</v>
      </c>
      <c r="J11" s="32">
        <v>26664.028999999999</v>
      </c>
      <c r="K11" s="12">
        <f>1513.44+2710.24+10155.017</f>
        <v>14378.697</v>
      </c>
      <c r="L11" s="12">
        <f>1937.312+4722.17+9756.458</f>
        <v>16415.940000000002</v>
      </c>
      <c r="M11" s="12">
        <v>18368.241999999998</v>
      </c>
      <c r="N11" s="12">
        <f>1413.913+3785.015+8486.347+0</f>
        <v>13685.275</v>
      </c>
      <c r="O11" s="12">
        <v>15143.01074</v>
      </c>
      <c r="P11" s="12"/>
      <c r="Q11" s="12"/>
      <c r="R11" s="63">
        <v>18516.663</v>
      </c>
      <c r="S11" s="12">
        <v>18457.941999999999</v>
      </c>
      <c r="T11" s="82">
        <v>20480.487000000001</v>
      </c>
      <c r="U11" s="12">
        <v>20534.769</v>
      </c>
      <c r="V11" s="12">
        <v>14300.089</v>
      </c>
      <c r="W11" s="32">
        <v>16320.941999999999</v>
      </c>
      <c r="X11" s="32">
        <v>26900.458999999999</v>
      </c>
      <c r="Y11" s="32">
        <v>22572.307000000001</v>
      </c>
      <c r="Z11" s="32">
        <v>37716.730000000003</v>
      </c>
      <c r="AA11" s="32">
        <v>8438.6440000000002</v>
      </c>
      <c r="AB11" s="32">
        <v>85149.164000000004</v>
      </c>
      <c r="AC11" s="32">
        <v>54818</v>
      </c>
      <c r="AD11" s="12">
        <v>81286.815000000002</v>
      </c>
      <c r="AE11" s="12">
        <v>31886.692999999999</v>
      </c>
      <c r="AF11" s="12">
        <v>2890.6689999999999</v>
      </c>
      <c r="AG11" s="12">
        <v>15482.703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66</v>
      </c>
      <c r="C12" s="12">
        <f>0+92+130</f>
        <v>222</v>
      </c>
      <c r="D12" s="12">
        <f>0+310+81+0</f>
        <v>391</v>
      </c>
      <c r="E12" s="12"/>
      <c r="F12" s="12"/>
      <c r="G12" s="12"/>
      <c r="H12" s="12"/>
      <c r="I12" s="12">
        <f>0+1046.409+0+0</f>
        <v>1046.4090000000001</v>
      </c>
      <c r="J12" s="32">
        <v>1150.01</v>
      </c>
      <c r="K12" s="12">
        <f>1518.325+978.065</f>
        <v>2496.3900000000003</v>
      </c>
      <c r="L12" s="12">
        <f>1650.069+20.424</f>
        <v>1670.4929999999999</v>
      </c>
      <c r="M12" s="12">
        <v>1882.115</v>
      </c>
      <c r="N12" s="12">
        <f>0+1953.235+13.595+0</f>
        <v>1966.83</v>
      </c>
      <c r="O12" s="12">
        <v>2324.0540000000001</v>
      </c>
      <c r="P12" s="12"/>
      <c r="Q12" s="12"/>
      <c r="R12" s="34">
        <v>7143.7759999999998</v>
      </c>
      <c r="S12" s="12">
        <v>5517.027</v>
      </c>
      <c r="T12" s="82">
        <v>4.4020000000000001</v>
      </c>
      <c r="U12" s="12">
        <v>329.99900000000002</v>
      </c>
      <c r="V12" s="12">
        <v>221.07900000000001</v>
      </c>
      <c r="W12" s="32">
        <v>8941.6740000000009</v>
      </c>
      <c r="X12" s="32">
        <v>11948.433999999999</v>
      </c>
      <c r="Y12" s="32">
        <v>19622.768</v>
      </c>
      <c r="Z12" s="32">
        <v>31512.864000000001</v>
      </c>
      <c r="AA12" s="32">
        <v>61884.19</v>
      </c>
      <c r="AB12" s="32">
        <v>54525.781999999999</v>
      </c>
      <c r="AC12" s="32">
        <v>50650</v>
      </c>
      <c r="AD12" s="12">
        <v>49602.909</v>
      </c>
      <c r="AE12" s="12">
        <v>72396.948000000004</v>
      </c>
      <c r="AF12" s="12">
        <v>20080.52</v>
      </c>
      <c r="AG12" s="12">
        <v>21205.159</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8+324</f>
        <v>332</v>
      </c>
      <c r="C13" s="12">
        <f>0+17+331+0</f>
        <v>348</v>
      </c>
      <c r="D13" s="12">
        <f>0+23+347+0</f>
        <v>370</v>
      </c>
      <c r="E13" s="12"/>
      <c r="F13" s="12"/>
      <c r="G13" s="12"/>
      <c r="H13" s="12"/>
      <c r="I13" s="12">
        <f>0+97.937+564.503+0</f>
        <v>662.44</v>
      </c>
      <c r="J13" s="32">
        <v>696.34699999999998</v>
      </c>
      <c r="K13" s="12">
        <f>71.824+704.464</f>
        <v>776.28800000000001</v>
      </c>
      <c r="L13" s="12">
        <f>321.771+19.665+2210.98</f>
        <v>2552.4160000000002</v>
      </c>
      <c r="M13" s="12">
        <v>2059.7139999999999</v>
      </c>
      <c r="N13" s="12">
        <f>0.399+731.629+3544.413+0</f>
        <v>4276.4409999999998</v>
      </c>
      <c r="O13" s="12">
        <v>10350.42367</v>
      </c>
      <c r="P13" s="12"/>
      <c r="Q13" s="12"/>
      <c r="R13" s="34">
        <v>8698.51</v>
      </c>
      <c r="S13" s="12">
        <v>2677.2530000000002</v>
      </c>
      <c r="T13" s="82">
        <v>23676.281999999999</v>
      </c>
      <c r="U13" s="12">
        <v>22919.953000000001</v>
      </c>
      <c r="V13" s="12">
        <v>8759.4480000000003</v>
      </c>
      <c r="W13" s="32">
        <v>8336.7379999999994</v>
      </c>
      <c r="X13" s="32">
        <v>8888.2250000000004</v>
      </c>
      <c r="Y13" s="32">
        <v>17286.921999999999</v>
      </c>
      <c r="Z13" s="32">
        <v>20534.312000000002</v>
      </c>
      <c r="AA13" s="32">
        <v>6576.3130000000001</v>
      </c>
      <c r="AB13" s="32">
        <v>18061.594000000001</v>
      </c>
      <c r="AC13" s="32">
        <v>33906</v>
      </c>
      <c r="AD13" s="12">
        <v>16789.521000000001</v>
      </c>
      <c r="AE13" s="12">
        <v>10363.582</v>
      </c>
      <c r="AF13" s="12">
        <v>13385.286</v>
      </c>
      <c r="AG13" s="12">
        <v>9844.7019999999993</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152+170+5401</f>
        <v>5723</v>
      </c>
      <c r="C14" s="12">
        <f>160+216+3908+1750</f>
        <v>6034</v>
      </c>
      <c r="D14" s="12">
        <f>161+148+4490+1816</f>
        <v>6615</v>
      </c>
      <c r="E14" s="12"/>
      <c r="F14" s="12"/>
      <c r="G14" s="12"/>
      <c r="H14" s="12"/>
      <c r="I14" s="12">
        <f>3912.034+0+10407.448+0</f>
        <v>14319.482</v>
      </c>
      <c r="J14" s="32">
        <v>8531.3279999999995</v>
      </c>
      <c r="K14" s="12">
        <f>1872.917+9861.494</f>
        <v>11734.411</v>
      </c>
      <c r="L14" s="12">
        <f>2119.858+9884.362</f>
        <v>12004.22</v>
      </c>
      <c r="M14" s="12">
        <v>8868.6980000000003</v>
      </c>
      <c r="N14" s="12">
        <f>1303.367+65.13+16243.795+0</f>
        <v>17612.292000000001</v>
      </c>
      <c r="O14" s="12">
        <v>19157.468000000001</v>
      </c>
      <c r="P14" s="12"/>
      <c r="Q14" s="12"/>
      <c r="R14" s="34">
        <v>15474.745000000001</v>
      </c>
      <c r="S14" s="12">
        <v>17070.004000000001</v>
      </c>
      <c r="T14" s="82">
        <v>18116.121999999999</v>
      </c>
      <c r="U14" s="12">
        <v>34276.909</v>
      </c>
      <c r="V14" s="12">
        <v>40808.525999999998</v>
      </c>
      <c r="W14" s="32">
        <v>32221.08</v>
      </c>
      <c r="X14" s="32">
        <v>27371.168000000001</v>
      </c>
      <c r="Y14" s="32">
        <v>45349.822999999997</v>
      </c>
      <c r="Z14" s="32">
        <v>57113.474000000002</v>
      </c>
      <c r="AA14" s="32">
        <v>35850.735000000001</v>
      </c>
      <c r="AB14" s="32">
        <v>38762.453999999998</v>
      </c>
      <c r="AC14" s="32">
        <v>42821</v>
      </c>
      <c r="AD14" s="12">
        <v>49799.446000000004</v>
      </c>
      <c r="AE14" s="12">
        <v>56973.453000000001</v>
      </c>
      <c r="AF14" s="12">
        <v>53031.750999999997</v>
      </c>
      <c r="AG14" s="12">
        <v>47921.069000000003</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6282+2167+1841</f>
        <v>10290</v>
      </c>
      <c r="C15" s="12">
        <f>4894+2171+1486+0</f>
        <v>8551</v>
      </c>
      <c r="D15" s="12">
        <f>8393+2905+2404+0</f>
        <v>13702</v>
      </c>
      <c r="E15" s="12"/>
      <c r="F15" s="12"/>
      <c r="G15" s="12"/>
      <c r="H15" s="12"/>
      <c r="I15" s="12">
        <f>9429.348+2209.455+4009.475+0</f>
        <v>15648.278</v>
      </c>
      <c r="J15" s="32">
        <v>15617.114</v>
      </c>
      <c r="K15" s="12">
        <f>4402.83+2340.998+3076.866</f>
        <v>9820.6939999999995</v>
      </c>
      <c r="L15" s="12">
        <f>4514.526+2692.462+2987.491</f>
        <v>10194.478999999999</v>
      </c>
      <c r="M15" s="12">
        <v>10902.531000000001</v>
      </c>
      <c r="N15" s="12">
        <f>4345.554+2021.206+4461.428</f>
        <v>10828.188</v>
      </c>
      <c r="O15" s="12">
        <v>11290.298000000001</v>
      </c>
      <c r="P15" s="12"/>
      <c r="Q15" s="12"/>
      <c r="R15" s="34">
        <v>13919.306</v>
      </c>
      <c r="S15" s="12">
        <v>12028.017</v>
      </c>
      <c r="T15" s="82">
        <v>14213.867</v>
      </c>
      <c r="U15" s="12">
        <v>11820.983</v>
      </c>
      <c r="V15" s="12">
        <v>8973.8209999999999</v>
      </c>
      <c r="W15" s="32">
        <v>10540.681</v>
      </c>
      <c r="X15" s="32">
        <v>30117.03</v>
      </c>
      <c r="Y15" s="32">
        <v>15876.163</v>
      </c>
      <c r="Z15" s="32">
        <v>46012.061999999998</v>
      </c>
      <c r="AA15" s="32">
        <v>30316.026999999998</v>
      </c>
      <c r="AB15" s="32">
        <v>35760.85</v>
      </c>
      <c r="AC15" s="32">
        <v>35516</v>
      </c>
      <c r="AD15" s="12">
        <v>11321.321</v>
      </c>
      <c r="AE15" s="12">
        <v>12447.615</v>
      </c>
      <c r="AF15" s="12">
        <v>9351.9750000000004</v>
      </c>
      <c r="AG15" s="12">
        <v>10765.191999999999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1025+623+1988</f>
        <v>3636</v>
      </c>
      <c r="C16" s="20">
        <f>1167+662+1934+0</f>
        <v>3763</v>
      </c>
      <c r="D16" s="20">
        <f>1724+754+1475+93</f>
        <v>4046</v>
      </c>
      <c r="E16" s="20"/>
      <c r="F16" s="20"/>
      <c r="G16" s="20"/>
      <c r="H16" s="20"/>
      <c r="I16" s="20">
        <f>3442.119+361.256+4615.388+5.973</f>
        <v>8424.735999999999</v>
      </c>
      <c r="J16" s="33">
        <v>10335.852999999999</v>
      </c>
      <c r="K16" s="20">
        <f>6374.571+3479.765+4258.504</f>
        <v>14112.84</v>
      </c>
      <c r="L16" s="20">
        <f>4862.572+620.171+4440.946</f>
        <v>9923.6890000000003</v>
      </c>
      <c r="M16" s="20">
        <v>14798.263000000001</v>
      </c>
      <c r="N16" s="20">
        <f>7057.526+1701.566+6561.396+80.94</f>
        <v>15401.428000000002</v>
      </c>
      <c r="O16" s="20">
        <v>14704.86514</v>
      </c>
      <c r="P16" s="20"/>
      <c r="Q16" s="20"/>
      <c r="R16" s="66">
        <v>18332.52</v>
      </c>
      <c r="S16" s="20">
        <v>19017.215</v>
      </c>
      <c r="T16" s="20">
        <v>34407.506999999998</v>
      </c>
      <c r="U16" s="20">
        <v>19746.986000000001</v>
      </c>
      <c r="V16" s="20">
        <v>38328.472000000002</v>
      </c>
      <c r="W16" s="33">
        <v>28761.738000000001</v>
      </c>
      <c r="X16" s="33">
        <v>8014.4040000000005</v>
      </c>
      <c r="Y16" s="33">
        <v>16312.986000000001</v>
      </c>
      <c r="Z16" s="33">
        <v>25024.833999999999</v>
      </c>
      <c r="AA16" s="33">
        <v>35111.705000000002</v>
      </c>
      <c r="AB16" s="33">
        <v>40586.160000000003</v>
      </c>
      <c r="AC16" s="33">
        <v>20923</v>
      </c>
      <c r="AD16" s="20">
        <v>29235.784</v>
      </c>
      <c r="AE16" s="20">
        <v>38997.684999999998</v>
      </c>
      <c r="AF16" s="20">
        <v>22079.216</v>
      </c>
      <c r="AG16" s="20">
        <v>26383.308000000001</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121+132+1108</f>
        <v>1361</v>
      </c>
      <c r="C17" s="20">
        <f>88+171+1221+0</f>
        <v>1480</v>
      </c>
      <c r="D17" s="20">
        <f>121+242+1565+0</f>
        <v>1928</v>
      </c>
      <c r="E17" s="20"/>
      <c r="F17" s="20"/>
      <c r="G17" s="20"/>
      <c r="H17" s="20"/>
      <c r="I17" s="20">
        <f>364.155+581.184+2296.716+0</f>
        <v>3242.0549999999998</v>
      </c>
      <c r="J17" s="33">
        <v>3448.8020000000001</v>
      </c>
      <c r="K17" s="20">
        <f>4756.616+504.085+3004.722</f>
        <v>8265.4230000000007</v>
      </c>
      <c r="L17" s="20">
        <f>4698.796+457.416+4615.187</f>
        <v>9771.3990000000013</v>
      </c>
      <c r="M17" s="20">
        <v>9355.8389999999999</v>
      </c>
      <c r="N17" s="20">
        <f>4756.763+478.48+4476.508+0</f>
        <v>9711.7510000000002</v>
      </c>
      <c r="O17" s="20">
        <v>12415.068780000001</v>
      </c>
      <c r="P17" s="20"/>
      <c r="Q17" s="20"/>
      <c r="R17" s="66">
        <v>5975.3850000000002</v>
      </c>
      <c r="S17" s="20">
        <v>16856.713</v>
      </c>
      <c r="T17" s="20">
        <v>8461.0840000000007</v>
      </c>
      <c r="U17" s="20">
        <v>10376.133</v>
      </c>
      <c r="V17" s="20">
        <v>14287.983</v>
      </c>
      <c r="W17" s="33">
        <v>15723.288</v>
      </c>
      <c r="X17" s="33">
        <v>12795.138999999999</v>
      </c>
      <c r="Y17" s="33">
        <v>16119</v>
      </c>
      <c r="Z17" s="33">
        <v>25399.913</v>
      </c>
      <c r="AA17" s="33">
        <v>24598.957999999999</v>
      </c>
      <c r="AB17" s="33">
        <v>23579.116000000002</v>
      </c>
      <c r="AC17" s="33">
        <v>30355</v>
      </c>
      <c r="AD17" s="20">
        <v>30647.117999999999</v>
      </c>
      <c r="AE17" s="20">
        <v>25339.206999999999</v>
      </c>
      <c r="AF17" s="20">
        <v>33325.71</v>
      </c>
      <c r="AG17" s="20">
        <v>31389.040000000001</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1827+583+2383</f>
        <v>4793</v>
      </c>
      <c r="C18" s="20">
        <f>945+548+3248+0</f>
        <v>4741</v>
      </c>
      <c r="D18" s="20">
        <f>726+430+2511+0</f>
        <v>3667</v>
      </c>
      <c r="E18" s="20"/>
      <c r="F18" s="20"/>
      <c r="G18" s="20"/>
      <c r="H18" s="20"/>
      <c r="I18" s="20">
        <f>912.777+909.221+3882.184+0</f>
        <v>5704.1820000000007</v>
      </c>
      <c r="J18" s="33">
        <v>4784.2780000000002</v>
      </c>
      <c r="K18" s="20">
        <f>1320.035+3151.747</f>
        <v>4471.7820000000002</v>
      </c>
      <c r="L18" s="20">
        <f>1292.288+3499.896</f>
        <v>4792.1840000000002</v>
      </c>
      <c r="M18" s="20">
        <v>5845.5519999999997</v>
      </c>
      <c r="N18" s="20">
        <f>0+1846.364+5134.909+0</f>
        <v>6981.2729999999992</v>
      </c>
      <c r="O18" s="20">
        <v>7096.8440000000001</v>
      </c>
      <c r="P18" s="20"/>
      <c r="Q18" s="20"/>
      <c r="R18" s="66">
        <v>8392.8729999999996</v>
      </c>
      <c r="S18" s="20">
        <v>8709.4889999999996</v>
      </c>
      <c r="T18" s="20">
        <v>10141.880999999999</v>
      </c>
      <c r="U18" s="20">
        <v>20630.5</v>
      </c>
      <c r="V18" s="20">
        <v>7118.1040000000003</v>
      </c>
      <c r="W18" s="33">
        <v>7202.9449999999997</v>
      </c>
      <c r="X18" s="33">
        <v>8439.2070000000003</v>
      </c>
      <c r="Y18" s="33">
        <v>10255.948</v>
      </c>
      <c r="Z18" s="33">
        <v>11747.386</v>
      </c>
      <c r="AA18" s="33">
        <v>10620.472</v>
      </c>
      <c r="AB18" s="33">
        <v>16645.435000000001</v>
      </c>
      <c r="AC18" s="33">
        <v>30362</v>
      </c>
      <c r="AD18" s="20">
        <v>20629.394</v>
      </c>
      <c r="AE18" s="20">
        <v>22220.621999999999</v>
      </c>
      <c r="AF18" s="20">
        <v>16205.987999999999</v>
      </c>
      <c r="AG18" s="20">
        <v>20496.794000000002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2724+730+2567</f>
        <v>6021</v>
      </c>
      <c r="C19" s="20">
        <f>2718+890+2411+0</f>
        <v>6019</v>
      </c>
      <c r="D19" s="20">
        <f>1674+951+2291+0</f>
        <v>4916</v>
      </c>
      <c r="E19" s="20"/>
      <c r="F19" s="20"/>
      <c r="G19" s="20"/>
      <c r="H19" s="20"/>
      <c r="I19" s="20">
        <f>1333.35+1365.063+3113.868+0</f>
        <v>5812.2809999999999</v>
      </c>
      <c r="J19" s="33">
        <v>5238.1480000000001</v>
      </c>
      <c r="K19" s="20">
        <f>129.21+1468.169+2620.528</f>
        <v>4217.9070000000002</v>
      </c>
      <c r="L19" s="20">
        <f>1737.588+2810.174</f>
        <v>4547.7619999999997</v>
      </c>
      <c r="M19" s="20">
        <v>5405.2910000000002</v>
      </c>
      <c r="N19" s="20">
        <f>0+1977.151+3933.255+0</f>
        <v>5910.4059999999999</v>
      </c>
      <c r="O19" s="20">
        <v>7381.5129999999999</v>
      </c>
      <c r="P19" s="20"/>
      <c r="Q19" s="20"/>
      <c r="R19" s="90">
        <v>6804.335</v>
      </c>
      <c r="S19" s="20">
        <v>7955.8429999999998</v>
      </c>
      <c r="T19" s="20">
        <v>7647.6319999999996</v>
      </c>
      <c r="U19" s="20">
        <v>6526.9620000000004</v>
      </c>
      <c r="V19" s="20">
        <v>5586.43</v>
      </c>
      <c r="W19" s="33">
        <v>5931.009</v>
      </c>
      <c r="X19" s="33">
        <v>6401.7979999999998</v>
      </c>
      <c r="Y19" s="33">
        <v>10019.624</v>
      </c>
      <c r="Z19" s="33">
        <v>8818.2659999999996</v>
      </c>
      <c r="AA19" s="33">
        <v>9138.5540000000001</v>
      </c>
      <c r="AB19" s="33">
        <v>10606.56</v>
      </c>
      <c r="AC19" s="33">
        <v>6761</v>
      </c>
      <c r="AD19" s="20">
        <v>9937.7119999999995</v>
      </c>
      <c r="AE19" s="20">
        <v>7832.5469999999996</v>
      </c>
      <c r="AF19" s="20">
        <v>7840.9889999999996</v>
      </c>
      <c r="AG19" s="20">
        <v>8621.2569999999996</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1088+6845+45254</f>
        <v>53187</v>
      </c>
      <c r="C20" s="20">
        <f>1242+5018+47952+561</f>
        <v>54773</v>
      </c>
      <c r="D20" s="20">
        <f>1205+5850+44037+576</f>
        <v>51668</v>
      </c>
      <c r="E20" s="20"/>
      <c r="F20" s="20"/>
      <c r="G20" s="20"/>
      <c r="H20" s="20"/>
      <c r="I20" s="20">
        <f>3115.462+7346.544+53205.368+1601.735</f>
        <v>65269.109000000004</v>
      </c>
      <c r="J20" s="33">
        <v>68523.649999999994</v>
      </c>
      <c r="K20" s="20">
        <f>3751.584+7662.334+59897.203+8083.166</f>
        <v>79394.286999999997</v>
      </c>
      <c r="L20" s="20">
        <f>416.148+13932.198+58359.486</f>
        <v>72707.831999999995</v>
      </c>
      <c r="M20" s="20">
        <v>68733.373999999996</v>
      </c>
      <c r="N20" s="20">
        <f>29.556+8361.041+71499.423+0</f>
        <v>79890.01999999999</v>
      </c>
      <c r="O20" s="20">
        <v>82909.028000000006</v>
      </c>
      <c r="P20" s="20"/>
      <c r="Q20" s="20"/>
      <c r="R20" s="66">
        <v>122892.06600000001</v>
      </c>
      <c r="S20" s="20">
        <v>130339.20600000001</v>
      </c>
      <c r="T20" s="20">
        <v>298470.875</v>
      </c>
      <c r="U20" s="20">
        <v>300995.76899999997</v>
      </c>
      <c r="V20" s="20">
        <v>182805.522</v>
      </c>
      <c r="W20" s="33">
        <v>76818.509999999995</v>
      </c>
      <c r="X20" s="33">
        <v>51700.220999999998</v>
      </c>
      <c r="Y20" s="33">
        <v>72795.332999999999</v>
      </c>
      <c r="Z20" s="33">
        <v>96103.315000000002</v>
      </c>
      <c r="AA20" s="33">
        <v>93139.337</v>
      </c>
      <c r="AB20" s="33">
        <v>87171.129000000001</v>
      </c>
      <c r="AC20" s="33">
        <v>102427</v>
      </c>
      <c r="AD20" s="20">
        <v>94306.182000000001</v>
      </c>
      <c r="AE20" s="20">
        <v>94569.5</v>
      </c>
      <c r="AF20" s="20">
        <v>58117.881999999998</v>
      </c>
      <c r="AG20" s="20">
        <v>86051.178</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1715+42+947</f>
        <v>2704</v>
      </c>
      <c r="C21" s="20">
        <f>0+84+2625+0</f>
        <v>2709</v>
      </c>
      <c r="D21" s="20">
        <f>0+186+2930+0</f>
        <v>3116</v>
      </c>
      <c r="E21" s="20"/>
      <c r="F21" s="20"/>
      <c r="G21" s="20"/>
      <c r="H21" s="20"/>
      <c r="I21" s="20">
        <f>0+306.426+3121.584+0</f>
        <v>3428.0099999999998</v>
      </c>
      <c r="J21" s="33">
        <v>3254.433</v>
      </c>
      <c r="K21" s="20">
        <f>340.612+4292.843</f>
        <v>4633.4549999999999</v>
      </c>
      <c r="L21" s="20">
        <f>232.564+3296.929</f>
        <v>3529.4929999999999</v>
      </c>
      <c r="M21" s="20">
        <v>3899.9180000000001</v>
      </c>
      <c r="N21" s="20">
        <f>0+289.923+5040.02+0</f>
        <v>5329.9430000000002</v>
      </c>
      <c r="O21" s="20">
        <v>4876.4129999999996</v>
      </c>
      <c r="P21" s="20"/>
      <c r="Q21" s="20"/>
      <c r="R21" s="66">
        <v>7536.7629999999999</v>
      </c>
      <c r="S21" s="20">
        <v>8021.473</v>
      </c>
      <c r="T21" s="20">
        <v>13968.973</v>
      </c>
      <c r="U21" s="20">
        <v>14459.21</v>
      </c>
      <c r="V21" s="20">
        <v>14490.145</v>
      </c>
      <c r="W21" s="33">
        <v>14371.941999999999</v>
      </c>
      <c r="X21" s="33">
        <v>19105.741999999998</v>
      </c>
      <c r="Y21" s="33">
        <v>25035.758000000002</v>
      </c>
      <c r="Z21" s="33">
        <v>36510.364000000001</v>
      </c>
      <c r="AA21" s="33">
        <v>22093.330999999998</v>
      </c>
      <c r="AB21" s="33">
        <v>26020.657999999999</v>
      </c>
      <c r="AC21" s="33">
        <v>48125</v>
      </c>
      <c r="AD21" s="20">
        <v>65448.754000000001</v>
      </c>
      <c r="AE21" s="20">
        <v>37389.379999999997</v>
      </c>
      <c r="AF21" s="20">
        <v>31534.468000000001</v>
      </c>
      <c r="AG21" s="20">
        <v>24486.602999999999</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194+677</f>
        <v>871</v>
      </c>
      <c r="C22" s="51">
        <f>0+190+666</f>
        <v>856</v>
      </c>
      <c r="D22" s="51">
        <f>0+185+1108+0</f>
        <v>1293</v>
      </c>
      <c r="E22" s="51"/>
      <c r="F22" s="51"/>
      <c r="G22" s="51"/>
      <c r="H22" s="51"/>
      <c r="I22" s="51">
        <f>0+253.393+481.245+0</f>
        <v>734.63800000000003</v>
      </c>
      <c r="J22" s="50">
        <v>913.34100000000001</v>
      </c>
      <c r="K22" s="51">
        <f>152+277+1175</f>
        <v>1604</v>
      </c>
      <c r="L22" s="51">
        <f>229.652+494.666</f>
        <v>724.31799999999998</v>
      </c>
      <c r="M22" s="51">
        <v>991.19799999999998</v>
      </c>
      <c r="N22" s="51">
        <f>0+232.312+727.84+0</f>
        <v>960.15200000000004</v>
      </c>
      <c r="O22" s="51">
        <v>1338.23714</v>
      </c>
      <c r="P22" s="51"/>
      <c r="Q22" s="51"/>
      <c r="R22" s="51">
        <v>1158.924</v>
      </c>
      <c r="S22" s="51">
        <v>1941.4639999999999</v>
      </c>
      <c r="T22" s="51">
        <v>772.84199999999998</v>
      </c>
      <c r="U22" s="51">
        <v>1314.3610000000001</v>
      </c>
      <c r="V22" s="51">
        <v>1027.6389999999999</v>
      </c>
      <c r="W22" s="50">
        <v>5919.2219999999998</v>
      </c>
      <c r="X22" s="50">
        <v>9480.5069999999996</v>
      </c>
      <c r="Y22" s="50">
        <v>14116.157999999999</v>
      </c>
      <c r="Z22" s="50">
        <v>7803.2809999999999</v>
      </c>
      <c r="AA22" s="50">
        <v>6224.4889999999996</v>
      </c>
      <c r="AB22" s="50">
        <v>18628.365000000002</v>
      </c>
      <c r="AC22" s="50">
        <v>13518</v>
      </c>
      <c r="AD22" s="51">
        <v>29027.305</v>
      </c>
      <c r="AE22" s="51">
        <v>14019.286</v>
      </c>
      <c r="AF22" s="51">
        <v>5854.4579999999996</v>
      </c>
      <c r="AG22" s="51">
        <v>5358.2340000000004</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B23" s="104">
        <f>SUM(B25:B37)</f>
        <v>0</v>
      </c>
      <c r="C23" s="104">
        <f t="shared" ref="C23:AE23" si="8">SUM(C25:C37)</f>
        <v>0</v>
      </c>
      <c r="D23" s="104">
        <f t="shared" si="8"/>
        <v>0</v>
      </c>
      <c r="E23" s="104">
        <f t="shared" si="8"/>
        <v>0</v>
      </c>
      <c r="F23" s="104">
        <f t="shared" si="8"/>
        <v>0</v>
      </c>
      <c r="G23" s="104">
        <f t="shared" si="8"/>
        <v>0</v>
      </c>
      <c r="H23" s="104">
        <f t="shared" si="8"/>
        <v>0</v>
      </c>
      <c r="I23" s="104">
        <f t="shared" si="8"/>
        <v>0</v>
      </c>
      <c r="J23" s="104">
        <f t="shared" si="8"/>
        <v>228764.75899999999</v>
      </c>
      <c r="K23" s="104">
        <f t="shared" si="8"/>
        <v>0</v>
      </c>
      <c r="L23" s="104">
        <f t="shared" si="8"/>
        <v>0</v>
      </c>
      <c r="M23" s="104">
        <f t="shared" si="8"/>
        <v>292226.66700000002</v>
      </c>
      <c r="N23" s="104">
        <f t="shared" si="8"/>
        <v>0</v>
      </c>
      <c r="O23" s="104">
        <f t="shared" si="8"/>
        <v>332590.48249000002</v>
      </c>
      <c r="P23" s="104">
        <f t="shared" si="8"/>
        <v>0</v>
      </c>
      <c r="Q23" s="104">
        <f t="shared" si="8"/>
        <v>0</v>
      </c>
      <c r="R23" s="104">
        <f t="shared" si="8"/>
        <v>355233.44900000002</v>
      </c>
      <c r="S23" s="104">
        <f t="shared" si="8"/>
        <v>360540.97</v>
      </c>
      <c r="T23" s="104">
        <f t="shared" si="8"/>
        <v>415250.45999999996</v>
      </c>
      <c r="U23" s="104">
        <f t="shared" si="8"/>
        <v>390732.6</v>
      </c>
      <c r="V23" s="104">
        <f t="shared" si="8"/>
        <v>462001.86200000002</v>
      </c>
      <c r="W23" s="104">
        <f t="shared" si="8"/>
        <v>505035.35700000002</v>
      </c>
      <c r="X23" s="104">
        <f t="shared" si="8"/>
        <v>574520.71500000008</v>
      </c>
      <c r="Y23" s="104">
        <f t="shared" si="8"/>
        <v>663853.18400000001</v>
      </c>
      <c r="Z23" s="104">
        <f t="shared" si="8"/>
        <v>668102.00500000012</v>
      </c>
      <c r="AA23" s="104">
        <f t="shared" si="8"/>
        <v>624774.95900000015</v>
      </c>
      <c r="AB23" s="104">
        <f t="shared" si="8"/>
        <v>671083.90700000001</v>
      </c>
      <c r="AC23" s="104">
        <f t="shared" si="8"/>
        <v>727531</v>
      </c>
      <c r="AD23" s="104">
        <f t="shared" si="8"/>
        <v>759786.61800000002</v>
      </c>
      <c r="AE23" s="104">
        <f t="shared" si="8"/>
        <v>907755.18700000015</v>
      </c>
      <c r="AF23" s="104">
        <f>SUM(AF26:AF37)</f>
        <v>572644.74199999997</v>
      </c>
      <c r="AG23" s="104">
        <f>SUM(AG26:AG37)</f>
        <v>550188.81900000002</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82.611000000000004</v>
      </c>
      <c r="K25" s="20"/>
      <c r="L25" s="20"/>
      <c r="M25" s="20">
        <v>91.191999999999993</v>
      </c>
      <c r="N25" s="20"/>
      <c r="O25" s="20">
        <v>206.947</v>
      </c>
      <c r="P25" s="20"/>
      <c r="Q25" s="20"/>
      <c r="R25" s="66">
        <v>100.355</v>
      </c>
      <c r="S25" s="20">
        <v>94.042000000000002</v>
      </c>
      <c r="T25" s="20">
        <v>1471.827</v>
      </c>
      <c r="U25" s="20">
        <v>1509.991</v>
      </c>
      <c r="V25" s="20">
        <v>1528.6769999999999</v>
      </c>
      <c r="W25" s="33">
        <v>141.50299999999999</v>
      </c>
      <c r="X25" s="33">
        <v>456.077</v>
      </c>
      <c r="Y25" s="33">
        <v>125.139</v>
      </c>
      <c r="Z25" s="33">
        <v>156.78200000000001</v>
      </c>
      <c r="AA25" s="33">
        <v>649.47500000000002</v>
      </c>
      <c r="AB25" s="33">
        <v>169.62</v>
      </c>
      <c r="AC25" s="33">
        <v>151</v>
      </c>
      <c r="AD25" s="20">
        <v>225.45400000000001</v>
      </c>
      <c r="AE25" s="20">
        <v>3047.297</v>
      </c>
      <c r="AG25" s="65">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13782.102000000001</v>
      </c>
      <c r="K26" s="20"/>
      <c r="L26" s="20"/>
      <c r="M26" s="20">
        <v>15688.821</v>
      </c>
      <c r="N26" s="20"/>
      <c r="O26" s="20">
        <v>25333.031149999999</v>
      </c>
      <c r="P26" s="20"/>
      <c r="Q26" s="20"/>
      <c r="R26" s="66">
        <v>31038.098000000002</v>
      </c>
      <c r="S26" s="20">
        <v>34524.69</v>
      </c>
      <c r="T26" s="20">
        <v>42605.694000000003</v>
      </c>
      <c r="U26" s="20">
        <v>63198.646000000001</v>
      </c>
      <c r="V26" s="20">
        <v>62422.936000000002</v>
      </c>
      <c r="W26" s="33">
        <v>65508.516000000003</v>
      </c>
      <c r="X26" s="33">
        <v>68851.517000000007</v>
      </c>
      <c r="Y26" s="33">
        <v>65943.981</v>
      </c>
      <c r="Z26" s="33">
        <v>21477.850999999999</v>
      </c>
      <c r="AA26" s="33">
        <v>25677.757000000001</v>
      </c>
      <c r="AB26" s="33">
        <v>23587.541000000001</v>
      </c>
      <c r="AC26" s="33">
        <v>26434</v>
      </c>
      <c r="AD26" s="20">
        <v>24244.194</v>
      </c>
      <c r="AE26" s="20">
        <v>26036.076000000001</v>
      </c>
      <c r="AF26" s="20">
        <v>15545.759</v>
      </c>
      <c r="AG26" s="20">
        <v>16548.061000000002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132424.48000000001</v>
      </c>
      <c r="K27" s="20"/>
      <c r="L27" s="20"/>
      <c r="M27" s="20">
        <v>189121.943</v>
      </c>
      <c r="N27" s="20"/>
      <c r="O27" s="20">
        <v>203087.01594000001</v>
      </c>
      <c r="P27" s="20"/>
      <c r="Q27" s="20"/>
      <c r="R27" s="66">
        <v>184589.23199999999</v>
      </c>
      <c r="S27" s="20">
        <v>172774.22899999999</v>
      </c>
      <c r="T27" s="20">
        <v>188898.677</v>
      </c>
      <c r="U27" s="20">
        <v>182034.93400000001</v>
      </c>
      <c r="V27" s="20">
        <v>181702.769</v>
      </c>
      <c r="W27" s="33">
        <v>257082.117</v>
      </c>
      <c r="X27" s="33">
        <v>276358.19500000001</v>
      </c>
      <c r="Y27" s="33">
        <v>408245.59100000001</v>
      </c>
      <c r="Z27" s="33">
        <v>445366.16600000003</v>
      </c>
      <c r="AA27" s="33">
        <v>303875.217</v>
      </c>
      <c r="AB27" s="33">
        <v>258854.94099999999</v>
      </c>
      <c r="AC27" s="33">
        <v>417162</v>
      </c>
      <c r="AD27" s="20">
        <v>428914.33</v>
      </c>
      <c r="AE27" s="20">
        <v>453799.43699999998</v>
      </c>
      <c r="AF27" s="20">
        <v>303295.51</v>
      </c>
      <c r="AG27" s="20">
        <v>325012.61499999999</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4611.0529999999999</v>
      </c>
      <c r="K28" s="20"/>
      <c r="L28" s="20"/>
      <c r="M28" s="20">
        <v>3570.2559999999999</v>
      </c>
      <c r="N28" s="20"/>
      <c r="O28" s="20">
        <v>4207.058</v>
      </c>
      <c r="P28" s="20"/>
      <c r="Q28" s="20"/>
      <c r="R28" s="66">
        <v>8758.9120000000003</v>
      </c>
      <c r="S28" s="20">
        <v>7915.71</v>
      </c>
      <c r="T28" s="20">
        <v>16788.883999999998</v>
      </c>
      <c r="U28" s="20">
        <v>17523.562000000002</v>
      </c>
      <c r="V28" s="20">
        <v>12042.127</v>
      </c>
      <c r="W28" s="33">
        <v>13708.079</v>
      </c>
      <c r="X28" s="33">
        <v>28405.584999999999</v>
      </c>
      <c r="Y28" s="33">
        <v>24059.861000000001</v>
      </c>
      <c r="Z28" s="33">
        <v>28294.706999999999</v>
      </c>
      <c r="AA28" s="33">
        <v>53345.692000000003</v>
      </c>
      <c r="AB28" s="33">
        <v>72608.243000000002</v>
      </c>
      <c r="AC28" s="33">
        <v>42141</v>
      </c>
      <c r="AD28" s="20">
        <v>34121.321000000004</v>
      </c>
      <c r="AE28" s="20">
        <v>35327.777000000002</v>
      </c>
      <c r="AF28" s="20">
        <v>13470.731</v>
      </c>
      <c r="AG28" s="20">
        <v>11723.71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1771.703</v>
      </c>
      <c r="K29" s="20"/>
      <c r="L29" s="20"/>
      <c r="M29" s="20">
        <v>2638.9870000000001</v>
      </c>
      <c r="N29" s="20"/>
      <c r="O29" s="20">
        <v>2765.7559999999999</v>
      </c>
      <c r="P29" s="20"/>
      <c r="Q29" s="20"/>
      <c r="R29" s="66">
        <v>3344.2849999999999</v>
      </c>
      <c r="S29" s="20">
        <v>3068.27</v>
      </c>
      <c r="T29" s="20">
        <v>36992.828000000001</v>
      </c>
      <c r="U29" s="20">
        <v>2884.3780000000002</v>
      </c>
      <c r="V29" s="20">
        <v>3230.5630000000001</v>
      </c>
      <c r="W29" s="33">
        <v>2238.4749999999999</v>
      </c>
      <c r="X29" s="33">
        <v>5373.799</v>
      </c>
      <c r="Y29" s="33">
        <v>5261.5510000000004</v>
      </c>
      <c r="Z29" s="33">
        <v>7808.7219999999998</v>
      </c>
      <c r="AA29" s="33">
        <v>22924.234</v>
      </c>
      <c r="AB29" s="33">
        <v>6222.8710000000001</v>
      </c>
      <c r="AC29" s="33">
        <v>5908</v>
      </c>
      <c r="AD29" s="20">
        <v>6139.8140000000003</v>
      </c>
      <c r="AE29" s="20">
        <v>7066.8329999999996</v>
      </c>
      <c r="AF29" s="20">
        <v>6387.3580000000002</v>
      </c>
      <c r="AG29" s="20">
        <v>6133.8270000000002</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4148.866</v>
      </c>
      <c r="K30" s="20"/>
      <c r="L30" s="20"/>
      <c r="M30" s="20">
        <v>3658.3980000000001</v>
      </c>
      <c r="N30" s="20"/>
      <c r="O30" s="20">
        <v>5392.0450000000001</v>
      </c>
      <c r="P30" s="20"/>
      <c r="Q30" s="20"/>
      <c r="R30" s="66">
        <v>10388.120000000001</v>
      </c>
      <c r="S30" s="20">
        <v>8133.9380000000001</v>
      </c>
      <c r="T30" s="20">
        <v>1198.3019999999999</v>
      </c>
      <c r="U30" s="20">
        <v>1483.223</v>
      </c>
      <c r="V30" s="20">
        <v>7188.3090000000002</v>
      </c>
      <c r="W30" s="33">
        <v>7113.4740000000002</v>
      </c>
      <c r="X30" s="33">
        <v>7050.8760000000002</v>
      </c>
      <c r="Y30" s="33">
        <v>9190.0130000000008</v>
      </c>
      <c r="Z30" s="33">
        <v>11780.701999999999</v>
      </c>
      <c r="AA30" s="33">
        <v>11497.168</v>
      </c>
      <c r="AB30" s="33">
        <v>10645.539000000001</v>
      </c>
      <c r="AC30" s="33">
        <v>11634</v>
      </c>
      <c r="AD30" s="20">
        <v>15137.874</v>
      </c>
      <c r="AE30" s="20">
        <v>14793.111000000001</v>
      </c>
      <c r="AF30" s="20">
        <v>19200.151999999998</v>
      </c>
      <c r="AG30" s="20">
        <v>16222.445</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1479.287</v>
      </c>
      <c r="K31" s="20"/>
      <c r="L31" s="20"/>
      <c r="M31" s="20">
        <v>3209.3220000000001</v>
      </c>
      <c r="N31" s="20"/>
      <c r="O31" s="20">
        <v>6060.5484399999996</v>
      </c>
      <c r="P31" s="20"/>
      <c r="Q31" s="20"/>
      <c r="R31" s="90">
        <v>8040.7719999999999</v>
      </c>
      <c r="S31" s="20">
        <v>10674.093999999999</v>
      </c>
      <c r="T31" s="20">
        <v>13075.19</v>
      </c>
      <c r="U31" s="20">
        <v>7595.5010000000002</v>
      </c>
      <c r="V31" s="20">
        <v>8901.1029999999992</v>
      </c>
      <c r="W31" s="33">
        <v>7959.0129999999999</v>
      </c>
      <c r="X31" s="33">
        <v>9584.4650000000001</v>
      </c>
      <c r="Y31" s="33">
        <v>7808.2039999999997</v>
      </c>
      <c r="Z31" s="33">
        <v>6713.1180000000004</v>
      </c>
      <c r="AA31" s="33">
        <v>6782.7169999999996</v>
      </c>
      <c r="AB31" s="33">
        <v>15419.102999999999</v>
      </c>
      <c r="AC31" s="33">
        <v>8395</v>
      </c>
      <c r="AD31" s="20">
        <v>10495.901</v>
      </c>
      <c r="AE31" s="20">
        <v>14305.54</v>
      </c>
      <c r="AF31" s="20">
        <v>9878.4470000000001</v>
      </c>
      <c r="AG31" s="20">
        <v>9139.7620000000006</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2760.8409999999999</v>
      </c>
      <c r="K32" s="20"/>
      <c r="L32" s="20"/>
      <c r="M32" s="20">
        <v>2777.61</v>
      </c>
      <c r="N32" s="20"/>
      <c r="O32" s="20">
        <v>3875</v>
      </c>
      <c r="P32" s="20"/>
      <c r="Q32" s="20"/>
      <c r="R32" s="92">
        <v>5238</v>
      </c>
      <c r="S32" s="20">
        <v>6290</v>
      </c>
      <c r="T32" s="20">
        <v>4166</v>
      </c>
      <c r="U32" s="20">
        <v>4726</v>
      </c>
      <c r="V32" s="20">
        <v>603</v>
      </c>
      <c r="W32" s="33">
        <v>550</v>
      </c>
      <c r="X32" s="33">
        <v>1083</v>
      </c>
      <c r="Y32" s="33">
        <v>312</v>
      </c>
      <c r="Z32" s="33">
        <v>287</v>
      </c>
      <c r="AA32" s="33">
        <v>9049.7999999999993</v>
      </c>
      <c r="AB32" s="33">
        <v>64017</v>
      </c>
      <c r="AC32" s="33">
        <v>5480</v>
      </c>
      <c r="AD32" s="20">
        <v>5574</v>
      </c>
      <c r="AE32" s="20">
        <v>12868</v>
      </c>
      <c r="AF32" s="20">
        <v>2442</v>
      </c>
      <c r="AG32" s="20">
        <v>7321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10301.239</v>
      </c>
      <c r="K33" s="20"/>
      <c r="L33" s="20"/>
      <c r="M33" s="20">
        <v>15385.143</v>
      </c>
      <c r="N33" s="20"/>
      <c r="O33" s="20">
        <v>16930.282999999999</v>
      </c>
      <c r="P33" s="20"/>
      <c r="Q33" s="20"/>
      <c r="R33" s="92">
        <v>16225.183000000001</v>
      </c>
      <c r="S33" s="20">
        <v>10904.297</v>
      </c>
      <c r="T33" s="20">
        <v>18390.098000000002</v>
      </c>
      <c r="U33" s="20">
        <v>21326.710999999999</v>
      </c>
      <c r="V33" s="20">
        <v>26892.012999999999</v>
      </c>
      <c r="W33" s="33">
        <v>31760.955999999998</v>
      </c>
      <c r="X33" s="33">
        <v>26990.763999999999</v>
      </c>
      <c r="Y33" s="33">
        <v>33752.781999999999</v>
      </c>
      <c r="Z33" s="33">
        <v>25229.826000000001</v>
      </c>
      <c r="AA33" s="33">
        <v>66920.928</v>
      </c>
      <c r="AB33" s="33">
        <v>26623.751</v>
      </c>
      <c r="AC33" s="33">
        <v>28604</v>
      </c>
      <c r="AD33" s="20">
        <v>35971.171000000002</v>
      </c>
      <c r="AE33" s="20">
        <v>73612.414999999994</v>
      </c>
      <c r="AF33" s="20">
        <v>29096.699000000001</v>
      </c>
      <c r="AG33" s="20">
        <v>27234.803</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24055.885999999999</v>
      </c>
      <c r="K34" s="20"/>
      <c r="L34" s="20"/>
      <c r="M34" s="20">
        <v>27891.406999999999</v>
      </c>
      <c r="N34" s="20"/>
      <c r="O34" s="20">
        <v>30278.09619</v>
      </c>
      <c r="P34" s="20"/>
      <c r="Q34" s="20"/>
      <c r="R34" s="66">
        <v>44292.14</v>
      </c>
      <c r="S34" s="20">
        <v>52596.008999999998</v>
      </c>
      <c r="T34" s="20">
        <v>42858.442999999999</v>
      </c>
      <c r="U34" s="20">
        <v>39828.366999999998</v>
      </c>
      <c r="V34" s="20">
        <v>54138.678</v>
      </c>
      <c r="W34" s="33">
        <v>37481.618000000002</v>
      </c>
      <c r="X34" s="33">
        <v>38891.114999999998</v>
      </c>
      <c r="Y34" s="33">
        <v>40075.684000000001</v>
      </c>
      <c r="Z34" s="33">
        <v>42241.728000000003</v>
      </c>
      <c r="AA34" s="33">
        <v>44889.737999999998</v>
      </c>
      <c r="AB34" s="33">
        <v>81209.172999999995</v>
      </c>
      <c r="AC34" s="33">
        <v>100620</v>
      </c>
      <c r="AD34" s="20">
        <v>86182.956999999995</v>
      </c>
      <c r="AE34" s="20">
        <v>121744.13499999999</v>
      </c>
      <c r="AF34" s="20">
        <v>97516.917000000001</v>
      </c>
      <c r="AG34" s="20">
        <v>55149.201999999997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5473.9520000000002</v>
      </c>
      <c r="K35" s="20"/>
      <c r="L35" s="20"/>
      <c r="M35" s="20">
        <v>5696.5739999999996</v>
      </c>
      <c r="N35" s="20"/>
      <c r="O35" s="20">
        <v>7034.7470000000003</v>
      </c>
      <c r="P35" s="20"/>
      <c r="Q35" s="20"/>
      <c r="R35" s="66">
        <v>7764.52</v>
      </c>
      <c r="S35" s="20">
        <v>8402.5249999999996</v>
      </c>
      <c r="T35" s="20">
        <v>6739.5129999999999</v>
      </c>
      <c r="U35" s="20">
        <v>5772.183</v>
      </c>
      <c r="V35" s="20">
        <v>7955.875</v>
      </c>
      <c r="W35" s="33">
        <v>8010.0540000000001</v>
      </c>
      <c r="X35" s="33">
        <v>8605.5550000000003</v>
      </c>
      <c r="Y35" s="33">
        <v>9532.16</v>
      </c>
      <c r="Z35" s="33">
        <v>9206.7080000000005</v>
      </c>
      <c r="AA35" s="33">
        <v>9303.3809999999994</v>
      </c>
      <c r="AB35" s="33">
        <v>10716.375</v>
      </c>
      <c r="AC35" s="33">
        <v>10275</v>
      </c>
      <c r="AD35" s="20">
        <v>6763.9059999999999</v>
      </c>
      <c r="AE35" s="20">
        <v>9379.018</v>
      </c>
      <c r="AF35" s="20">
        <v>5762.143</v>
      </c>
      <c r="AG35" s="20">
        <v>6405.549</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25557.198</v>
      </c>
      <c r="K36" s="20"/>
      <c r="L36" s="20"/>
      <c r="M36" s="20">
        <v>20253.531999999999</v>
      </c>
      <c r="N36" s="20"/>
      <c r="O36" s="20">
        <v>25495.155770000001</v>
      </c>
      <c r="P36" s="20"/>
      <c r="Q36" s="20"/>
      <c r="R36" s="66">
        <v>32589.837</v>
      </c>
      <c r="S36" s="20">
        <v>40231.315999999999</v>
      </c>
      <c r="T36" s="20">
        <v>39124.999000000003</v>
      </c>
      <c r="U36" s="20">
        <v>40027.110999999997</v>
      </c>
      <c r="V36" s="20">
        <v>90922.607999999993</v>
      </c>
      <c r="W36" s="33">
        <v>55172.906000000003</v>
      </c>
      <c r="X36" s="33">
        <v>94887.812999999995</v>
      </c>
      <c r="Y36" s="33">
        <v>50410.538</v>
      </c>
      <c r="Z36" s="33">
        <v>55615.733</v>
      </c>
      <c r="AA36" s="33">
        <v>62198.542000000001</v>
      </c>
      <c r="AB36" s="33">
        <v>97466.87</v>
      </c>
      <c r="AC36" s="33">
        <v>65201</v>
      </c>
      <c r="AD36" s="20">
        <v>94904.027000000002</v>
      </c>
      <c r="AE36" s="20">
        <v>120787.455</v>
      </c>
      <c r="AF36" s="20">
        <v>56931.63</v>
      </c>
      <c r="AG36" s="20">
        <v>54380.964999999997</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2315.5410000000002</v>
      </c>
      <c r="K37" s="51"/>
      <c r="L37" s="51"/>
      <c r="M37" s="51">
        <v>2243.482</v>
      </c>
      <c r="N37" s="51"/>
      <c r="O37" s="51">
        <v>1924.799</v>
      </c>
      <c r="P37" s="51"/>
      <c r="Q37" s="51"/>
      <c r="R37" s="67">
        <v>2863.9949999999999</v>
      </c>
      <c r="S37" s="51">
        <v>4931.8500000000004</v>
      </c>
      <c r="T37" s="51">
        <v>2940.0050000000001</v>
      </c>
      <c r="U37" s="51">
        <v>2821.9929999999999</v>
      </c>
      <c r="V37" s="51">
        <v>4473.2039999999997</v>
      </c>
      <c r="W37" s="50">
        <v>18308.646000000001</v>
      </c>
      <c r="X37" s="50">
        <v>7981.9539999999997</v>
      </c>
      <c r="Y37" s="50">
        <v>9135.68</v>
      </c>
      <c r="Z37" s="50">
        <v>13922.962</v>
      </c>
      <c r="AA37" s="50">
        <v>7660.31</v>
      </c>
      <c r="AB37" s="50">
        <v>3542.88</v>
      </c>
      <c r="AC37" s="50">
        <v>5526</v>
      </c>
      <c r="AD37" s="51">
        <v>11111.669</v>
      </c>
      <c r="AE37" s="51">
        <v>14988.093000000001</v>
      </c>
      <c r="AF37" s="51">
        <v>13117.396000000001</v>
      </c>
      <c r="AG37" s="51">
        <v>14916.88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B38" s="104">
        <f>SUM(B40:B51)</f>
        <v>0</v>
      </c>
      <c r="C38" s="104">
        <f t="shared" ref="C38:AG38" si="9">SUM(C40:C51)</f>
        <v>0</v>
      </c>
      <c r="D38" s="104">
        <f t="shared" si="9"/>
        <v>0</v>
      </c>
      <c r="E38" s="104">
        <f t="shared" si="9"/>
        <v>0</v>
      </c>
      <c r="F38" s="104">
        <f t="shared" si="9"/>
        <v>0</v>
      </c>
      <c r="G38" s="104">
        <f t="shared" si="9"/>
        <v>0</v>
      </c>
      <c r="H38" s="104">
        <f t="shared" si="9"/>
        <v>0</v>
      </c>
      <c r="I38" s="104">
        <f t="shared" si="9"/>
        <v>0</v>
      </c>
      <c r="J38" s="104">
        <f t="shared" si="9"/>
        <v>236615.46100000001</v>
      </c>
      <c r="K38" s="104">
        <f t="shared" si="9"/>
        <v>0</v>
      </c>
      <c r="L38" s="104">
        <f t="shared" si="9"/>
        <v>0</v>
      </c>
      <c r="M38" s="104">
        <f t="shared" si="9"/>
        <v>279338.80199999997</v>
      </c>
      <c r="N38" s="104">
        <f t="shared" si="9"/>
        <v>0</v>
      </c>
      <c r="O38" s="104">
        <f t="shared" si="9"/>
        <v>334672.57031000004</v>
      </c>
      <c r="P38" s="104">
        <f t="shared" si="9"/>
        <v>0</v>
      </c>
      <c r="Q38" s="104">
        <f t="shared" si="9"/>
        <v>0</v>
      </c>
      <c r="R38" s="104">
        <f t="shared" si="9"/>
        <v>430440.98800000001</v>
      </c>
      <c r="S38" s="104">
        <f t="shared" si="9"/>
        <v>551441.02899999998</v>
      </c>
      <c r="T38" s="104">
        <f t="shared" si="9"/>
        <v>385287.74800000002</v>
      </c>
      <c r="U38" s="104">
        <f t="shared" si="9"/>
        <v>240518.49999999997</v>
      </c>
      <c r="V38" s="104">
        <f t="shared" si="9"/>
        <v>265798.89</v>
      </c>
      <c r="W38" s="104">
        <f t="shared" si="9"/>
        <v>271451.12099999998</v>
      </c>
      <c r="X38" s="104">
        <f t="shared" si="9"/>
        <v>288572.87000000005</v>
      </c>
      <c r="Y38" s="104">
        <f t="shared" si="9"/>
        <v>302890.03400000004</v>
      </c>
      <c r="Z38" s="104">
        <f t="shared" si="9"/>
        <v>301427.47599999997</v>
      </c>
      <c r="AA38" s="104">
        <f t="shared" si="9"/>
        <v>289026.35400000005</v>
      </c>
      <c r="AB38" s="104">
        <f t="shared" si="9"/>
        <v>449845.43400000001</v>
      </c>
      <c r="AC38" s="104">
        <f t="shared" si="9"/>
        <v>485810</v>
      </c>
      <c r="AD38" s="104">
        <f t="shared" si="9"/>
        <v>393252.17800000007</v>
      </c>
      <c r="AE38" s="104">
        <f t="shared" si="9"/>
        <v>428121.06899999996</v>
      </c>
      <c r="AF38" s="104">
        <f t="shared" si="9"/>
        <v>294562.20299999998</v>
      </c>
      <c r="AG38" s="104">
        <f t="shared" si="9"/>
        <v>378075.52999999991</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56886.468000000001</v>
      </c>
      <c r="K40" s="20"/>
      <c r="L40" s="20"/>
      <c r="M40" s="20">
        <v>61905.504999999997</v>
      </c>
      <c r="N40" s="20"/>
      <c r="O40" s="20">
        <v>85297.170750000005</v>
      </c>
      <c r="P40" s="20"/>
      <c r="Q40" s="20"/>
      <c r="R40" s="66">
        <v>94762.217999999993</v>
      </c>
      <c r="S40" s="20">
        <v>129925.452</v>
      </c>
      <c r="T40" s="20">
        <v>74590.016000000003</v>
      </c>
      <c r="U40" s="20">
        <v>63157.65</v>
      </c>
      <c r="V40" s="20">
        <v>88944.221000000005</v>
      </c>
      <c r="W40" s="33">
        <v>80779.09</v>
      </c>
      <c r="X40" s="33">
        <v>78903.808000000005</v>
      </c>
      <c r="Y40" s="33">
        <v>78565.558999999994</v>
      </c>
      <c r="Z40" s="33">
        <v>75298.619000000006</v>
      </c>
      <c r="AA40" s="33">
        <v>77331.56</v>
      </c>
      <c r="AB40" s="33">
        <v>92800.801999999996</v>
      </c>
      <c r="AC40" s="33">
        <v>90223</v>
      </c>
      <c r="AD40" s="20">
        <v>91035.293999999994</v>
      </c>
      <c r="AE40" s="20">
        <v>96821.005999999994</v>
      </c>
      <c r="AF40" s="20">
        <v>49917.207000000002</v>
      </c>
      <c r="AG40" s="20">
        <v>54203.934999999998</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2727.7339999999999</v>
      </c>
      <c r="K41" s="20"/>
      <c r="L41" s="20"/>
      <c r="M41" s="20">
        <v>3661.0880000000002</v>
      </c>
      <c r="N41" s="20"/>
      <c r="O41" s="20">
        <v>5759.08</v>
      </c>
      <c r="P41" s="20"/>
      <c r="Q41" s="20"/>
      <c r="R41" s="66">
        <v>3777.4949999999999</v>
      </c>
      <c r="S41" s="20">
        <v>6466.4920000000002</v>
      </c>
      <c r="T41" s="20">
        <v>6797.598</v>
      </c>
      <c r="U41" s="20">
        <v>8601.741</v>
      </c>
      <c r="V41" s="20">
        <v>2467.8330000000001</v>
      </c>
      <c r="W41" s="33">
        <v>2251.9589999999998</v>
      </c>
      <c r="X41" s="33">
        <v>3533.1979999999999</v>
      </c>
      <c r="Y41" s="33">
        <v>27775.508999999998</v>
      </c>
      <c r="Z41" s="33">
        <v>7405.1120000000001</v>
      </c>
      <c r="AA41" s="33">
        <v>3541.0079999999998</v>
      </c>
      <c r="AB41" s="33">
        <v>5344.5360000000001</v>
      </c>
      <c r="AC41" s="33">
        <v>6636</v>
      </c>
      <c r="AD41" s="20">
        <v>11699.467000000001</v>
      </c>
      <c r="AE41" s="20">
        <v>11067.197</v>
      </c>
      <c r="AF41" s="20">
        <v>8034.7730000000001</v>
      </c>
      <c r="AG41" s="20">
        <v>12982.66</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40287.262000000002</v>
      </c>
      <c r="K42" s="20"/>
      <c r="L42" s="20"/>
      <c r="M42" s="20">
        <v>44666.610999999997</v>
      </c>
      <c r="N42" s="20"/>
      <c r="O42" s="20">
        <v>46883.987000000001</v>
      </c>
      <c r="P42" s="20"/>
      <c r="Q42" s="20"/>
      <c r="R42" s="66">
        <v>82274.894</v>
      </c>
      <c r="S42" s="20">
        <v>72296.36</v>
      </c>
      <c r="T42" s="20">
        <v>73026.870999999999</v>
      </c>
      <c r="U42" s="20">
        <v>28747.992999999999</v>
      </c>
      <c r="V42" s="20">
        <v>32344.991000000002</v>
      </c>
      <c r="W42" s="33">
        <v>35104.353999999999</v>
      </c>
      <c r="X42" s="33">
        <v>41098.017</v>
      </c>
      <c r="Y42" s="33">
        <v>45093.023000000001</v>
      </c>
      <c r="Z42" s="33">
        <v>56620.451000000001</v>
      </c>
      <c r="AA42" s="33">
        <v>55717.360999999997</v>
      </c>
      <c r="AB42" s="33">
        <v>63190.478000000003</v>
      </c>
      <c r="AC42" s="33">
        <v>69825</v>
      </c>
      <c r="AD42" s="20">
        <v>73191.542000000001</v>
      </c>
      <c r="AE42" s="20">
        <v>74504.471000000005</v>
      </c>
      <c r="AF42" s="20">
        <v>63952.860999999997</v>
      </c>
      <c r="AG42" s="20">
        <v>77782.448999999993</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18857.358</v>
      </c>
      <c r="K43" s="20"/>
      <c r="L43" s="20"/>
      <c r="M43" s="20">
        <v>14173.915999999999</v>
      </c>
      <c r="N43" s="20"/>
      <c r="O43" s="20">
        <v>13755.79377</v>
      </c>
      <c r="P43" s="20"/>
      <c r="Q43" s="20"/>
      <c r="R43" s="66">
        <v>16239.532999999999</v>
      </c>
      <c r="S43" s="20">
        <v>17072.205000000002</v>
      </c>
      <c r="T43" s="20">
        <v>16585.198</v>
      </c>
      <c r="U43" s="20">
        <v>13936.538</v>
      </c>
      <c r="V43" s="20">
        <v>17432.503000000001</v>
      </c>
      <c r="W43" s="33">
        <v>17953.131000000001</v>
      </c>
      <c r="X43" s="33">
        <v>17815.166000000001</v>
      </c>
      <c r="Y43" s="33">
        <v>25841.032999999999</v>
      </c>
      <c r="Z43" s="33">
        <v>22168.186000000002</v>
      </c>
      <c r="AA43" s="33">
        <v>1008.018</v>
      </c>
      <c r="AB43" s="33">
        <v>23546.28</v>
      </c>
      <c r="AC43" s="33">
        <v>26618</v>
      </c>
      <c r="AD43" s="20">
        <v>24757.486000000001</v>
      </c>
      <c r="AE43" s="20">
        <v>39212.072999999997</v>
      </c>
      <c r="AF43" s="20">
        <v>30958.065999999999</v>
      </c>
      <c r="AG43" s="20">
        <v>41916.953999999998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23766.816999999999</v>
      </c>
      <c r="K44" s="20"/>
      <c r="L44" s="20"/>
      <c r="M44" s="20">
        <v>33534.133000000002</v>
      </c>
      <c r="N44" s="20"/>
      <c r="O44" s="20">
        <v>39036.548340000001</v>
      </c>
      <c r="P44" s="20"/>
      <c r="Q44" s="20"/>
      <c r="R44" s="66">
        <v>103865.58100000001</v>
      </c>
      <c r="S44" s="20">
        <v>100352.74800000001</v>
      </c>
      <c r="T44" s="20">
        <v>90151.6</v>
      </c>
      <c r="U44" s="20">
        <v>29151.366999999998</v>
      </c>
      <c r="V44" s="20">
        <v>33078.756999999998</v>
      </c>
      <c r="W44" s="33">
        <v>38282.521999999997</v>
      </c>
      <c r="X44" s="33">
        <v>51056.940999999999</v>
      </c>
      <c r="Y44" s="33">
        <v>45294.71</v>
      </c>
      <c r="Z44" s="33">
        <v>46606.43</v>
      </c>
      <c r="AA44" s="33">
        <v>51118.792999999998</v>
      </c>
      <c r="AB44" s="33">
        <v>46894.152000000002</v>
      </c>
      <c r="AC44" s="33">
        <v>53621</v>
      </c>
      <c r="AD44" s="20">
        <v>46891.347000000002</v>
      </c>
      <c r="AE44" s="20">
        <v>45636.328000000001</v>
      </c>
      <c r="AF44" s="20">
        <v>45044.118999999999</v>
      </c>
      <c r="AG44" s="20">
        <v>47383.572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31764.664000000001</v>
      </c>
      <c r="K45" s="20"/>
      <c r="L45" s="20"/>
      <c r="M45" s="20">
        <v>47624.527999999998</v>
      </c>
      <c r="N45" s="20"/>
      <c r="O45" s="20">
        <v>34717.672530000003</v>
      </c>
      <c r="P45" s="20"/>
      <c r="Q45" s="20"/>
      <c r="R45" s="66">
        <v>18762.509999999998</v>
      </c>
      <c r="S45" s="20">
        <v>20447.05</v>
      </c>
      <c r="T45" s="20">
        <v>17263.187999999998</v>
      </c>
      <c r="U45" s="20">
        <v>8844.6849999999995</v>
      </c>
      <c r="V45" s="20">
        <v>8135.2879999999996</v>
      </c>
      <c r="W45" s="33">
        <v>7974.51</v>
      </c>
      <c r="X45" s="33">
        <v>7981.6</v>
      </c>
      <c r="Y45" s="33">
        <v>7532</v>
      </c>
      <c r="Z45" s="33">
        <v>8607</v>
      </c>
      <c r="AA45" s="33">
        <v>17293</v>
      </c>
      <c r="AB45" s="33">
        <v>13547.002</v>
      </c>
      <c r="AC45" s="33">
        <v>21810</v>
      </c>
      <c r="AD45" s="20">
        <v>17432</v>
      </c>
      <c r="AE45" s="20">
        <v>19079.001</v>
      </c>
      <c r="AF45" s="20">
        <v>4910</v>
      </c>
      <c r="AG45" s="20">
        <v>11196</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10259.884</v>
      </c>
      <c r="K46" s="20"/>
      <c r="L46" s="20"/>
      <c r="M46" s="20">
        <v>6374.826</v>
      </c>
      <c r="N46" s="20"/>
      <c r="O46" s="20">
        <v>17030.164000000001</v>
      </c>
      <c r="P46" s="20"/>
      <c r="Q46" s="20"/>
      <c r="R46" s="66">
        <v>8203.5550000000003</v>
      </c>
      <c r="S46" s="20">
        <v>90931.243000000002</v>
      </c>
      <c r="T46" s="20">
        <v>8123.3159999999998</v>
      </c>
      <c r="U46" s="20">
        <v>12258.962</v>
      </c>
      <c r="V46" s="20">
        <v>8619.8770000000004</v>
      </c>
      <c r="W46" s="33">
        <v>9862.2389999999996</v>
      </c>
      <c r="X46" s="33">
        <v>5725.5219999999999</v>
      </c>
      <c r="Y46" s="33">
        <v>6921.1189999999997</v>
      </c>
      <c r="Z46" s="33">
        <v>11768.197</v>
      </c>
      <c r="AA46" s="33">
        <v>4548.0240000000003</v>
      </c>
      <c r="AB46" s="33">
        <v>19691.342000000001</v>
      </c>
      <c r="AC46" s="33">
        <v>12486</v>
      </c>
      <c r="AD46" s="20">
        <v>14391.319</v>
      </c>
      <c r="AE46" s="20">
        <v>19062.990000000002</v>
      </c>
      <c r="AF46" s="20">
        <v>34047.947999999997</v>
      </c>
      <c r="AG46" s="20">
        <v>41739.947</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3036.03</v>
      </c>
      <c r="K47" s="20"/>
      <c r="L47" s="20"/>
      <c r="M47" s="20">
        <v>3818.4079999999999</v>
      </c>
      <c r="N47" s="20"/>
      <c r="O47" s="20">
        <v>7362.8019999999997</v>
      </c>
      <c r="P47" s="20"/>
      <c r="Q47" s="20"/>
      <c r="R47" s="92">
        <v>9087.42</v>
      </c>
      <c r="S47" s="20">
        <v>8489.4529999999995</v>
      </c>
      <c r="T47" s="20">
        <v>8537.2749999999996</v>
      </c>
      <c r="U47" s="20">
        <v>2972.6709999999998</v>
      </c>
      <c r="V47" s="20">
        <v>4171.2830000000004</v>
      </c>
      <c r="W47" s="33">
        <v>3504.7040000000002</v>
      </c>
      <c r="X47" s="33">
        <v>4701.6989999999996</v>
      </c>
      <c r="Y47" s="33">
        <v>4939.4459999999999</v>
      </c>
      <c r="Z47" s="33">
        <v>5601.6959999999999</v>
      </c>
      <c r="AA47" s="33">
        <v>8811.1859999999997</v>
      </c>
      <c r="AB47" s="33">
        <v>9341.0969999999998</v>
      </c>
      <c r="AC47" s="33">
        <v>18367</v>
      </c>
      <c r="AD47" s="20">
        <v>13514.95</v>
      </c>
      <c r="AE47" s="20">
        <v>7403.2049999999999</v>
      </c>
      <c r="AF47" s="20">
        <v>4415.7700000000004</v>
      </c>
      <c r="AG47" s="20">
        <v>12532.898999999999</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4261.0829999999996</v>
      </c>
      <c r="K48" s="20"/>
      <c r="L48" s="20"/>
      <c r="M48" s="20">
        <v>2942.7150000000001</v>
      </c>
      <c r="N48" s="20"/>
      <c r="O48" s="20">
        <v>10203.961780000001</v>
      </c>
      <c r="P48" s="20"/>
      <c r="Q48" s="20"/>
      <c r="R48" s="66">
        <v>11122.300999999999</v>
      </c>
      <c r="S48" s="20">
        <v>12807.214</v>
      </c>
      <c r="T48" s="20">
        <v>9323.2340000000004</v>
      </c>
      <c r="U48" s="20">
        <v>2885.7750000000001</v>
      </c>
      <c r="V48" s="20">
        <v>3186.4929999999999</v>
      </c>
      <c r="W48" s="33">
        <v>5182.0439999999999</v>
      </c>
      <c r="X48" s="33">
        <v>4514.8900000000003</v>
      </c>
      <c r="Y48" s="33">
        <v>6248.1660000000002</v>
      </c>
      <c r="Z48" s="33">
        <v>4934.2529999999997</v>
      </c>
      <c r="AA48" s="33">
        <v>6088.8469999999998</v>
      </c>
      <c r="AB48" s="33">
        <v>10477.803</v>
      </c>
      <c r="AC48" s="33">
        <v>12910</v>
      </c>
      <c r="AD48" s="20">
        <v>14399.187</v>
      </c>
      <c r="AE48" s="20">
        <v>13683.736000000001</v>
      </c>
      <c r="AF48" s="20">
        <v>1659.8979999999999</v>
      </c>
      <c r="AG48" s="20">
        <v>14586.058999999999</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18288.057000000001</v>
      </c>
      <c r="K49" s="20"/>
      <c r="L49" s="20"/>
      <c r="M49" s="20">
        <v>20810.674999999999</v>
      </c>
      <c r="N49" s="20"/>
      <c r="O49" s="20">
        <v>27375.212</v>
      </c>
      <c r="P49" s="20"/>
      <c r="Q49" s="20"/>
      <c r="R49" s="66">
        <v>36656.482000000004</v>
      </c>
      <c r="S49" s="20">
        <v>40036.474000000002</v>
      </c>
      <c r="T49" s="20">
        <v>37489.74</v>
      </c>
      <c r="U49" s="20">
        <v>39389.525000000001</v>
      </c>
      <c r="V49" s="20">
        <v>40494.739000000001</v>
      </c>
      <c r="W49" s="33">
        <v>41072.044999999998</v>
      </c>
      <c r="X49" s="33">
        <v>47353.383000000002</v>
      </c>
      <c r="Y49" s="33">
        <v>23860.188999999998</v>
      </c>
      <c r="Z49" s="33">
        <v>27437.166000000001</v>
      </c>
      <c r="AA49" s="33">
        <v>29733.744999999999</v>
      </c>
      <c r="AB49" s="33">
        <v>93990.89</v>
      </c>
      <c r="AC49" s="33">
        <v>89284</v>
      </c>
      <c r="AD49" s="20">
        <v>41065.42</v>
      </c>
      <c r="AE49" s="20">
        <v>54508.735000000001</v>
      </c>
      <c r="AF49" s="20">
        <v>32756.256000000001</v>
      </c>
      <c r="AG49" s="20">
        <v>39555.137999999999</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6.13</v>
      </c>
      <c r="K50" s="20"/>
      <c r="L50" s="20"/>
      <c r="M50" s="20">
        <v>10.321</v>
      </c>
      <c r="N50" s="20"/>
      <c r="O50" s="20">
        <v>5193.6571399999993</v>
      </c>
      <c r="P50" s="20"/>
      <c r="Q50" s="20"/>
      <c r="R50" s="66">
        <v>2865.8890000000001</v>
      </c>
      <c r="S50" s="20">
        <v>2530.7170000000001</v>
      </c>
      <c r="T50" s="20">
        <v>4928.8019999999997</v>
      </c>
      <c r="U50" s="20">
        <v>4260.5519999999997</v>
      </c>
      <c r="V50" s="20">
        <v>2235.7849999999999</v>
      </c>
      <c r="W50" s="33">
        <v>1923.0229999999999</v>
      </c>
      <c r="X50" s="33">
        <v>1032.0930000000001</v>
      </c>
      <c r="Y50" s="33">
        <v>969.48699999999997</v>
      </c>
      <c r="Z50" s="33">
        <v>529.577</v>
      </c>
      <c r="AA50" s="33">
        <v>1065.9449999999999</v>
      </c>
      <c r="AB50" s="33">
        <v>753.14400000000001</v>
      </c>
      <c r="AC50" s="33">
        <v>1210</v>
      </c>
      <c r="AD50" s="20">
        <v>1835.444</v>
      </c>
      <c r="AE50" s="20">
        <v>5194.5190000000002</v>
      </c>
      <c r="AF50" s="20">
        <v>2775.0419999999999</v>
      </c>
      <c r="AG50" s="20">
        <v>3052.9850000000001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26473.973999999998</v>
      </c>
      <c r="K51" s="51"/>
      <c r="L51" s="51"/>
      <c r="M51" s="51">
        <v>39816.076000000001</v>
      </c>
      <c r="N51" s="51"/>
      <c r="O51" s="51">
        <v>42056.521000000001</v>
      </c>
      <c r="P51" s="51"/>
      <c r="Q51" s="51"/>
      <c r="R51" s="67">
        <v>42823.11</v>
      </c>
      <c r="S51" s="51">
        <v>50085.620999999999</v>
      </c>
      <c r="T51" s="51">
        <v>38470.910000000003</v>
      </c>
      <c r="U51" s="51">
        <v>26311.041000000001</v>
      </c>
      <c r="V51" s="51">
        <v>24687.119999999999</v>
      </c>
      <c r="W51" s="50">
        <v>27561.5</v>
      </c>
      <c r="X51" s="50">
        <v>24856.553</v>
      </c>
      <c r="Y51" s="50">
        <v>29849.793000000001</v>
      </c>
      <c r="Z51" s="50">
        <v>34450.788999999997</v>
      </c>
      <c r="AA51" s="50">
        <v>32768.866999999998</v>
      </c>
      <c r="AB51" s="50">
        <v>70267.907999999996</v>
      </c>
      <c r="AC51" s="50">
        <v>82820</v>
      </c>
      <c r="AD51" s="51">
        <v>43038.722000000002</v>
      </c>
      <c r="AE51" s="51">
        <v>41947.807999999997</v>
      </c>
      <c r="AF51" s="51">
        <v>16090.263000000001</v>
      </c>
      <c r="AG51" s="51">
        <v>21142.932000000001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B52" s="104">
        <f>SUM(B54:B62)</f>
        <v>0</v>
      </c>
      <c r="C52" s="104">
        <f t="shared" ref="C52:AG52" si="10">SUM(C54:C62)</f>
        <v>0</v>
      </c>
      <c r="D52" s="104">
        <f t="shared" si="10"/>
        <v>0</v>
      </c>
      <c r="E52" s="104">
        <f t="shared" si="10"/>
        <v>0</v>
      </c>
      <c r="F52" s="104">
        <f t="shared" si="10"/>
        <v>0</v>
      </c>
      <c r="G52" s="104">
        <f t="shared" si="10"/>
        <v>0</v>
      </c>
      <c r="H52" s="104">
        <f t="shared" si="10"/>
        <v>0</v>
      </c>
      <c r="I52" s="104">
        <f t="shared" si="10"/>
        <v>0</v>
      </c>
      <c r="J52" s="104">
        <f t="shared" si="10"/>
        <v>79295.513999999996</v>
      </c>
      <c r="K52" s="104">
        <f t="shared" si="10"/>
        <v>0</v>
      </c>
      <c r="L52" s="104">
        <f t="shared" si="10"/>
        <v>0</v>
      </c>
      <c r="M52" s="104">
        <f t="shared" si="10"/>
        <v>99801.945999999996</v>
      </c>
      <c r="N52" s="104">
        <f t="shared" si="10"/>
        <v>0</v>
      </c>
      <c r="O52" s="104">
        <f t="shared" si="10"/>
        <v>94590.038389999987</v>
      </c>
      <c r="P52" s="104">
        <f t="shared" si="10"/>
        <v>0</v>
      </c>
      <c r="Q52" s="104">
        <f t="shared" si="10"/>
        <v>0</v>
      </c>
      <c r="R52" s="104">
        <f t="shared" si="10"/>
        <v>98279.12</v>
      </c>
      <c r="S52" s="104">
        <f t="shared" si="10"/>
        <v>110227.659</v>
      </c>
      <c r="T52" s="104">
        <f t="shared" si="10"/>
        <v>117337.171</v>
      </c>
      <c r="U52" s="104">
        <f t="shared" si="10"/>
        <v>130110.51000000001</v>
      </c>
      <c r="V52" s="104">
        <f t="shared" si="10"/>
        <v>170401.82900000003</v>
      </c>
      <c r="W52" s="104">
        <f t="shared" si="10"/>
        <v>181218.97099999999</v>
      </c>
      <c r="X52" s="104">
        <f t="shared" si="10"/>
        <v>175082.712</v>
      </c>
      <c r="Y52" s="104">
        <f t="shared" si="10"/>
        <v>164079.77600000001</v>
      </c>
      <c r="Z52" s="104">
        <f t="shared" si="10"/>
        <v>224022.565</v>
      </c>
      <c r="AA52" s="104">
        <f t="shared" si="10"/>
        <v>219417.43600000002</v>
      </c>
      <c r="AB52" s="104">
        <f t="shared" si="10"/>
        <v>295867.98199999996</v>
      </c>
      <c r="AC52" s="104">
        <f t="shared" si="10"/>
        <v>314024</v>
      </c>
      <c r="AD52" s="104">
        <f t="shared" si="10"/>
        <v>357384.58999999997</v>
      </c>
      <c r="AE52" s="104">
        <f t="shared" si="10"/>
        <v>272177.54700000002</v>
      </c>
      <c r="AF52" s="104">
        <f t="shared" si="10"/>
        <v>236905.46100000001</v>
      </c>
      <c r="AG52" s="104">
        <f t="shared" si="10"/>
        <v>267327.935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1856.748</v>
      </c>
      <c r="K54" s="20"/>
      <c r="L54" s="20"/>
      <c r="M54" s="65">
        <v>6260.1409999999996</v>
      </c>
      <c r="N54" s="20"/>
      <c r="O54" s="20">
        <v>7235.4154699999999</v>
      </c>
      <c r="P54" s="20"/>
      <c r="Q54" s="20"/>
      <c r="R54" s="66">
        <v>5813.77</v>
      </c>
      <c r="S54" s="20">
        <v>10341.569</v>
      </c>
      <c r="T54" s="20">
        <v>8188.0060000000003</v>
      </c>
      <c r="U54" s="20">
        <v>20791.89</v>
      </c>
      <c r="V54" s="20">
        <v>32574.524000000001</v>
      </c>
      <c r="W54" s="33">
        <v>13558.766</v>
      </c>
      <c r="X54" s="33">
        <v>14152.132</v>
      </c>
      <c r="Y54" s="33">
        <v>17584.968000000001</v>
      </c>
      <c r="Z54" s="33">
        <v>12822.218999999999</v>
      </c>
      <c r="AA54" s="33">
        <v>18903.053</v>
      </c>
      <c r="AB54" s="33">
        <v>13497.883</v>
      </c>
      <c r="AC54" s="33">
        <v>9897</v>
      </c>
      <c r="AD54" s="20">
        <v>11212.849</v>
      </c>
      <c r="AE54" s="20">
        <v>18614.169999999998</v>
      </c>
      <c r="AF54" s="20">
        <v>9838.3539999999994</v>
      </c>
      <c r="AG54" s="20">
        <v>25850.094000000001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990.15700000000004</v>
      </c>
      <c r="K55" s="20"/>
      <c r="L55" s="20"/>
      <c r="M55" s="20">
        <v>1083.4100000000001</v>
      </c>
      <c r="N55" s="20"/>
      <c r="O55" s="20">
        <v>1166.2470000000001</v>
      </c>
      <c r="P55" s="20"/>
      <c r="Q55" s="20"/>
      <c r="R55" s="66">
        <v>1692.0070000000001</v>
      </c>
      <c r="S55" s="20">
        <v>1183.875</v>
      </c>
      <c r="T55" s="20">
        <v>12584.779</v>
      </c>
      <c r="U55" s="20">
        <v>4953.8180000000002</v>
      </c>
      <c r="V55" s="20">
        <v>6985.6620000000003</v>
      </c>
      <c r="W55" s="33">
        <v>6682.8509999999997</v>
      </c>
      <c r="X55" s="33">
        <v>8046.1409999999996</v>
      </c>
      <c r="Y55" s="33">
        <v>2780.9630000000002</v>
      </c>
      <c r="Z55" s="33">
        <v>6965.5219999999999</v>
      </c>
      <c r="AA55" s="33">
        <v>366.697</v>
      </c>
      <c r="AB55" s="33">
        <v>3524.4110000000001</v>
      </c>
      <c r="AC55" s="33">
        <v>2242</v>
      </c>
      <c r="AD55" s="20">
        <v>2178.5369999999998</v>
      </c>
      <c r="AE55" s="20">
        <v>6362.2610000000004</v>
      </c>
      <c r="AF55" s="20">
        <v>4510.6189999999997</v>
      </c>
      <c r="AG55" s="20">
        <v>4021.8270000000002</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6303.5770000000002</v>
      </c>
      <c r="K56" s="20"/>
      <c r="L56" s="20"/>
      <c r="M56" s="20">
        <v>8421.66</v>
      </c>
      <c r="N56" s="20"/>
      <c r="O56" s="20">
        <v>9659.59</v>
      </c>
      <c r="P56" s="20"/>
      <c r="Q56" s="20"/>
      <c r="R56" s="66">
        <v>14566.191999999999</v>
      </c>
      <c r="S56" s="20">
        <v>12654.934999999999</v>
      </c>
      <c r="T56" s="20">
        <v>12424.537</v>
      </c>
      <c r="U56" s="20">
        <v>13730.736000000001</v>
      </c>
      <c r="V56" s="20">
        <v>14506.849</v>
      </c>
      <c r="W56" s="33">
        <v>18151.019</v>
      </c>
      <c r="X56" s="33">
        <v>19853.583999999999</v>
      </c>
      <c r="Y56" s="33">
        <v>21180.324000000001</v>
      </c>
      <c r="Z56" s="33">
        <v>21204.732</v>
      </c>
      <c r="AA56" s="33">
        <v>15122.423000000001</v>
      </c>
      <c r="AB56" s="33">
        <v>52191.904000000002</v>
      </c>
      <c r="AC56" s="33">
        <v>33879</v>
      </c>
      <c r="AD56" s="20">
        <v>22705.956999999999</v>
      </c>
      <c r="AE56" s="20">
        <v>26127.044000000002</v>
      </c>
      <c r="AF56" s="20">
        <v>19506.343000000001</v>
      </c>
      <c r="AG56" s="20">
        <v>16931.843000000001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362.50599999999997</v>
      </c>
      <c r="K57" s="20"/>
      <c r="L57" s="20"/>
      <c r="M57" s="20">
        <v>734.19</v>
      </c>
      <c r="N57" s="20"/>
      <c r="O57" s="20">
        <v>417.73471000000001</v>
      </c>
      <c r="P57" s="20"/>
      <c r="Q57" s="20"/>
      <c r="R57" s="92">
        <v>301.06299999999999</v>
      </c>
      <c r="S57" s="20">
        <v>281.39999999999998</v>
      </c>
      <c r="T57" s="20">
        <v>402.07900000000001</v>
      </c>
      <c r="U57" s="20">
        <v>337.07600000000002</v>
      </c>
      <c r="V57" s="20">
        <v>7954.1589999999997</v>
      </c>
      <c r="W57" s="33">
        <v>8619.8850000000002</v>
      </c>
      <c r="X57" s="33">
        <v>8348.4940000000006</v>
      </c>
      <c r="Y57" s="33">
        <v>0</v>
      </c>
      <c r="Z57" s="33">
        <v>232.49700000000001</v>
      </c>
      <c r="AA57" s="33">
        <v>230.36600000000001</v>
      </c>
      <c r="AB57" s="33">
        <v>4779.1620000000003</v>
      </c>
      <c r="AC57" s="33">
        <v>3041</v>
      </c>
      <c r="AD57" s="20">
        <v>1991.202</v>
      </c>
      <c r="AE57" s="20">
        <v>10838.197</v>
      </c>
      <c r="AF57" s="20">
        <v>10938.324000000001</v>
      </c>
      <c r="AG57" s="20">
        <v>790.71699999999998</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14366.092000000001</v>
      </c>
      <c r="K58" s="20"/>
      <c r="L58" s="20"/>
      <c r="M58" s="20">
        <v>18403.748</v>
      </c>
      <c r="N58" s="20"/>
      <c r="O58" s="20">
        <v>19873.234</v>
      </c>
      <c r="P58" s="20"/>
      <c r="Q58" s="20"/>
      <c r="R58" s="92">
        <v>24777.456999999999</v>
      </c>
      <c r="S58" s="20">
        <v>27003.674999999999</v>
      </c>
      <c r="T58" s="20">
        <v>19733.886999999999</v>
      </c>
      <c r="U58" s="20">
        <v>18010.507000000001</v>
      </c>
      <c r="V58" s="20">
        <v>27940.738000000001</v>
      </c>
      <c r="W58" s="33">
        <v>34086.214</v>
      </c>
      <c r="X58" s="33">
        <v>27629.126</v>
      </c>
      <c r="Y58" s="33">
        <v>30554.683000000001</v>
      </c>
      <c r="Z58" s="33">
        <v>46259.406999999999</v>
      </c>
      <c r="AA58" s="33">
        <v>37557.245000000003</v>
      </c>
      <c r="AB58" s="33">
        <v>58446.078000000001</v>
      </c>
      <c r="AC58" s="33">
        <v>37172</v>
      </c>
      <c r="AD58" s="20">
        <v>90021.375</v>
      </c>
      <c r="AE58" s="20">
        <v>37159.135000000002</v>
      </c>
      <c r="AF58" s="20">
        <v>33838.478000000003</v>
      </c>
      <c r="AG58" s="20">
        <v>35297.927000000003</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40988.828999999998</v>
      </c>
      <c r="K59" s="20"/>
      <c r="L59" s="20"/>
      <c r="M59" s="20">
        <v>51539.163999999997</v>
      </c>
      <c r="N59" s="20"/>
      <c r="O59" s="20">
        <v>43514.036</v>
      </c>
      <c r="P59" s="20"/>
      <c r="Q59" s="20"/>
      <c r="R59" s="92">
        <v>38772.046999999999</v>
      </c>
      <c r="S59" s="20">
        <v>42730.837</v>
      </c>
      <c r="T59" s="20">
        <v>46204.845999999998</v>
      </c>
      <c r="U59" s="20">
        <v>50662.330999999998</v>
      </c>
      <c r="V59" s="20">
        <v>52066.495999999999</v>
      </c>
      <c r="W59" s="33">
        <v>69147.900999999998</v>
      </c>
      <c r="X59" s="33">
        <v>64749.483</v>
      </c>
      <c r="Y59" s="33">
        <v>53682.042000000001</v>
      </c>
      <c r="Z59" s="33">
        <v>102965.624</v>
      </c>
      <c r="AA59" s="33">
        <v>101996.54399999999</v>
      </c>
      <c r="AB59" s="33">
        <v>112560.431</v>
      </c>
      <c r="AC59" s="33">
        <v>168452</v>
      </c>
      <c r="AD59" s="20">
        <v>150130.81599999999</v>
      </c>
      <c r="AE59" s="20">
        <v>95553.447</v>
      </c>
      <c r="AF59" s="20">
        <v>88937.505999999994</v>
      </c>
      <c r="AG59" s="20">
        <v>104304.803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12497.65</v>
      </c>
      <c r="K60" s="20"/>
      <c r="L60" s="20"/>
      <c r="M60" s="20">
        <v>11654.942999999999</v>
      </c>
      <c r="N60" s="20"/>
      <c r="O60" s="20">
        <v>11129.859210000001</v>
      </c>
      <c r="P60" s="20"/>
      <c r="Q60" s="20"/>
      <c r="R60" s="66">
        <v>11586.721</v>
      </c>
      <c r="S60" s="20">
        <v>12498.282999999999</v>
      </c>
      <c r="T60" s="20">
        <v>15989.8</v>
      </c>
      <c r="U60" s="20">
        <v>19436.439999999999</v>
      </c>
      <c r="V60" s="20">
        <v>23042.642</v>
      </c>
      <c r="W60" s="33">
        <v>25200.796999999999</v>
      </c>
      <c r="X60" s="33">
        <v>29021.093000000001</v>
      </c>
      <c r="Y60" s="33">
        <v>34740.146999999997</v>
      </c>
      <c r="Z60" s="33">
        <v>28990.217000000001</v>
      </c>
      <c r="AA60" s="33">
        <v>37442.792999999998</v>
      </c>
      <c r="AB60" s="33">
        <v>47151.968000000001</v>
      </c>
      <c r="AC60" s="33">
        <v>53040</v>
      </c>
      <c r="AD60" s="20">
        <v>70087.929000000004</v>
      </c>
      <c r="AE60" s="20">
        <v>71355.517000000007</v>
      </c>
      <c r="AF60" s="20">
        <v>65005.122000000003</v>
      </c>
      <c r="AG60" s="20">
        <v>72269.763999999996</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793.99599999999998</v>
      </c>
      <c r="K61" s="20"/>
      <c r="L61" s="20"/>
      <c r="M61" s="20">
        <v>1606.644</v>
      </c>
      <c r="N61" s="20"/>
      <c r="O61" s="20">
        <v>1489.1130000000001</v>
      </c>
      <c r="P61" s="20"/>
      <c r="Q61" s="20"/>
      <c r="R61" s="66">
        <v>628.69200000000001</v>
      </c>
      <c r="S61" s="20">
        <v>3275.145</v>
      </c>
      <c r="T61" s="20">
        <v>1742.1669999999999</v>
      </c>
      <c r="U61" s="20">
        <v>2186.6089999999999</v>
      </c>
      <c r="V61" s="20">
        <v>3270.7220000000002</v>
      </c>
      <c r="W61" s="33">
        <v>3278.0949999999998</v>
      </c>
      <c r="X61" s="33">
        <v>3221.913</v>
      </c>
      <c r="Y61" s="33">
        <v>3461.4160000000002</v>
      </c>
      <c r="Z61" s="33">
        <v>4487.973</v>
      </c>
      <c r="AA61" s="33">
        <v>3573.6019999999999</v>
      </c>
      <c r="AB61" s="33">
        <v>3623.2629999999999</v>
      </c>
      <c r="AC61" s="33">
        <v>6112</v>
      </c>
      <c r="AD61" s="20">
        <v>8819.93</v>
      </c>
      <c r="AE61" s="20">
        <v>4621.5649999999996</v>
      </c>
      <c r="AF61" s="20">
        <v>3990.0839999999998</v>
      </c>
      <c r="AG61" s="20">
        <v>4332.4930000000004</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1135.9590000000001</v>
      </c>
      <c r="K62" s="51"/>
      <c r="L62" s="51"/>
      <c r="M62" s="51">
        <v>98.046000000000006</v>
      </c>
      <c r="N62" s="51"/>
      <c r="O62" s="51">
        <v>104.809</v>
      </c>
      <c r="P62" s="51"/>
      <c r="Q62" s="51"/>
      <c r="R62" s="67">
        <v>141.17099999999999</v>
      </c>
      <c r="S62" s="51">
        <v>257.94</v>
      </c>
      <c r="T62" s="51">
        <v>67.069999999999993</v>
      </c>
      <c r="U62" s="51">
        <v>1.103</v>
      </c>
      <c r="V62" s="51">
        <v>2060.0369999999998</v>
      </c>
      <c r="W62" s="50">
        <v>2493.4430000000002</v>
      </c>
      <c r="X62" s="50">
        <v>60.746000000000002</v>
      </c>
      <c r="Y62" s="50">
        <v>95.233000000000004</v>
      </c>
      <c r="Z62" s="50">
        <v>94.373999999999995</v>
      </c>
      <c r="AA62" s="50">
        <v>4224.7129999999997</v>
      </c>
      <c r="AB62" s="50">
        <v>92.882000000000005</v>
      </c>
      <c r="AC62" s="50">
        <v>189</v>
      </c>
      <c r="AD62" s="20">
        <v>235.995</v>
      </c>
      <c r="AE62" s="20">
        <v>1546.211</v>
      </c>
      <c r="AF62" s="51">
        <v>340.63099999999997</v>
      </c>
      <c r="AG62" s="51">
        <v>3528.4670000000001</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0</v>
      </c>
      <c r="T63" s="86">
        <v>0</v>
      </c>
      <c r="U63" s="86">
        <v>0</v>
      </c>
      <c r="V63" s="86">
        <v>0</v>
      </c>
      <c r="W63" s="87">
        <v>0</v>
      </c>
      <c r="X63" s="87">
        <v>0</v>
      </c>
      <c r="Y63" s="87">
        <v>0</v>
      </c>
      <c r="Z63" s="87">
        <v>0</v>
      </c>
      <c r="AA63" s="87"/>
      <c r="AB63" s="87">
        <v>0</v>
      </c>
      <c r="AC63" s="87">
        <v>0</v>
      </c>
      <c r="AD63" s="87">
        <v>0</v>
      </c>
      <c r="AE63" s="87">
        <v>0</v>
      </c>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t="s">
        <v>51</v>
      </c>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t="s">
        <v>76</v>
      </c>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t="s">
        <v>77</v>
      </c>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t="s">
        <v>49</v>
      </c>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t="s">
        <v>78</v>
      </c>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t="s">
        <v>79</v>
      </c>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75" right="0.75" top="1" bottom="1" header="0.5" footer="0.5"/>
  <headerFooter alignWithMargins="0"/>
  <legacy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2">
    <tabColor rgb="FFFF0000"/>
  </sheetPr>
  <dimension ref="A1:AE79"/>
  <sheetViews>
    <sheetView showGridLines="0" view="pageBreakPreview" zoomScaleNormal="110" zoomScaleSheetLayoutView="100" workbookViewId="0">
      <selection activeCell="T12" sqref="T12"/>
    </sheetView>
  </sheetViews>
  <sheetFormatPr defaultColWidth="9.7109375" defaultRowHeight="12.75"/>
  <cols>
    <col min="1" max="1" width="7.5703125" style="11" customWidth="1"/>
    <col min="2" max="2" width="9.7109375" style="11" customWidth="1"/>
    <col min="3" max="3" width="8.85546875" style="22" customWidth="1"/>
    <col min="4" max="5" width="8.7109375" style="11" customWidth="1"/>
    <col min="6" max="7" width="9.7109375" style="11" customWidth="1"/>
    <col min="8" max="11" width="8.7109375" style="11" customWidth="1"/>
    <col min="12" max="13" width="9.7109375" style="11" customWidth="1"/>
    <col min="14" max="14" width="8.7109375" style="11" customWidth="1"/>
    <col min="15" max="15" width="4.28515625" style="11" customWidth="1"/>
    <col min="16" max="16" width="7.85546875" style="11" customWidth="1"/>
    <col min="17" max="17" width="7.140625" style="11" customWidth="1"/>
    <col min="18" max="18" width="7.28515625" style="11" customWidth="1"/>
    <col min="19" max="20" width="9.5703125" style="11" customWidth="1"/>
    <col min="21" max="21" width="7.140625" style="11" customWidth="1"/>
    <col min="22" max="22" width="3" style="11" customWidth="1"/>
    <col min="23" max="24" width="8.85546875" style="11" customWidth="1"/>
    <col min="25" max="25" width="1.85546875" customWidth="1"/>
    <col min="28" max="30" width="9.7109375" style="179"/>
  </cols>
  <sheetData>
    <row r="1" spans="1:31">
      <c r="A1" s="7" t="s">
        <v>162</v>
      </c>
      <c r="B1" s="7"/>
      <c r="C1" s="5"/>
      <c r="D1" s="5"/>
      <c r="E1" s="7"/>
      <c r="F1" s="5"/>
      <c r="G1" s="5"/>
      <c r="I1" s="5"/>
      <c r="J1" s="5"/>
      <c r="K1" s="5"/>
      <c r="L1" s="5"/>
      <c r="M1" s="5"/>
      <c r="N1" s="5"/>
      <c r="O1" s="17"/>
      <c r="P1" s="17"/>
      <c r="Q1" s="17"/>
      <c r="R1" s="17"/>
      <c r="S1" s="17"/>
      <c r="T1" s="17"/>
      <c r="U1" s="17"/>
      <c r="V1" s="17"/>
      <c r="W1" s="25"/>
      <c r="X1" s="25"/>
      <c r="Y1" s="1"/>
      <c r="Z1" s="1"/>
      <c r="AA1" s="1"/>
      <c r="AB1" s="1"/>
      <c r="AC1" s="1"/>
      <c r="AD1" s="1"/>
      <c r="AE1" s="1"/>
    </row>
    <row r="2" spans="1:31" ht="14.25">
      <c r="A2" s="7" t="s">
        <v>152</v>
      </c>
      <c r="B2" s="7"/>
      <c r="C2" s="3"/>
      <c r="D2" s="3"/>
      <c r="E2" s="7"/>
      <c r="F2" s="3"/>
      <c r="G2" s="3"/>
      <c r="H2" s="3"/>
      <c r="I2" s="5"/>
      <c r="J2" s="5"/>
      <c r="K2" s="5"/>
      <c r="L2" s="5"/>
      <c r="M2" s="7"/>
      <c r="N2" s="5"/>
      <c r="O2" s="3"/>
      <c r="P2" s="3"/>
      <c r="Q2" s="3"/>
      <c r="R2" s="3"/>
      <c r="S2" s="3"/>
      <c r="T2" s="3"/>
      <c r="U2" s="3"/>
      <c r="V2" s="3"/>
      <c r="W2" s="25"/>
      <c r="X2" s="25"/>
      <c r="Y2" s="1"/>
      <c r="Z2" s="1"/>
      <c r="AA2" s="1"/>
      <c r="AB2" s="1"/>
      <c r="AC2" s="1"/>
      <c r="AD2" s="1"/>
      <c r="AE2" s="1"/>
    </row>
    <row r="3" spans="1:31">
      <c r="A3" s="7" t="s">
        <v>59</v>
      </c>
      <c r="B3" s="7"/>
      <c r="C3" s="3"/>
      <c r="D3" s="3"/>
      <c r="E3" s="7"/>
      <c r="F3" s="3"/>
      <c r="G3" s="3"/>
      <c r="H3" s="3"/>
      <c r="I3" s="5"/>
      <c r="J3" s="5"/>
      <c r="K3" s="5"/>
      <c r="L3" s="5"/>
      <c r="M3" s="5"/>
      <c r="N3" s="5"/>
      <c r="O3" s="37"/>
      <c r="P3" s="3"/>
      <c r="Q3" s="3"/>
      <c r="R3" s="3"/>
      <c r="S3" s="3"/>
      <c r="T3" s="3"/>
      <c r="U3" s="3"/>
      <c r="V3" s="3"/>
      <c r="W3" s="26"/>
      <c r="X3" s="26"/>
      <c r="Y3" s="1"/>
      <c r="Z3" s="1"/>
      <c r="AA3" s="1"/>
      <c r="AB3" s="1"/>
      <c r="AC3" s="1"/>
      <c r="AD3" s="1"/>
      <c r="AE3" s="1"/>
    </row>
    <row r="4" spans="1:31">
      <c r="A4" s="3"/>
      <c r="B4" s="3"/>
      <c r="C4" s="3"/>
      <c r="D4" s="3"/>
      <c r="E4" s="3"/>
      <c r="F4" s="3"/>
      <c r="G4" s="3"/>
      <c r="H4" s="3"/>
      <c r="I4" s="3"/>
      <c r="J4" s="3"/>
      <c r="K4" s="3"/>
      <c r="L4" s="3"/>
      <c r="M4" s="3"/>
      <c r="N4" s="3"/>
      <c r="O4" s="37"/>
      <c r="P4" s="3"/>
      <c r="Q4" s="3"/>
      <c r="R4" s="3"/>
      <c r="S4" s="3"/>
      <c r="T4" s="3"/>
      <c r="U4" s="3"/>
      <c r="V4" s="3"/>
      <c r="W4" s="26"/>
      <c r="X4" s="26"/>
      <c r="Y4" s="1"/>
      <c r="Z4" s="1"/>
      <c r="AA4" s="1"/>
      <c r="AB4" s="1"/>
      <c r="AC4" s="1"/>
      <c r="AD4" s="1"/>
      <c r="AE4" s="1"/>
    </row>
    <row r="5" spans="1:31">
      <c r="A5" s="8"/>
      <c r="B5" s="8"/>
      <c r="C5" s="2" t="s">
        <v>163</v>
      </c>
      <c r="D5" s="2"/>
      <c r="E5" s="2"/>
      <c r="F5" s="136"/>
      <c r="G5" s="2"/>
      <c r="H5" s="2"/>
      <c r="I5" s="125" t="s">
        <v>164</v>
      </c>
      <c r="J5" s="2"/>
      <c r="K5" s="2"/>
      <c r="L5" s="203"/>
      <c r="M5" s="2"/>
      <c r="N5" s="2"/>
      <c r="O5" s="37"/>
      <c r="P5" s="2" t="s">
        <v>165</v>
      </c>
      <c r="Q5" s="2"/>
      <c r="R5" s="2"/>
      <c r="S5" s="2"/>
      <c r="T5" s="2"/>
      <c r="U5" s="2"/>
      <c r="V5" s="31"/>
      <c r="W5" s="26"/>
      <c r="X5" s="26"/>
      <c r="Y5" s="3"/>
      <c r="Z5" s="3"/>
      <c r="AA5" s="3"/>
      <c r="AB5" s="3"/>
      <c r="AC5" s="3"/>
      <c r="AD5" s="3"/>
      <c r="AE5" s="3"/>
    </row>
    <row r="6" spans="1:31">
      <c r="A6" s="9"/>
      <c r="B6" s="9"/>
      <c r="C6" s="171"/>
      <c r="D6" s="28"/>
      <c r="E6" s="29"/>
      <c r="F6" s="125"/>
      <c r="G6" s="29"/>
      <c r="H6" s="28"/>
      <c r="I6" s="125"/>
      <c r="J6" s="28"/>
      <c r="K6" s="29"/>
      <c r="L6" s="125"/>
      <c r="M6" s="29"/>
      <c r="N6" s="28"/>
      <c r="O6" s="37"/>
      <c r="P6" s="2" t="s">
        <v>52</v>
      </c>
      <c r="Q6" s="28"/>
      <c r="R6" s="29"/>
      <c r="S6" s="2" t="s">
        <v>53</v>
      </c>
      <c r="T6" s="29"/>
      <c r="U6" s="4"/>
      <c r="V6" s="14"/>
      <c r="W6" s="26"/>
      <c r="X6" s="26"/>
      <c r="Y6" s="3"/>
      <c r="Z6" s="3"/>
      <c r="AA6" s="3"/>
      <c r="AB6" s="3"/>
      <c r="AC6" s="3"/>
      <c r="AD6" s="3"/>
      <c r="AE6" s="3"/>
    </row>
    <row r="7" spans="1:31" ht="25.5">
      <c r="A7" s="9"/>
      <c r="B7" s="9"/>
      <c r="C7" s="172" t="s">
        <v>151</v>
      </c>
      <c r="D7" s="48" t="s">
        <v>23</v>
      </c>
      <c r="E7" s="49"/>
      <c r="F7" s="126" t="s">
        <v>65</v>
      </c>
      <c r="G7" s="71"/>
      <c r="H7" s="30" t="s">
        <v>54</v>
      </c>
      <c r="I7" s="170" t="s">
        <v>151</v>
      </c>
      <c r="J7" s="48" t="s">
        <v>23</v>
      </c>
      <c r="K7" s="49"/>
      <c r="L7" s="126" t="s">
        <v>65</v>
      </c>
      <c r="M7" s="71"/>
      <c r="N7" s="30" t="s">
        <v>54</v>
      </c>
      <c r="O7" s="37"/>
      <c r="P7" s="31" t="s">
        <v>27</v>
      </c>
      <c r="Q7" s="230" t="s">
        <v>23</v>
      </c>
      <c r="R7" s="231"/>
      <c r="S7" s="5" t="s">
        <v>65</v>
      </c>
      <c r="T7" s="71"/>
      <c r="U7" s="5" t="s">
        <v>54</v>
      </c>
      <c r="V7" s="5" t="s">
        <v>63</v>
      </c>
      <c r="W7" s="80" t="s">
        <v>83</v>
      </c>
      <c r="X7" s="80"/>
      <c r="Y7" s="3"/>
      <c r="Z7" s="186" t="s">
        <v>105</v>
      </c>
      <c r="AA7" s="187"/>
      <c r="AB7" s="186" t="s">
        <v>65</v>
      </c>
      <c r="AC7" s="187"/>
      <c r="AD7" s="80" t="s">
        <v>83</v>
      </c>
      <c r="AE7" s="80"/>
    </row>
    <row r="8" spans="1:31" ht="14.25">
      <c r="A8" s="10"/>
      <c r="B8" s="10"/>
      <c r="C8" s="233" t="s">
        <v>55</v>
      </c>
      <c r="D8" s="205" t="s">
        <v>56</v>
      </c>
      <c r="E8" s="206" t="s">
        <v>57</v>
      </c>
      <c r="F8" s="205" t="s">
        <v>58</v>
      </c>
      <c r="G8" s="207" t="s">
        <v>62</v>
      </c>
      <c r="H8" s="208" t="s">
        <v>99</v>
      </c>
      <c r="I8" s="127" t="s">
        <v>55</v>
      </c>
      <c r="J8" s="205" t="s">
        <v>56</v>
      </c>
      <c r="K8" s="206" t="s">
        <v>57</v>
      </c>
      <c r="L8" s="205" t="s">
        <v>58</v>
      </c>
      <c r="M8" s="207" t="s">
        <v>62</v>
      </c>
      <c r="N8" s="208" t="s">
        <v>99</v>
      </c>
      <c r="O8" s="37"/>
      <c r="P8" s="207" t="s">
        <v>55</v>
      </c>
      <c r="Q8" s="205" t="s">
        <v>56</v>
      </c>
      <c r="R8" s="206" t="s">
        <v>57</v>
      </c>
      <c r="S8" s="210" t="s">
        <v>58</v>
      </c>
      <c r="T8" s="207" t="s">
        <v>62</v>
      </c>
      <c r="U8" s="208" t="s">
        <v>99</v>
      </c>
      <c r="V8" s="47"/>
      <c r="W8" s="213" t="s">
        <v>165</v>
      </c>
      <c r="X8" s="212" t="s">
        <v>163</v>
      </c>
      <c r="Y8" s="3"/>
      <c r="Z8" s="213" t="s">
        <v>165</v>
      </c>
      <c r="AA8" s="212" t="s">
        <v>163</v>
      </c>
      <c r="AB8" s="213" t="s">
        <v>165</v>
      </c>
      <c r="AC8" s="212" t="s">
        <v>163</v>
      </c>
      <c r="AD8" s="213" t="s">
        <v>165</v>
      </c>
      <c r="AE8" s="202" t="s">
        <v>163</v>
      </c>
    </row>
    <row r="9" spans="1:31">
      <c r="A9" s="116" t="s">
        <v>142</v>
      </c>
      <c r="B9" s="116"/>
      <c r="C9" s="135">
        <f>('Tuition-2Yr'!AF4/'Total E&amp;G-2Yr'!AF4)*100</f>
        <v>28.921403855406712</v>
      </c>
      <c r="D9" s="144">
        <f>('State Appropriations-2Yr'!AF4)/('Total E&amp;G-2Yr'!AF4)*100</f>
        <v>24.795323418319345</v>
      </c>
      <c r="E9" s="214">
        <f>IF((('Local Appropriations-2Yr'!AF4/'Total E&amp;G-2Yr'!AF4)*100)=0,(('Local Appropriations-2Yr'!AF4/'Total E&amp;G-2Yr'!AF4)*100),IF((('Local Appropriations-2Yr'!AF4/'Total E&amp;G-2Yr'!AF4)*100)&gt;=0.05,('Local Appropriations-2Yr'!AF4/'Total E&amp;G-2Yr'!AF4)*100,"*"))</f>
        <v>14.093044062811295</v>
      </c>
      <c r="F9" s="144">
        <f>('Fed Contracts Grnts-2Yr'!AF4)/('Total E&amp;G-2Yr'!AF4)*100</f>
        <v>22.602111777866373</v>
      </c>
      <c r="G9" s="135">
        <f>('Other Contracts Grnts-2Yr'!AF4/'Total E&amp;G-2Yr'!AF4)*100</f>
        <v>6.3200073648242556</v>
      </c>
      <c r="H9" s="144">
        <f>('All Other E&amp;G-2Yr'!AF4+'Investment Income-2Yr'!AF4)/('Total E&amp;G-2Yr'!AF4)*100</f>
        <v>3.2681095207720099</v>
      </c>
      <c r="I9" s="144">
        <f t="shared" ref="I9:N9" si="0">IF((C9-P9)=0,(C9-P9),IF((C9-P9)&gt;=0.05,(C9-P9),IF((C9-P9&lt;=-0.05),(C9-P9),"*")))</f>
        <v>4.067643093834409</v>
      </c>
      <c r="J9" s="144">
        <f t="shared" si="0"/>
        <v>-4.7133687642118822</v>
      </c>
      <c r="K9" s="135">
        <f>IF((E9-R9)=0,(E9-R9),IF((E9-R9)&gt;=0.05,(E9-R9),IF((E9-R9&lt;=-0.05),(E9-R9),"*")))</f>
        <v>-3.2597285912775007</v>
      </c>
      <c r="L9" s="144">
        <f t="shared" si="0"/>
        <v>5.8226817538782818</v>
      </c>
      <c r="M9" s="135">
        <f t="shared" si="0"/>
        <v>-1.3401911132963349</v>
      </c>
      <c r="N9" s="144">
        <f t="shared" si="0"/>
        <v>-0.57703637892699966</v>
      </c>
      <c r="O9" s="37"/>
      <c r="P9" s="72">
        <f>('Tuition-2Yr'!AA4/'Total E&amp;G-2Yr'!AA4)*100</f>
        <v>24.853760761572303</v>
      </c>
      <c r="Q9" s="73">
        <f>('State Appropriations-2Yr'!AA4/'Total E&amp;G-2Yr'!AA4)*100</f>
        <v>29.508692182531227</v>
      </c>
      <c r="R9" s="74">
        <f>IF((('Local Appropriations-2Yr'!AA4/'Total E&amp;G-2Yr'!AA4)*100)&gt;=0.05,('Local Appropriations-2Yr'!AA4/'Total E&amp;G-2Yr'!AA4)*100,"*")</f>
        <v>17.352772654088795</v>
      </c>
      <c r="S9" s="75">
        <f>('Fed Contracts Grnts-2Yr'!AA4/'Total E&amp;G-2Yr'!AA4)*100</f>
        <v>16.779430023988091</v>
      </c>
      <c r="T9" s="74">
        <f>('Other Contracts Grnts-2Yr'!AA4/'Total E&amp;G-2Yr'!AA4)*100</f>
        <v>7.6601984781205905</v>
      </c>
      <c r="U9" s="75">
        <f>IF(((('Investment Income-2Yr'!AA4+'All Other E&amp;G-2Yr'!AA4)/'Total E&amp;G-2Yr'!AA4)*100)&gt;=0.05,(('Investment Income-2Yr'!AA4+'All Other E&amp;G-2Yr'!AA4)/'Total E&amp;G-2Yr'!AA4)*100,"*")</f>
        <v>3.8451458996990096</v>
      </c>
      <c r="V9" s="6"/>
      <c r="W9" s="27">
        <f>SUM(P9:U9)</f>
        <v>100</v>
      </c>
      <c r="X9" s="27">
        <f>SUM(C9:H9)</f>
        <v>99.999999999999986</v>
      </c>
      <c r="Y9" s="3"/>
      <c r="Z9" s="188">
        <f>Q9+R9</f>
        <v>46.861464836620023</v>
      </c>
      <c r="AA9" s="189">
        <f>D9+E9</f>
        <v>38.888367481130643</v>
      </c>
      <c r="AB9" s="188">
        <f>+T9+S9</f>
        <v>24.439628502108683</v>
      </c>
      <c r="AC9" s="189">
        <f>+G9+F9</f>
        <v>28.922119142690629</v>
      </c>
      <c r="AD9" s="192">
        <f>+AB9+Z9+U9+P9</f>
        <v>100.00000000000001</v>
      </c>
      <c r="AE9" s="194">
        <f>+AC9+AA9+H9+C9</f>
        <v>100</v>
      </c>
    </row>
    <row r="10" spans="1:31">
      <c r="A10" s="117" t="s">
        <v>61</v>
      </c>
      <c r="B10" s="117"/>
      <c r="C10" s="128">
        <f>('Tuition-2Yr'!AF5/'Total E&amp;G-2Yr'!AF5)*100</f>
        <v>29.723033118325464</v>
      </c>
      <c r="D10" s="145">
        <f>('State Appropriations-2Yr'!AF5)/('Total E&amp;G-2Yr'!AF5)*100</f>
        <v>27.051671783389363</v>
      </c>
      <c r="E10" s="128">
        <f>IF((('Local Appropriations-2Yr'!AF5/'Total E&amp;G-2Yr'!AF5)*100)=0,(('Local Appropriations-2Yr'!AF5/'Total E&amp;G-2Yr'!AF5)*100),IF((('Local Appropriations-2Yr'!AF5/'Total E&amp;G-2Yr'!AF5)*100)&gt;=0.05,('Local Appropriations-2Yr'!AF5/'Total E&amp;G-2Yr'!AF5)*100,"*"))</f>
        <v>11.15075009069696</v>
      </c>
      <c r="F10" s="145">
        <f>('Fed Contracts Grnts-2Yr'!AF5)/('Total E&amp;G-2Yr'!AF5)*100</f>
        <v>25.404800704404014</v>
      </c>
      <c r="G10" s="128">
        <f>('Other Contracts Grnts-2Yr'!AF5/'Total E&amp;G-2Yr'!AF5)*100</f>
        <v>4.7243385701954903</v>
      </c>
      <c r="H10" s="145">
        <f>('All Other E&amp;G-2Yr'!AF5+'Investment Income-2Yr'!AF5)/('Total E&amp;G-2Yr'!AF5)*100</f>
        <v>1.9454057329886956</v>
      </c>
      <c r="I10" s="145">
        <f t="shared" ref="I10:I67" si="1">IF((C10-P10)=0,(C10-P10),IF((C10-P10)&gt;=0.05,(C10-P10),IF((C10-P10&lt;=-0.05),(C10-P10),"*")))</f>
        <v>3.4287439139645812</v>
      </c>
      <c r="J10" s="145">
        <f t="shared" ref="J10:J67" si="2">IF((D10-Q10)=0,(D10-Q10),IF((D10-Q10)&gt;=0.05,(D10-Q10),IF((D10-Q10&lt;=-0.05),(D10-Q10),"*")))</f>
        <v>-6.7276784662994693</v>
      </c>
      <c r="K10" s="128">
        <f>IF((E10-R10)=0,(E10-R10),IF((E10-R10)&gt;=0.05,(E10-R10),IF((E10-R10&lt;=-0.05),(E10-R10),"*")))</f>
        <v>-0.44937694664715799</v>
      </c>
      <c r="L10" s="145">
        <f t="shared" ref="L10:L67" si="3">IF((F10-S10)=0,(F10-S10),IF((F10-S10)&gt;=0.05,(F10-S10),IF((F10-S10&lt;=-0.05),(F10-S10),"*")))</f>
        <v>5.4693953942287976</v>
      </c>
      <c r="M10" s="128">
        <f t="shared" ref="M10:M67" si="4">IF((G10-T10)=0,(G10-T10),IF((G10-T10)&gt;=0.05,(G10-T10),IF((G10-T10&lt;=-0.05),(G10-T10),"*")))</f>
        <v>-0.85858026753037375</v>
      </c>
      <c r="N10" s="145">
        <f>IF((H10-U10)=0,(H10-U10),IF((H10-U10)&gt;=0.05,(H10-U10),IF((H10-U10&lt;=-0.05),(H10-U10),"*")))</f>
        <v>-0.86250362771638223</v>
      </c>
      <c r="O10" s="37"/>
      <c r="P10" s="72">
        <f>('Tuition-2Yr'!AA5/'Total E&amp;G-2Yr'!AA5)*100</f>
        <v>26.294289204360883</v>
      </c>
      <c r="Q10" s="73">
        <f>('State Appropriations-2Yr'!AA5/'Total E&amp;G-2Yr'!AA5)*100</f>
        <v>33.779350249688832</v>
      </c>
      <c r="R10" s="74">
        <f>IF((('Local Appropriations-2Yr'!AA5/'Total E&amp;G-2Yr'!AA5)*100)&gt;=0.05,('Local Appropriations-2Yr'!AA5/'Total E&amp;G-2Yr'!AA5)*100,"*")</f>
        <v>11.600127037344118</v>
      </c>
      <c r="S10" s="75">
        <f>('Fed Contracts Grnts-2Yr'!AA5/'Total E&amp;G-2Yr'!AA5)*100</f>
        <v>19.935405310175216</v>
      </c>
      <c r="T10" s="74">
        <f>('Other Contracts Grnts-2Yr'!AA5/'Total E&amp;G-2Yr'!AA5)*100</f>
        <v>5.5829188377258641</v>
      </c>
      <c r="U10" s="75">
        <f>IF(((('Investment Income-2Yr'!AA5+'All Other E&amp;G-2Yr'!AA5)/'Total E&amp;G-2Yr'!AA5)*100)&gt;=0.05,(('Investment Income-2Yr'!AA5+'All Other E&amp;G-2Yr'!AA5)/'Total E&amp;G-2Yr'!AA5)*100,"*")</f>
        <v>2.8079093607050778</v>
      </c>
      <c r="V10" s="75"/>
      <c r="W10" s="27">
        <f t="shared" ref="W10:W68" si="5">SUM(P10:U10)</f>
        <v>100</v>
      </c>
      <c r="X10" s="27">
        <f t="shared" ref="X10:X68" si="6">SUM(C10:H10)</f>
        <v>99.999999999999972</v>
      </c>
      <c r="Y10" s="3"/>
      <c r="Z10" s="188">
        <f t="shared" ref="Z10:Z68" si="7">Q10+R10</f>
        <v>45.379477287032948</v>
      </c>
      <c r="AA10" s="189">
        <f>D10+E10</f>
        <v>38.202421874086326</v>
      </c>
      <c r="AB10" s="188">
        <f t="shared" ref="AB10:AB68" si="8">+T10+S10</f>
        <v>25.51832414790108</v>
      </c>
      <c r="AC10" s="189">
        <f t="shared" ref="AC10:AC68" si="9">+G10+F10</f>
        <v>30.129139274599503</v>
      </c>
      <c r="AD10" s="188">
        <f t="shared" ref="AD10:AD68" si="10">+AB10+Z10+U10+P10</f>
        <v>99.999999999999986</v>
      </c>
      <c r="AE10" s="195">
        <f t="shared" ref="AE10:AE68" si="11">+AC10+AA10+H10+C10</f>
        <v>99.999999999999986</v>
      </c>
    </row>
    <row r="11" spans="1:31">
      <c r="A11" s="117"/>
      <c r="B11" s="117"/>
      <c r="C11" s="128"/>
      <c r="D11" s="145"/>
      <c r="E11" s="128"/>
      <c r="F11" s="145"/>
      <c r="G11" s="128"/>
      <c r="H11" s="145"/>
      <c r="I11" s="145"/>
      <c r="J11" s="145"/>
      <c r="K11" s="128"/>
      <c r="L11" s="145"/>
      <c r="M11" s="128"/>
      <c r="N11" s="145"/>
      <c r="O11" s="37"/>
      <c r="P11" s="72"/>
      <c r="Q11" s="73"/>
      <c r="R11" s="74"/>
      <c r="S11" s="75"/>
      <c r="T11" s="74"/>
      <c r="U11" s="75"/>
      <c r="V11" s="75"/>
      <c r="W11" s="27"/>
      <c r="X11" s="27"/>
      <c r="Y11" s="3"/>
      <c r="Z11" s="188"/>
      <c r="AA11" s="189"/>
      <c r="AB11" s="188"/>
      <c r="AC11" s="189"/>
      <c r="AD11" s="188"/>
      <c r="AE11" s="195"/>
    </row>
    <row r="12" spans="1:31" s="11" customFormat="1">
      <c r="A12" s="118" t="s">
        <v>1</v>
      </c>
      <c r="B12" s="118"/>
      <c r="C12" s="129">
        <f>('Tuition-2Yr'!AF7/'Total E&amp;G-2Yr'!AF7)*100</f>
        <v>32.80800389505692</v>
      </c>
      <c r="D12" s="146">
        <f>('State Appropriations-2Yr'!AF7)/('Total E&amp;G-2Yr'!AF7)*100</f>
        <v>32.027245901352373</v>
      </c>
      <c r="E12" s="129">
        <f>IF((('Local Appropriations-2Yr'!AF7/'Total E&amp;G-2Yr'!AF7)*100)=0,(('Local Appropriations-2Yr'!AF7/'Total E&amp;G-2Yr'!AF7)*100),IF((('Local Appropriations-2Yr'!AF7/'Total E&amp;G-2Yr'!AF7)*100)&gt;=0.05,('Local Appropriations-2Yr'!AF7/'Total E&amp;G-2Yr'!AF7)*100,"*"))</f>
        <v>0.22796668074822513</v>
      </c>
      <c r="F12" s="146">
        <f>('Fed Contracts Grnts-2Yr'!AF7)/('Total E&amp;G-2Yr'!AF7)*100</f>
        <v>30.317474919704079</v>
      </c>
      <c r="G12" s="129">
        <f>('Other Contracts Grnts-2Yr'!AF7/'Total E&amp;G-2Yr'!AF7)*100</f>
        <v>3.1644466624086922</v>
      </c>
      <c r="H12" s="146">
        <f>('All Other E&amp;G-2Yr'!AF7+'Investment Income-2Yr'!AF7)/('Total E&amp;G-2Yr'!AF7)*100</f>
        <v>1.4548619407296857</v>
      </c>
      <c r="I12" s="146">
        <f t="shared" si="1"/>
        <v>6.57539917088409</v>
      </c>
      <c r="J12" s="146">
        <f t="shared" si="2"/>
        <v>-6.5029592112746784</v>
      </c>
      <c r="K12" s="129">
        <f t="shared" ref="K12:K67" si="12">IF((E12-R12)=0,(E12-R12),IF((E12-R12)&gt;=0.05,(E12-R12),IF((E12-R12&lt;=-0.05),(E12-R12),"*")))</f>
        <v>6.6806856828882849E-2</v>
      </c>
      <c r="L12" s="146">
        <f t="shared" si="3"/>
        <v>1.0554222722065809</v>
      </c>
      <c r="M12" s="129">
        <f t="shared" si="4"/>
        <v>-0.34442248862068015</v>
      </c>
      <c r="N12" s="146">
        <f>IF((H12-U12)=0,(H12-U12),IF((H12-U12)&gt;=0.05,(H12-U12),IF((H12-U12&lt;=-0.05),(H12-U12),"*")))</f>
        <v>-0.85024660002421615</v>
      </c>
      <c r="O12" s="37"/>
      <c r="P12" s="39">
        <f>('Tuition-2Yr'!AA7/'Total E&amp;G-2Yr'!AA7)*100</f>
        <v>26.23260472417283</v>
      </c>
      <c r="Q12" s="40">
        <f>('State Appropriations-2Yr'!AA7/'Total E&amp;G-2Yr'!AA7)*100</f>
        <v>38.530205112627051</v>
      </c>
      <c r="R12" s="41">
        <f>IF((('Local Appropriations-2Yr'!AA7/'Total E&amp;G-2Yr'!AA7)*100)&gt;=0.05,('Local Appropriations-2Yr'!AA7/'Total E&amp;G-2Yr'!AA7)*100,"*")</f>
        <v>0.16115982391934228</v>
      </c>
      <c r="S12" s="42">
        <f>('Fed Contracts Grnts-2Yr'!AA7/'Total E&amp;G-2Yr'!AA7)*100</f>
        <v>29.262052647497498</v>
      </c>
      <c r="T12" s="41">
        <f>('Other Contracts Grnts-2Yr'!AA7/'Total E&amp;G-2Yr'!AA7)*100</f>
        <v>3.5088691510293724</v>
      </c>
      <c r="U12" s="42">
        <f>IF(((('Investment Income-2Yr'!AA7+'All Other E&amp;G-2Yr'!AA7)/'Total E&amp;G-2Yr'!AA7)*100)&gt;=0.05,(('Investment Income-2Yr'!AA7+'All Other E&amp;G-2Yr'!AA7)/'Total E&amp;G-2Yr'!AA7)*100,"*")</f>
        <v>2.3051085407539018</v>
      </c>
      <c r="V12" s="42"/>
      <c r="W12" s="27">
        <f t="shared" si="5"/>
        <v>100</v>
      </c>
      <c r="X12" s="27">
        <f t="shared" si="6"/>
        <v>99.999999999999986</v>
      </c>
      <c r="Y12" s="3"/>
      <c r="Z12" s="188">
        <f t="shared" si="7"/>
        <v>38.691364936546393</v>
      </c>
      <c r="AA12" s="189">
        <f t="shared" ref="AA12:AA68" si="13">D12+E12</f>
        <v>32.255212582100597</v>
      </c>
      <c r="AB12" s="188">
        <f t="shared" si="8"/>
        <v>32.770921798526871</v>
      </c>
      <c r="AC12" s="189">
        <f t="shared" si="9"/>
        <v>33.481921582112768</v>
      </c>
      <c r="AD12" s="188">
        <f t="shared" si="10"/>
        <v>100</v>
      </c>
      <c r="AE12" s="195">
        <f t="shared" si="11"/>
        <v>99.999999999999972</v>
      </c>
    </row>
    <row r="13" spans="1:31">
      <c r="A13" s="118" t="s">
        <v>2</v>
      </c>
      <c r="B13" s="118"/>
      <c r="C13" s="129">
        <f>('Tuition-2Yr'!AF8/'Total E&amp;G-2Yr'!AF8)*100</f>
        <v>26.912108383221906</v>
      </c>
      <c r="D13" s="146">
        <f>('State Appropriations-2Yr'!AF8)/('Total E&amp;G-2Yr'!AF8)*100</f>
        <v>31.976019438122421</v>
      </c>
      <c r="E13" s="129">
        <f>IF((('Local Appropriations-2Yr'!AF8/'Total E&amp;G-2Yr'!AF8)*100)=0,(('Local Appropriations-2Yr'!AF8/'Total E&amp;G-2Yr'!AF8)*100),IF((('Local Appropriations-2Yr'!AF8/'Total E&amp;G-2Yr'!AF8)*100)&gt;=0.05,('Local Appropriations-2Yr'!AF8/'Total E&amp;G-2Yr'!AF8)*100,"*"))</f>
        <v>4.7840997627473048</v>
      </c>
      <c r="F13" s="146">
        <f>('Fed Contracts Grnts-2Yr'!AF8)/('Total E&amp;G-2Yr'!AF8)*100</f>
        <v>28.807903057187133</v>
      </c>
      <c r="G13" s="129">
        <f>('Other Contracts Grnts-2Yr'!AF8/'Total E&amp;G-2Yr'!AF8)*100</f>
        <v>6.537530456475495</v>
      </c>
      <c r="H13" s="146">
        <f>('All Other E&amp;G-2Yr'!AF8+'Investment Income-2Yr'!AF8)/('Total E&amp;G-2Yr'!AF8)*100</f>
        <v>0.98233890224575016</v>
      </c>
      <c r="I13" s="146">
        <f t="shared" si="1"/>
        <v>4.6302276127285786</v>
      </c>
      <c r="J13" s="146">
        <f t="shared" si="2"/>
        <v>-3.369028520641514</v>
      </c>
      <c r="K13" s="129">
        <f t="shared" si="12"/>
        <v>0.1173003790946634</v>
      </c>
      <c r="L13" s="146">
        <f t="shared" si="3"/>
        <v>3.8886993366037927</v>
      </c>
      <c r="M13" s="129">
        <f t="shared" si="4"/>
        <v>0.28757985846475798</v>
      </c>
      <c r="N13" s="146">
        <f t="shared" ref="N13:N67" si="14">IF((H13-U13)=0,(H13-U13),IF((H13-U13)&gt;=0.05,(H13-U13),IF((H13-U13&lt;=-0.05),(H13-U13),"*")))</f>
        <v>-5.5547786662502743</v>
      </c>
      <c r="O13" s="37"/>
      <c r="P13" s="39">
        <f>('Tuition-2Yr'!AA8/'Total E&amp;G-2Yr'!AA8)*100</f>
        <v>22.281880770493327</v>
      </c>
      <c r="Q13" s="40">
        <f>('State Appropriations-2Yr'!AA8/'Total E&amp;G-2Yr'!AA8)*100</f>
        <v>35.345047958763935</v>
      </c>
      <c r="R13" s="41">
        <f>IF((('Local Appropriations-2Yr'!AA8/'Total E&amp;G-2Yr'!AA8)*100)&gt;=0.05,('Local Appropriations-2Yr'!AA8/'Total E&amp;G-2Yr'!AA8)*100,"*")</f>
        <v>4.6667993836526414</v>
      </c>
      <c r="S13" s="42">
        <f>('Fed Contracts Grnts-2Yr'!AA8/'Total E&amp;G-2Yr'!AA8)*100</f>
        <v>24.91920372058334</v>
      </c>
      <c r="T13" s="41">
        <f>('Other Contracts Grnts-2Yr'!AA8/'Total E&amp;G-2Yr'!AA8)*100</f>
        <v>6.249950598010737</v>
      </c>
      <c r="U13" s="42">
        <f>IF(((('Investment Income-2Yr'!AA8+'All Other E&amp;G-2Yr'!AA8)/'Total E&amp;G-2Yr'!AA8)*100)&gt;=0.05,(('Investment Income-2Yr'!AA8+'All Other E&amp;G-2Yr'!AA8)/'Total E&amp;G-2Yr'!AA8)*100,"*")</f>
        <v>6.5371175684960248</v>
      </c>
      <c r="V13" s="42"/>
      <c r="W13" s="27">
        <f t="shared" si="5"/>
        <v>100.00000000000001</v>
      </c>
      <c r="X13" s="27">
        <f t="shared" si="6"/>
        <v>100</v>
      </c>
      <c r="Y13" s="3"/>
      <c r="Z13" s="188">
        <f t="shared" si="7"/>
        <v>40.011847342416573</v>
      </c>
      <c r="AA13" s="189">
        <f t="shared" si="13"/>
        <v>36.760119200869724</v>
      </c>
      <c r="AB13" s="188">
        <f t="shared" si="8"/>
        <v>31.169154318594078</v>
      </c>
      <c r="AC13" s="189">
        <f t="shared" si="9"/>
        <v>35.345433513662627</v>
      </c>
      <c r="AD13" s="188">
        <f t="shared" si="10"/>
        <v>100.00000000000001</v>
      </c>
      <c r="AE13" s="195">
        <f t="shared" si="11"/>
        <v>100</v>
      </c>
    </row>
    <row r="14" spans="1:31">
      <c r="A14" s="118" t="s">
        <v>60</v>
      </c>
      <c r="B14" s="118"/>
      <c r="C14" s="129">
        <f>('Tuition-2Yr'!AF9/'Total E&amp;G-2Yr'!AF9)*100</f>
        <v>34.598248229941873</v>
      </c>
      <c r="D14" s="146">
        <f>('State Appropriations-2Yr'!AF9)/('Total E&amp;G-2Yr'!AF9)*100</f>
        <v>38.327734804728976</v>
      </c>
      <c r="E14" s="129">
        <f>IF((('Local Appropriations-2Yr'!AF9/'Total E&amp;G-2Yr'!AF9)*100)=0,(('Local Appropriations-2Yr'!AF9/'Total E&amp;G-2Yr'!AF9)*100),IF((('Local Appropriations-2Yr'!AF9/'Total E&amp;G-2Yr'!AF9)*100)&gt;=0.05,('Local Appropriations-2Yr'!AF9/'Total E&amp;G-2Yr'!AF9)*100,"*"))</f>
        <v>0</v>
      </c>
      <c r="F14" s="146">
        <f>('Fed Contracts Grnts-2Yr'!AF9)/('Total E&amp;G-2Yr'!AF9)*100</f>
        <v>16.306210148926819</v>
      </c>
      <c r="G14" s="129">
        <f>('Other Contracts Grnts-2Yr'!AF9/'Total E&amp;G-2Yr'!AF9)*100</f>
        <v>10.767806816402333</v>
      </c>
      <c r="H14" s="146">
        <f>('All Other E&amp;G-2Yr'!AF9+'Investment Income-2Yr'!AF9)/('Total E&amp;G-2Yr'!AF9)*100</f>
        <v>0</v>
      </c>
      <c r="I14" s="146">
        <f t="shared" si="1"/>
        <v>0.63405792742054956</v>
      </c>
      <c r="J14" s="146">
        <f t="shared" si="2"/>
        <v>-4.225093102809808</v>
      </c>
      <c r="K14" s="129">
        <f t="shared" si="12"/>
        <v>0</v>
      </c>
      <c r="L14" s="146">
        <f t="shared" si="3"/>
        <v>4.9779144353060278</v>
      </c>
      <c r="M14" s="129">
        <f t="shared" si="4"/>
        <v>-1.3868792599167552</v>
      </c>
      <c r="N14" s="146">
        <f t="shared" si="14"/>
        <v>0</v>
      </c>
      <c r="O14" s="37"/>
      <c r="P14" s="39">
        <f>('Tuition-2Yr'!AA9/'Total E&amp;G-2Yr'!AA9)*100</f>
        <v>33.964190302521324</v>
      </c>
      <c r="Q14" s="40">
        <f>('State Appropriations-2Yr'!AA9/'Total E&amp;G-2Yr'!AA9)*100</f>
        <v>42.552827907538784</v>
      </c>
      <c r="R14" s="41" t="str">
        <f>IF((('Local Appropriations-2Yr'!AA9/'Total E&amp;G-2Yr'!AA9)*100)&gt;=0.05,('Local Appropriations-2Yr'!AA9/'Total E&amp;G-2Yr'!AA9)*100,"*")</f>
        <v>*</v>
      </c>
      <c r="S14" s="42">
        <f>('Fed Contracts Grnts-2Yr'!AA9/'Total E&amp;G-2Yr'!AA9)*100</f>
        <v>11.328295713620792</v>
      </c>
      <c r="T14" s="41">
        <f>('Other Contracts Grnts-2Yr'!AA9/'Total E&amp;G-2Yr'!AA9)*100</f>
        <v>12.154686076319088</v>
      </c>
      <c r="U14" s="42" t="str">
        <f>IF(((('Investment Income-2Yr'!AA9+'All Other E&amp;G-2Yr'!AA9)/'Total E&amp;G-2Yr'!AA9)*100)&gt;=0.05,(('Investment Income-2Yr'!AA9+'All Other E&amp;G-2Yr'!AA9)/'Total E&amp;G-2Yr'!AA9)*100,"*")</f>
        <v>*</v>
      </c>
      <c r="V14" s="42"/>
      <c r="W14" s="27">
        <f t="shared" si="5"/>
        <v>100</v>
      </c>
      <c r="X14" s="27">
        <f t="shared" si="6"/>
        <v>100</v>
      </c>
      <c r="Y14" s="3"/>
      <c r="Z14" s="188">
        <f t="shared" si="7"/>
        <v>42.552827907538784</v>
      </c>
      <c r="AA14" s="189">
        <f t="shared" si="13"/>
        <v>38.327734804728976</v>
      </c>
      <c r="AB14" s="188">
        <f t="shared" si="8"/>
        <v>23.482981789939878</v>
      </c>
      <c r="AC14" s="189">
        <f t="shared" si="9"/>
        <v>27.07401696532915</v>
      </c>
      <c r="AD14" s="188">
        <f t="shared" si="10"/>
        <v>100</v>
      </c>
      <c r="AE14" s="195">
        <f t="shared" si="11"/>
        <v>100</v>
      </c>
    </row>
    <row r="15" spans="1:31">
      <c r="A15" s="118" t="s">
        <v>3</v>
      </c>
      <c r="B15" s="118"/>
      <c r="C15" s="129">
        <f>('Tuition-2Yr'!AF10/'Total E&amp;G-2Yr'!AF10)*100</f>
        <v>30.816424433033163</v>
      </c>
      <c r="D15" s="146">
        <f>('State Appropriations-2Yr'!AF10)/('Total E&amp;G-2Yr'!AF10)*100</f>
        <v>31.806693944092814</v>
      </c>
      <c r="E15" s="129">
        <f>IF((('Local Appropriations-2Yr'!AF10/'Total E&amp;G-2Yr'!AF10)*100)=0,(('Local Appropriations-2Yr'!AF10/'Total E&amp;G-2Yr'!AF10)*100),IF((('Local Appropriations-2Yr'!AF10/'Total E&amp;G-2Yr'!AF10)*100)&gt;=0.05,('Local Appropriations-2Yr'!AF10/'Total E&amp;G-2Yr'!AF10)*100,"*"))</f>
        <v>0</v>
      </c>
      <c r="F15" s="146">
        <f>('Fed Contracts Grnts-2Yr'!AF10)/('Total E&amp;G-2Yr'!AF10)*100</f>
        <v>29.238065478028062</v>
      </c>
      <c r="G15" s="129">
        <f>('Other Contracts Grnts-2Yr'!AF10/'Total E&amp;G-2Yr'!AF10)*100</f>
        <v>5.901620642728604</v>
      </c>
      <c r="H15" s="146">
        <f>('All Other E&amp;G-2Yr'!AF10+'Investment Income-2Yr'!AF10)/('Total E&amp;G-2Yr'!AF10)*100</f>
        <v>2.2371955021173662</v>
      </c>
      <c r="I15" s="146">
        <f t="shared" si="1"/>
        <v>0.45107410913513135</v>
      </c>
      <c r="J15" s="146">
        <f t="shared" si="2"/>
        <v>-8.1626119327581392</v>
      </c>
      <c r="K15" s="129">
        <f t="shared" si="12"/>
        <v>0</v>
      </c>
      <c r="L15" s="146">
        <f t="shared" si="3"/>
        <v>8.3961017755418652</v>
      </c>
      <c r="M15" s="129">
        <f t="shared" si="4"/>
        <v>-2.4595497945471063</v>
      </c>
      <c r="N15" s="146">
        <f t="shared" si="14"/>
        <v>1.7749858426282592</v>
      </c>
      <c r="O15" s="37"/>
      <c r="P15" s="39">
        <f>('Tuition-2Yr'!AA10/'Total E&amp;G-2Yr'!AA10)*100</f>
        <v>30.365350323898031</v>
      </c>
      <c r="Q15" s="40">
        <f>('State Appropriations-2Yr'!AA10/'Total E&amp;G-2Yr'!AA10)*100</f>
        <v>39.969305876850953</v>
      </c>
      <c r="R15" s="41" t="str">
        <f>IF((('Local Appropriations-2Yr'!AA10/'Total E&amp;G-2Yr'!AA10)*100)&gt;=0.05,('Local Appropriations-2Yr'!AA10/'Total E&amp;G-2Yr'!AA10)*100,"*")</f>
        <v>*</v>
      </c>
      <c r="S15" s="42">
        <f>('Fed Contracts Grnts-2Yr'!AA10/'Total E&amp;G-2Yr'!AA10)*100</f>
        <v>20.841963702486197</v>
      </c>
      <c r="T15" s="41">
        <f>('Other Contracts Grnts-2Yr'!AA10/'Total E&amp;G-2Yr'!AA10)*100</f>
        <v>8.3611704372757103</v>
      </c>
      <c r="U15" s="42">
        <f>IF(((('Investment Income-2Yr'!AA10+'All Other E&amp;G-2Yr'!AA10)/'Total E&amp;G-2Yr'!AA10)*100)&gt;=0.05,(('Investment Income-2Yr'!AA10+'All Other E&amp;G-2Yr'!AA10)/'Total E&amp;G-2Yr'!AA10)*100,"*")</f>
        <v>0.46220965948910697</v>
      </c>
      <c r="V15" s="42"/>
      <c r="W15" s="27">
        <f t="shared" si="5"/>
        <v>100</v>
      </c>
      <c r="X15" s="27">
        <f t="shared" si="6"/>
        <v>100</v>
      </c>
      <c r="Y15" s="3"/>
      <c r="Z15" s="188">
        <f t="shared" si="7"/>
        <v>39.969305876850953</v>
      </c>
      <c r="AA15" s="189">
        <f t="shared" si="13"/>
        <v>31.806693944092814</v>
      </c>
      <c r="AB15" s="188">
        <f t="shared" si="8"/>
        <v>29.203134139761907</v>
      </c>
      <c r="AC15" s="189">
        <f t="shared" si="9"/>
        <v>35.139686120756664</v>
      </c>
      <c r="AD15" s="188">
        <f t="shared" si="10"/>
        <v>99.999999999999986</v>
      </c>
      <c r="AE15" s="195">
        <f t="shared" si="11"/>
        <v>100.00000000000001</v>
      </c>
    </row>
    <row r="16" spans="1:31">
      <c r="A16" s="119" t="s">
        <v>4</v>
      </c>
      <c r="B16" s="119"/>
      <c r="C16" s="128">
        <f>('Tuition-2Yr'!AF11/'Total E&amp;G-2Yr'!AF11)*100</f>
        <v>37.060582332044078</v>
      </c>
      <c r="D16" s="145">
        <f>('State Appropriations-2Yr'!AF11)/('Total E&amp;G-2Yr'!AF11)*100</f>
        <v>30.421848485605345</v>
      </c>
      <c r="E16" s="128">
        <f>IF((('Local Appropriations-2Yr'!AF11/'Total E&amp;G-2Yr'!AF11)*100)=0,(('Local Appropriations-2Yr'!AF11/'Total E&amp;G-2Yr'!AF11)*100),IF((('Local Appropriations-2Yr'!AF11/'Total E&amp;G-2Yr'!AF11)*100)&gt;=0.05,('Local Appropriations-2Yr'!AF11/'Total E&amp;G-2Yr'!AF11)*100,"*"))</f>
        <v>0</v>
      </c>
      <c r="F16" s="145">
        <f>('Fed Contracts Grnts-2Yr'!AF11)/('Total E&amp;G-2Yr'!AF11)*100</f>
        <v>29.126221014945425</v>
      </c>
      <c r="G16" s="128">
        <f>('Other Contracts Grnts-2Yr'!AF11/'Total E&amp;G-2Yr'!AF11)*100</f>
        <v>3.4909936517746933</v>
      </c>
      <c r="H16" s="145">
        <f>('All Other E&amp;G-2Yr'!AF11+'Investment Income-2Yr'!AF11)/('Total E&amp;G-2Yr'!AF11)*100</f>
        <v>-9.9645484369531842E-2</v>
      </c>
      <c r="I16" s="147">
        <f t="shared" si="1"/>
        <v>3.687616502212812</v>
      </c>
      <c r="J16" s="147">
        <f t="shared" si="2"/>
        <v>-8.2132419382375659</v>
      </c>
      <c r="K16" s="130">
        <f t="shared" si="12"/>
        <v>0</v>
      </c>
      <c r="L16" s="147">
        <f t="shared" si="3"/>
        <v>6.7154947518341785</v>
      </c>
      <c r="M16" s="130">
        <f t="shared" si="4"/>
        <v>-0.3488851731222784</v>
      </c>
      <c r="N16" s="145">
        <f t="shared" si="14"/>
        <v>-1.8409841426871436</v>
      </c>
      <c r="O16" s="37"/>
      <c r="P16" s="39">
        <f>('Tuition-2Yr'!AA11/'Total E&amp;G-2Yr'!AA11)*100</f>
        <v>33.372965829831266</v>
      </c>
      <c r="Q16" s="40">
        <f>('State Appropriations-2Yr'!AA11/'Total E&amp;G-2Yr'!AA11)*100</f>
        <v>38.635090423842911</v>
      </c>
      <c r="R16" s="41" t="str">
        <f>IF((('Local Appropriations-2Yr'!AA11/'Total E&amp;G-2Yr'!AA11)*100)&gt;=0.05,('Local Appropriations-2Yr'!AA11/'Total E&amp;G-2Yr'!AA11)*100,"*")</f>
        <v>*</v>
      </c>
      <c r="S16" s="42">
        <f>('Fed Contracts Grnts-2Yr'!AA11/'Total E&amp;G-2Yr'!AA11)*100</f>
        <v>22.410726263111247</v>
      </c>
      <c r="T16" s="41">
        <f>('Other Contracts Grnts-2Yr'!AA11/'Total E&amp;G-2Yr'!AA11)*100</f>
        <v>3.8398788248969717</v>
      </c>
      <c r="U16" s="42">
        <f>IF(((('Investment Income-2Yr'!AA11+'All Other E&amp;G-2Yr'!AA11)/'Total E&amp;G-2Yr'!AA11)*100)&gt;=0.05,(('Investment Income-2Yr'!AA11+'All Other E&amp;G-2Yr'!AA11)/'Total E&amp;G-2Yr'!AA11)*100,"*")</f>
        <v>1.7413386583176118</v>
      </c>
      <c r="V16" s="42"/>
      <c r="W16" s="27">
        <f t="shared" si="5"/>
        <v>100</v>
      </c>
      <c r="X16" s="27">
        <f t="shared" si="6"/>
        <v>100.00000000000001</v>
      </c>
      <c r="Y16" s="3"/>
      <c r="Z16" s="188">
        <f t="shared" si="7"/>
        <v>38.635090423842911</v>
      </c>
      <c r="AA16" s="189">
        <f t="shared" si="13"/>
        <v>30.421848485605345</v>
      </c>
      <c r="AB16" s="188">
        <f t="shared" si="8"/>
        <v>26.250605088008218</v>
      </c>
      <c r="AC16" s="189">
        <f t="shared" si="9"/>
        <v>32.617214666720116</v>
      </c>
      <c r="AD16" s="188">
        <f t="shared" si="10"/>
        <v>100</v>
      </c>
      <c r="AE16" s="195">
        <f t="shared" si="11"/>
        <v>100</v>
      </c>
    </row>
    <row r="17" spans="1:31">
      <c r="A17" s="119" t="s">
        <v>5</v>
      </c>
      <c r="B17" s="119"/>
      <c r="C17" s="128">
        <f>('Tuition-2Yr'!AF12/'Total E&amp;G-2Yr'!AF12)*100</f>
        <v>35.777851840609046</v>
      </c>
      <c r="D17" s="145">
        <f>('State Appropriations-2Yr'!AF12)/('Total E&amp;G-2Yr'!AF12)*100</f>
        <v>19.545850817938387</v>
      </c>
      <c r="E17" s="128" t="str">
        <f>IF((('Local Appropriations-2Yr'!AF12/'Total E&amp;G-2Yr'!AF12)*100)=0,(('Local Appropriations-2Yr'!AF12/'Total E&amp;G-2Yr'!AF12)*100),IF((('Local Appropriations-2Yr'!AF12/'Total E&amp;G-2Yr'!AF12)*100)&gt;=0.05,('Local Appropriations-2Yr'!AF12/'Total E&amp;G-2Yr'!AF12)*100,"*"))</f>
        <v>*</v>
      </c>
      <c r="F17" s="145">
        <f>('Fed Contracts Grnts-2Yr'!AF12)/('Total E&amp;G-2Yr'!AF12)*100</f>
        <v>33.662759723212652</v>
      </c>
      <c r="G17" s="128">
        <f>('Other Contracts Grnts-2Yr'!AF12/'Total E&amp;G-2Yr'!AF12)*100</f>
        <v>7.4020938460311116</v>
      </c>
      <c r="H17" s="145">
        <f>('All Other E&amp;G-2Yr'!AF12+'Investment Income-2Yr'!AF12)/('Total E&amp;G-2Yr'!AF12)*100</f>
        <v>3.6048905504503437</v>
      </c>
      <c r="I17" s="147">
        <f t="shared" si="1"/>
        <v>5.0539888080096098</v>
      </c>
      <c r="J17" s="147">
        <f t="shared" si="2"/>
        <v>-6.7269483272818889</v>
      </c>
      <c r="K17" s="130">
        <f t="shared" si="12"/>
        <v>0</v>
      </c>
      <c r="L17" s="147">
        <f t="shared" si="3"/>
        <v>10.228972259190002</v>
      </c>
      <c r="M17" s="130">
        <f t="shared" si="4"/>
        <v>-0.72910286752881337</v>
      </c>
      <c r="N17" s="145">
        <f t="shared" si="14"/>
        <v>-7.8257552747331189</v>
      </c>
      <c r="O17" s="37"/>
      <c r="P17" s="39">
        <f>('Tuition-2Yr'!AA12/'Total E&amp;G-2Yr'!AA12)*100</f>
        <v>30.723863032599436</v>
      </c>
      <c r="Q17" s="40">
        <f>('State Appropriations-2Yr'!AA12/'Total E&amp;G-2Yr'!AA12)*100</f>
        <v>26.272799145220276</v>
      </c>
      <c r="R17" s="41" t="str">
        <f>IF((('Local Appropriations-2Yr'!AA12/'Total E&amp;G-2Yr'!AA12)*100)&gt;=0.05,('Local Appropriations-2Yr'!AA12/'Total E&amp;G-2Yr'!AA12)*100,"*")</f>
        <v>*</v>
      </c>
      <c r="S17" s="42">
        <f>('Fed Contracts Grnts-2Yr'!AA12/'Total E&amp;G-2Yr'!AA12)*100</f>
        <v>23.43378746402265</v>
      </c>
      <c r="T17" s="41">
        <f>('Other Contracts Grnts-2Yr'!AA12/'Total E&amp;G-2Yr'!AA12)*100</f>
        <v>8.131196713559925</v>
      </c>
      <c r="U17" s="42">
        <f>IF(((('Investment Income-2Yr'!AA12+'All Other E&amp;G-2Yr'!AA12)/'Total E&amp;G-2Yr'!AA12)*100)&gt;=0.05,(('Investment Income-2Yr'!AA12+'All Other E&amp;G-2Yr'!AA12)/'Total E&amp;G-2Yr'!AA12)*100,"*")</f>
        <v>11.430645825183463</v>
      </c>
      <c r="V17" s="75"/>
      <c r="W17" s="27">
        <f t="shared" si="5"/>
        <v>99.99229218058575</v>
      </c>
      <c r="X17" s="27">
        <f t="shared" si="6"/>
        <v>99.993446778241534</v>
      </c>
      <c r="Y17" s="3"/>
      <c r="Z17" s="188">
        <f t="shared" si="7"/>
        <v>26.272799145220276</v>
      </c>
      <c r="AA17" s="189">
        <f t="shared" si="13"/>
        <v>19.545850817938387</v>
      </c>
      <c r="AB17" s="188">
        <f t="shared" si="8"/>
        <v>31.564984177582573</v>
      </c>
      <c r="AC17" s="189">
        <f t="shared" si="9"/>
        <v>41.064853569243766</v>
      </c>
      <c r="AD17" s="188">
        <f t="shared" si="10"/>
        <v>99.99229218058575</v>
      </c>
      <c r="AE17" s="195">
        <f t="shared" si="11"/>
        <v>99.993446778241548</v>
      </c>
    </row>
    <row r="18" spans="1:31">
      <c r="A18" s="119" t="s">
        <v>6</v>
      </c>
      <c r="B18" s="119"/>
      <c r="C18" s="128">
        <f>('Tuition-2Yr'!AF13/'Total E&amp;G-2Yr'!AF13)*100</f>
        <v>37.49278940249944</v>
      </c>
      <c r="D18" s="145">
        <f>('State Appropriations-2Yr'!AF13)/('Total E&amp;G-2Yr'!AF13)*100</f>
        <v>20.590000210890004</v>
      </c>
      <c r="E18" s="128">
        <f>IF((('Local Appropriations-2Yr'!AF13/'Total E&amp;G-2Yr'!AF13)*100)=0,(('Local Appropriations-2Yr'!AF13/'Total E&amp;G-2Yr'!AF13)*100),IF((('Local Appropriations-2Yr'!AF13/'Total E&amp;G-2Yr'!AF13)*100)&gt;=0.05,('Local Appropriations-2Yr'!AF13/'Total E&amp;G-2Yr'!AF13)*100,"*"))</f>
        <v>0</v>
      </c>
      <c r="F18" s="145">
        <f>('Fed Contracts Grnts-2Yr'!AF13)/('Total E&amp;G-2Yr'!AF13)*100</f>
        <v>35.536360363220382</v>
      </c>
      <c r="G18" s="128">
        <f>('Other Contracts Grnts-2Yr'!AF13/'Total E&amp;G-2Yr'!AF13)*100</f>
        <v>3.134179922055365</v>
      </c>
      <c r="H18" s="145">
        <f>('All Other E&amp;G-2Yr'!AF13+'Investment Income-2Yr'!AF13)/('Total E&amp;G-2Yr'!AF13)*100</f>
        <v>3.2466701013348143</v>
      </c>
      <c r="I18" s="147">
        <f t="shared" si="1"/>
        <v>9.5936842291229212</v>
      </c>
      <c r="J18" s="147">
        <f t="shared" si="2"/>
        <v>-19.963523585543342</v>
      </c>
      <c r="K18" s="130">
        <f t="shared" si="12"/>
        <v>0</v>
      </c>
      <c r="L18" s="147">
        <f t="shared" si="3"/>
        <v>12.650444827778585</v>
      </c>
      <c r="M18" s="130">
        <f t="shared" si="4"/>
        <v>-2.4122052983557687</v>
      </c>
      <c r="N18" s="145">
        <f t="shared" si="14"/>
        <v>0.13159982699760731</v>
      </c>
      <c r="O18" s="37"/>
      <c r="P18" s="39">
        <f>('Tuition-2Yr'!AA13/'Total E&amp;G-2Yr'!AA13)*100</f>
        <v>27.899105173376519</v>
      </c>
      <c r="Q18" s="40">
        <f>('State Appropriations-2Yr'!AA13/'Total E&amp;G-2Yr'!AA13)*100</f>
        <v>40.553523796433346</v>
      </c>
      <c r="R18" s="41" t="str">
        <f>IF((('Local Appropriations-2Yr'!AA13/'Total E&amp;G-2Yr'!AA13)*100)&gt;=0.05,('Local Appropriations-2Yr'!AA13/'Total E&amp;G-2Yr'!AA13)*100,"*")</f>
        <v>*</v>
      </c>
      <c r="S18" s="42">
        <f>('Fed Contracts Grnts-2Yr'!AA13/'Total E&amp;G-2Yr'!AA13)*100</f>
        <v>22.885915535441796</v>
      </c>
      <c r="T18" s="41">
        <f>('Other Contracts Grnts-2Yr'!AA13/'Total E&amp;G-2Yr'!AA13)*100</f>
        <v>5.5463852204111337</v>
      </c>
      <c r="U18" s="42">
        <f>IF(((('Investment Income-2Yr'!AA13+'All Other E&amp;G-2Yr'!AA13)/'Total E&amp;G-2Yr'!AA13)*100)&gt;=0.05,(('Investment Income-2Yr'!AA13+'All Other E&amp;G-2Yr'!AA13)/'Total E&amp;G-2Yr'!AA13)*100,"*")</f>
        <v>3.115070274337207</v>
      </c>
      <c r="V18" s="75"/>
      <c r="W18" s="27">
        <f t="shared" si="5"/>
        <v>100.00000000000001</v>
      </c>
      <c r="X18" s="27">
        <f t="shared" si="6"/>
        <v>100.00000000000001</v>
      </c>
      <c r="Y18" s="3"/>
      <c r="Z18" s="188">
        <f t="shared" si="7"/>
        <v>40.553523796433346</v>
      </c>
      <c r="AA18" s="189">
        <f t="shared" si="13"/>
        <v>20.590000210890004</v>
      </c>
      <c r="AB18" s="188">
        <f t="shared" si="8"/>
        <v>28.432300755852928</v>
      </c>
      <c r="AC18" s="189">
        <f t="shared" si="9"/>
        <v>38.670540285275749</v>
      </c>
      <c r="AD18" s="188">
        <f t="shared" si="10"/>
        <v>100</v>
      </c>
      <c r="AE18" s="195">
        <f t="shared" si="11"/>
        <v>100</v>
      </c>
    </row>
    <row r="19" spans="1:31">
      <c r="A19" s="119" t="s">
        <v>7</v>
      </c>
      <c r="B19" s="119"/>
      <c r="C19" s="128">
        <f>('Tuition-2Yr'!AF14/'Total E&amp;G-2Yr'!AF14)*100</f>
        <v>32.471269620437951</v>
      </c>
      <c r="D19" s="145">
        <f>('State Appropriations-2Yr'!AF14)/('Total E&amp;G-2Yr'!AF14)*100</f>
        <v>20.053557305156691</v>
      </c>
      <c r="E19" s="128">
        <f>IF((('Local Appropriations-2Yr'!AF14/'Total E&amp;G-2Yr'!AF14)*100)=0,(('Local Appropriations-2Yr'!AF14/'Total E&amp;G-2Yr'!AF14)*100),IF((('Local Appropriations-2Yr'!AF14/'Total E&amp;G-2Yr'!AF14)*100)&gt;=0.05,('Local Appropriations-2Yr'!AF14/'Total E&amp;G-2Yr'!AF14)*100,"*"))</f>
        <v>23.537039545052966</v>
      </c>
      <c r="F19" s="145">
        <f>('Fed Contracts Grnts-2Yr'!AF14)/('Total E&amp;G-2Yr'!AF14)*100</f>
        <v>16.558052493292227</v>
      </c>
      <c r="G19" s="128">
        <f>('Other Contracts Grnts-2Yr'!AF14/'Total E&amp;G-2Yr'!AF14)*100</f>
        <v>3.5315948019711212</v>
      </c>
      <c r="H19" s="145">
        <f>('All Other E&amp;G-2Yr'!AF14+'Investment Income-2Yr'!AF14)/('Total E&amp;G-2Yr'!AF14)*100</f>
        <v>3.8484862340890587</v>
      </c>
      <c r="I19" s="147">
        <f t="shared" si="1"/>
        <v>2.4280973212892611</v>
      </c>
      <c r="J19" s="147">
        <f t="shared" si="2"/>
        <v>-2.2135565732095372</v>
      </c>
      <c r="K19" s="130">
        <f t="shared" si="12"/>
        <v>-4.6061493307025714</v>
      </c>
      <c r="L19" s="147">
        <f t="shared" si="3"/>
        <v>4.2436574842400745</v>
      </c>
      <c r="M19" s="130">
        <f t="shared" si="4"/>
        <v>-0.28982873239681384</v>
      </c>
      <c r="N19" s="145">
        <f t="shared" si="14"/>
        <v>0.43777983077960725</v>
      </c>
      <c r="O19" s="37"/>
      <c r="P19" s="39">
        <f>('Tuition-2Yr'!AA14/'Total E&amp;G-2Yr'!AA14)*100</f>
        <v>30.04317229914869</v>
      </c>
      <c r="Q19" s="40">
        <f>('State Appropriations-2Yr'!AA14/'Total E&amp;G-2Yr'!AA14)*100</f>
        <v>22.267113878366228</v>
      </c>
      <c r="R19" s="41">
        <f>IF((('Local Appropriations-2Yr'!AA14/'Total E&amp;G-2Yr'!AA14)*100)&gt;=0.05,('Local Appropriations-2Yr'!AA14/'Total E&amp;G-2Yr'!AA14)*100,"*")</f>
        <v>28.143188875755538</v>
      </c>
      <c r="S19" s="42">
        <f>('Fed Contracts Grnts-2Yr'!AA14/'Total E&amp;G-2Yr'!AA14)*100</f>
        <v>12.314395009052152</v>
      </c>
      <c r="T19" s="41">
        <f>('Other Contracts Grnts-2Yr'!AA14/'Total E&amp;G-2Yr'!AA14)*100</f>
        <v>3.821423534367935</v>
      </c>
      <c r="U19" s="42">
        <f>IF(((('Investment Income-2Yr'!AA14+'All Other E&amp;G-2Yr'!AA14)/'Total E&amp;G-2Yr'!AA14)*100)&gt;=0.05,(('Investment Income-2Yr'!AA14+'All Other E&amp;G-2Yr'!AA14)/'Total E&amp;G-2Yr'!AA14)*100,"*")</f>
        <v>3.4107064033094514</v>
      </c>
      <c r="V19" s="75"/>
      <c r="W19" s="27">
        <f t="shared" si="5"/>
        <v>99.999999999999986</v>
      </c>
      <c r="X19" s="27">
        <f t="shared" si="6"/>
        <v>100</v>
      </c>
      <c r="Y19" s="3"/>
      <c r="Z19" s="188">
        <f t="shared" si="7"/>
        <v>50.410302754121766</v>
      </c>
      <c r="AA19" s="189">
        <f t="shared" si="13"/>
        <v>43.590596850209657</v>
      </c>
      <c r="AB19" s="188">
        <f t="shared" si="8"/>
        <v>16.135818543420086</v>
      </c>
      <c r="AC19" s="189">
        <f t="shared" si="9"/>
        <v>20.089647295263347</v>
      </c>
      <c r="AD19" s="188">
        <f t="shared" si="10"/>
        <v>99.999999999999986</v>
      </c>
      <c r="AE19" s="195">
        <f t="shared" si="11"/>
        <v>100.00000000000001</v>
      </c>
    </row>
    <row r="20" spans="1:31">
      <c r="A20" s="118" t="s">
        <v>8</v>
      </c>
      <c r="B20" s="118"/>
      <c r="C20" s="129">
        <f>('Tuition-2Yr'!AF15/'Total E&amp;G-2Yr'!AF15)*100</f>
        <v>22.759611597132263</v>
      </c>
      <c r="D20" s="146">
        <f>('State Appropriations-2Yr'!AF15)/('Total E&amp;G-2Yr'!AF15)*100</f>
        <v>28.532725950566995</v>
      </c>
      <c r="E20" s="129">
        <f>IF((('Local Appropriations-2Yr'!AF15/'Total E&amp;G-2Yr'!AF15)*100)=0,(('Local Appropriations-2Yr'!AF15/'Total E&amp;G-2Yr'!AF15)*100),IF((('Local Appropriations-2Yr'!AF15/'Total E&amp;G-2Yr'!AF15)*100)&gt;=0.05,('Local Appropriations-2Yr'!AF15/'Total E&amp;G-2Yr'!AF15)*100,"*"))</f>
        <v>7.8103934244998783</v>
      </c>
      <c r="F20" s="146">
        <f>('Fed Contracts Grnts-2Yr'!AF15)/('Total E&amp;G-2Yr'!AF15)*100</f>
        <v>31.79944931605726</v>
      </c>
      <c r="G20" s="129">
        <f>('Other Contracts Grnts-2Yr'!AF15/'Total E&amp;G-2Yr'!AF15)*100</f>
        <v>7.8695603864681871</v>
      </c>
      <c r="H20" s="146">
        <f>('All Other E&amp;G-2Yr'!AF15+'Investment Income-2Yr'!AF15)/('Total E&amp;G-2Yr'!AF15)*100</f>
        <v>1.2282593252754035</v>
      </c>
      <c r="I20" s="146">
        <f t="shared" si="1"/>
        <v>4.8054391625857278</v>
      </c>
      <c r="J20" s="146">
        <f t="shared" si="2"/>
        <v>-2.2833790553768267</v>
      </c>
      <c r="K20" s="129">
        <f t="shared" si="12"/>
        <v>0.27148840638115246</v>
      </c>
      <c r="L20" s="146">
        <f t="shared" si="3"/>
        <v>1.684504067068886</v>
      </c>
      <c r="M20" s="129">
        <f t="shared" si="4"/>
        <v>-1.1344030003567322</v>
      </c>
      <c r="N20" s="146">
        <f t="shared" si="14"/>
        <v>-3.3436495803022206</v>
      </c>
      <c r="O20" s="37"/>
      <c r="P20" s="39">
        <f>('Tuition-2Yr'!AA15/'Total E&amp;G-2Yr'!AA15)*100</f>
        <v>17.954172434546535</v>
      </c>
      <c r="Q20" s="40">
        <f>('State Appropriations-2Yr'!AA15/'Total E&amp;G-2Yr'!AA15)*100</f>
        <v>30.816105005943822</v>
      </c>
      <c r="R20" s="41">
        <f>IF((('Local Appropriations-2Yr'!AA15/'Total E&amp;G-2Yr'!AA15)*100)&gt;=0.05,('Local Appropriations-2Yr'!AA15/'Total E&amp;G-2Yr'!AA15)*100,"*")</f>
        <v>7.5389050181187258</v>
      </c>
      <c r="S20" s="42">
        <f>('Fed Contracts Grnts-2Yr'!AA15/'Total E&amp;G-2Yr'!AA15)*100</f>
        <v>30.114945248988374</v>
      </c>
      <c r="T20" s="41">
        <f>('Other Contracts Grnts-2Yr'!AA15/'Total E&amp;G-2Yr'!AA15)*100</f>
        <v>9.0039633868249194</v>
      </c>
      <c r="U20" s="42">
        <f>IF(((('Investment Income-2Yr'!AA15+'All Other E&amp;G-2Yr'!AA15)/'Total E&amp;G-2Yr'!AA15)*100)&gt;=0.05,(('Investment Income-2Yr'!AA15+'All Other E&amp;G-2Yr'!AA15)/'Total E&amp;G-2Yr'!AA15)*100,"*")</f>
        <v>4.5719089055776241</v>
      </c>
      <c r="V20" s="75"/>
      <c r="W20" s="27">
        <f t="shared" si="5"/>
        <v>100.00000000000001</v>
      </c>
      <c r="X20" s="27">
        <f t="shared" si="6"/>
        <v>99.999999999999986</v>
      </c>
      <c r="Y20" s="3"/>
      <c r="Z20" s="188">
        <f t="shared" si="7"/>
        <v>38.355010024062551</v>
      </c>
      <c r="AA20" s="189">
        <f t="shared" si="13"/>
        <v>36.343119375066877</v>
      </c>
      <c r="AB20" s="188">
        <f t="shared" si="8"/>
        <v>39.118908635813291</v>
      </c>
      <c r="AC20" s="189">
        <f t="shared" si="9"/>
        <v>39.669009702525443</v>
      </c>
      <c r="AD20" s="188">
        <f t="shared" si="10"/>
        <v>100</v>
      </c>
      <c r="AE20" s="195">
        <f t="shared" si="11"/>
        <v>99.999999999999986</v>
      </c>
    </row>
    <row r="21" spans="1:31">
      <c r="A21" s="118" t="s">
        <v>9</v>
      </c>
      <c r="B21" s="118"/>
      <c r="C21" s="129">
        <f>('Tuition-2Yr'!AF16/'Total E&amp;G-2Yr'!AF16)*100</f>
        <v>18.838457880966537</v>
      </c>
      <c r="D21" s="146">
        <f>('State Appropriations-2Yr'!AF16)/('Total E&amp;G-2Yr'!AF16)*100</f>
        <v>41.455815565624</v>
      </c>
      <c r="E21" s="129">
        <f>IF((('Local Appropriations-2Yr'!AF16/'Total E&amp;G-2Yr'!AF16)*100)=0,(('Local Appropriations-2Yr'!AF16/'Total E&amp;G-2Yr'!AF16)*100),IF((('Local Appropriations-2Yr'!AF16/'Total E&amp;G-2Yr'!AF16)*100)&gt;=0.05,('Local Appropriations-2Yr'!AF16/'Total E&amp;G-2Yr'!AF16)*100,"*"))</f>
        <v>9.7871091469944318</v>
      </c>
      <c r="F21" s="146">
        <f>('Fed Contracts Grnts-2Yr'!AF16)/('Total E&amp;G-2Yr'!AF16)*100</f>
        <v>24.959618405023932</v>
      </c>
      <c r="G21" s="129">
        <f>('Other Contracts Grnts-2Yr'!AF16/'Total E&amp;G-2Yr'!AF16)*100</f>
        <v>3.4472712570730888</v>
      </c>
      <c r="H21" s="146">
        <f>('All Other E&amp;G-2Yr'!AF16+'Investment Income-2Yr'!AF16)/('Total E&amp;G-2Yr'!AF16)*100</f>
        <v>1.5117277443179997</v>
      </c>
      <c r="I21" s="146">
        <f t="shared" si="1"/>
        <v>4.9002312090693732</v>
      </c>
      <c r="J21" s="146">
        <f t="shared" si="2"/>
        <v>-8.6818771376312185</v>
      </c>
      <c r="K21" s="129">
        <f t="shared" si="12"/>
        <v>-1.4863649432871302</v>
      </c>
      <c r="L21" s="146">
        <f t="shared" si="3"/>
        <v>7.2709258567587511</v>
      </c>
      <c r="M21" s="129">
        <f t="shared" si="4"/>
        <v>-1.694076515652986</v>
      </c>
      <c r="N21" s="146">
        <f t="shared" si="14"/>
        <v>-0.3088384692568038</v>
      </c>
      <c r="O21" s="37"/>
      <c r="P21" s="39">
        <f>('Tuition-2Yr'!AA16/'Total E&amp;G-2Yr'!AA16)*100</f>
        <v>13.938226671897164</v>
      </c>
      <c r="Q21" s="40">
        <f>('State Appropriations-2Yr'!AA16/'Total E&amp;G-2Yr'!AA16)*100</f>
        <v>50.137692703255219</v>
      </c>
      <c r="R21" s="41">
        <f>IF((('Local Appropriations-2Yr'!AA16/'Total E&amp;G-2Yr'!AA16)*100)&gt;=0.05,('Local Appropriations-2Yr'!AA16/'Total E&amp;G-2Yr'!AA16)*100,"*")</f>
        <v>11.273474090281562</v>
      </c>
      <c r="S21" s="42">
        <f>('Fed Contracts Grnts-2Yr'!AA16/'Total E&amp;G-2Yr'!AA16)*100</f>
        <v>17.68869254826518</v>
      </c>
      <c r="T21" s="41">
        <f>('Other Contracts Grnts-2Yr'!AA16/'Total E&amp;G-2Yr'!AA16)*100</f>
        <v>5.1413477727260748</v>
      </c>
      <c r="U21" s="42">
        <f>IF(((('Investment Income-2Yr'!AA16+'All Other E&amp;G-2Yr'!AA16)/'Total E&amp;G-2Yr'!AA16)*100)&gt;=0.05,(('Investment Income-2Yr'!AA16+'All Other E&amp;G-2Yr'!AA16)/'Total E&amp;G-2Yr'!AA16)*100,"*")</f>
        <v>1.8205662135748035</v>
      </c>
      <c r="V21" s="42"/>
      <c r="W21" s="27">
        <f t="shared" si="5"/>
        <v>100.00000000000001</v>
      </c>
      <c r="X21" s="27">
        <f t="shared" si="6"/>
        <v>99.999999999999986</v>
      </c>
      <c r="Y21" s="3"/>
      <c r="Z21" s="188">
        <f t="shared" si="7"/>
        <v>61.411166793536779</v>
      </c>
      <c r="AA21" s="189">
        <f t="shared" si="13"/>
        <v>51.242924712618432</v>
      </c>
      <c r="AB21" s="188">
        <f t="shared" si="8"/>
        <v>22.830040320991255</v>
      </c>
      <c r="AC21" s="189">
        <f t="shared" si="9"/>
        <v>28.406889662097022</v>
      </c>
      <c r="AD21" s="188">
        <f t="shared" si="10"/>
        <v>100.00000000000001</v>
      </c>
      <c r="AE21" s="195">
        <f t="shared" si="11"/>
        <v>99.999999999999972</v>
      </c>
    </row>
    <row r="22" spans="1:31">
      <c r="A22" s="118" t="s">
        <v>10</v>
      </c>
      <c r="B22" s="118"/>
      <c r="C22" s="129">
        <f>('Tuition-2Yr'!AF17/'Total E&amp;G-2Yr'!AF17)*100</f>
        <v>24.794962904305851</v>
      </c>
      <c r="D22" s="146">
        <f>('State Appropriations-2Yr'!AF17)/('Total E&amp;G-2Yr'!AF17)*100</f>
        <v>30.607954638792322</v>
      </c>
      <c r="E22" s="129">
        <f>IF((('Local Appropriations-2Yr'!AF17/'Total E&amp;G-2Yr'!AF17)*100)=0,(('Local Appropriations-2Yr'!AF17/'Total E&amp;G-2Yr'!AF17)*100),IF((('Local Appropriations-2Yr'!AF17/'Total E&amp;G-2Yr'!AF17)*100)&gt;=0.05,('Local Appropriations-2Yr'!AF17/'Total E&amp;G-2Yr'!AF17)*100,"*"))</f>
        <v>9.045373567693952</v>
      </c>
      <c r="F22" s="146">
        <f>('Fed Contracts Grnts-2Yr'!AF17)/('Total E&amp;G-2Yr'!AF17)*100</f>
        <v>24.748585037609192</v>
      </c>
      <c r="G22" s="129">
        <f>('Other Contracts Grnts-2Yr'!AF17/'Total E&amp;G-2Yr'!AF17)*100</f>
        <v>5.0530491623233891</v>
      </c>
      <c r="H22" s="146">
        <f>('All Other E&amp;G-2Yr'!AF17+'Investment Income-2Yr'!AF17)/('Total E&amp;G-2Yr'!AF17)*100</f>
        <v>5.7500746892753076</v>
      </c>
      <c r="I22" s="146">
        <f t="shared" si="1"/>
        <v>-0.35382148284861259</v>
      </c>
      <c r="J22" s="146">
        <f t="shared" si="2"/>
        <v>-5.8098380174509359</v>
      </c>
      <c r="K22" s="129">
        <f t="shared" si="12"/>
        <v>0.29121953056463745</v>
      </c>
      <c r="L22" s="146">
        <f t="shared" si="3"/>
        <v>5.8694591885196203</v>
      </c>
      <c r="M22" s="129">
        <f t="shared" si="4"/>
        <v>-0.33387806505167461</v>
      </c>
      <c r="N22" s="146">
        <f t="shared" si="14"/>
        <v>0.3368588462669786</v>
      </c>
      <c r="O22" s="37"/>
      <c r="P22" s="39">
        <f>('Tuition-2Yr'!AA17/'Total E&amp;G-2Yr'!AA17)*100</f>
        <v>25.148784387154464</v>
      </c>
      <c r="Q22" s="40">
        <f>('State Appropriations-2Yr'!AA17/'Total E&amp;G-2Yr'!AA17)*100</f>
        <v>36.417792656243257</v>
      </c>
      <c r="R22" s="41">
        <f>IF((('Local Appropriations-2Yr'!AA17/'Total E&amp;G-2Yr'!AA17)*100)&gt;=0.05,('Local Appropriations-2Yr'!AA17/'Total E&amp;G-2Yr'!AA17)*100,"*")</f>
        <v>8.7541540371293145</v>
      </c>
      <c r="S22" s="42">
        <f>('Fed Contracts Grnts-2Yr'!AA17/'Total E&amp;G-2Yr'!AA17)*100</f>
        <v>18.879125849089572</v>
      </c>
      <c r="T22" s="41">
        <f>('Other Contracts Grnts-2Yr'!AA17/'Total E&amp;G-2Yr'!AA17)*100</f>
        <v>5.3869272273750637</v>
      </c>
      <c r="U22" s="42">
        <f>IF(((('Investment Income-2Yr'!AA17+'All Other E&amp;G-2Yr'!AA17)/'Total E&amp;G-2Yr'!AA17)*100)&gt;=0.05,(('Investment Income-2Yr'!AA17+'All Other E&amp;G-2Yr'!AA17)/'Total E&amp;G-2Yr'!AA17)*100,"*")</f>
        <v>5.413215843008329</v>
      </c>
      <c r="V22" s="42"/>
      <c r="W22" s="27">
        <f t="shared" si="5"/>
        <v>100.00000000000001</v>
      </c>
      <c r="X22" s="27">
        <f t="shared" si="6"/>
        <v>100.00000000000001</v>
      </c>
      <c r="Y22" s="3"/>
      <c r="Z22" s="188">
        <f t="shared" si="7"/>
        <v>45.171946693372576</v>
      </c>
      <c r="AA22" s="189">
        <f t="shared" si="13"/>
        <v>39.653328206486272</v>
      </c>
      <c r="AB22" s="188">
        <f t="shared" si="8"/>
        <v>24.266053076464637</v>
      </c>
      <c r="AC22" s="189">
        <f t="shared" si="9"/>
        <v>29.801634199932582</v>
      </c>
      <c r="AD22" s="188">
        <f t="shared" si="10"/>
        <v>100</v>
      </c>
      <c r="AE22" s="195">
        <f t="shared" si="11"/>
        <v>100.00000000000001</v>
      </c>
    </row>
    <row r="23" spans="1:31">
      <c r="A23" s="118" t="s">
        <v>11</v>
      </c>
      <c r="B23" s="118"/>
      <c r="C23" s="129">
        <f>('Tuition-2Yr'!AF18/'Total E&amp;G-2Yr'!AF18)*100</f>
        <v>40.159738694168389</v>
      </c>
      <c r="D23" s="146">
        <f>('State Appropriations-2Yr'!AF18)/('Total E&amp;G-2Yr'!AF18)*100</f>
        <v>11.833009278217906</v>
      </c>
      <c r="E23" s="129">
        <f>IF((('Local Appropriations-2Yr'!AF18/'Total E&amp;G-2Yr'!AF18)*100)=0,(('Local Appropriations-2Yr'!AF18/'Total E&amp;G-2Yr'!AF18)*100),IF((('Local Appropriations-2Yr'!AF18/'Total E&amp;G-2Yr'!AF18)*100)&gt;=0.05,('Local Appropriations-2Yr'!AF18/'Total E&amp;G-2Yr'!AF18)*100,"*"))</f>
        <v>6.4842740150158908</v>
      </c>
      <c r="F23" s="146">
        <f>('Fed Contracts Grnts-2Yr'!AF18)/('Total E&amp;G-2Yr'!AF18)*100</f>
        <v>29.230769032753745</v>
      </c>
      <c r="G23" s="129">
        <f>('Other Contracts Grnts-2Yr'!AF18/'Total E&amp;G-2Yr'!AF18)*100</f>
        <v>10.474921605386465</v>
      </c>
      <c r="H23" s="146">
        <f>('All Other E&amp;G-2Yr'!AF18+'Investment Income-2Yr'!AF18)/('Total E&amp;G-2Yr'!AF18)*100</f>
        <v>1.8172873744575979</v>
      </c>
      <c r="I23" s="146">
        <f t="shared" si="1"/>
        <v>1.617327842398339</v>
      </c>
      <c r="J23" s="146">
        <f t="shared" si="2"/>
        <v>-5.6792340786111364</v>
      </c>
      <c r="K23" s="129">
        <f t="shared" si="12"/>
        <v>-0.96441633202535293</v>
      </c>
      <c r="L23" s="146">
        <f t="shared" si="3"/>
        <v>6.786291272351292</v>
      </c>
      <c r="M23" s="129">
        <f t="shared" si="4"/>
        <v>-1.8312986484832656</v>
      </c>
      <c r="N23" s="146">
        <f t="shared" si="14"/>
        <v>7.1329944370106535E-2</v>
      </c>
      <c r="O23" s="37"/>
      <c r="P23" s="39">
        <f>('Tuition-2Yr'!AA18/'Total E&amp;G-2Yr'!AA18)*100</f>
        <v>38.54241085177005</v>
      </c>
      <c r="Q23" s="40">
        <f>('State Appropriations-2Yr'!AA18/'Total E&amp;G-2Yr'!AA18)*100</f>
        <v>17.512243356829043</v>
      </c>
      <c r="R23" s="41">
        <f>IF((('Local Appropriations-2Yr'!AA18/'Total E&amp;G-2Yr'!AA18)*100)&gt;=0.05,('Local Appropriations-2Yr'!AA18/'Total E&amp;G-2Yr'!AA18)*100,"*")</f>
        <v>7.4486903470412438</v>
      </c>
      <c r="S23" s="42">
        <f>('Fed Contracts Grnts-2Yr'!AA18/'Total E&amp;G-2Yr'!AA18)*100</f>
        <v>22.444477760402453</v>
      </c>
      <c r="T23" s="41">
        <f>('Other Contracts Grnts-2Yr'!AA18/'Total E&amp;G-2Yr'!AA18)*100</f>
        <v>12.30622025386973</v>
      </c>
      <c r="U23" s="42">
        <f>IF(((('Investment Income-2Yr'!AA18+'All Other E&amp;G-2Yr'!AA18)/'Total E&amp;G-2Yr'!AA18)*100)&gt;=0.05,(('Investment Income-2Yr'!AA18+'All Other E&amp;G-2Yr'!AA18)/'Total E&amp;G-2Yr'!AA18)*100,"*")</f>
        <v>1.7459574300874914</v>
      </c>
      <c r="V23" s="42"/>
      <c r="W23" s="27">
        <f t="shared" si="5"/>
        <v>100</v>
      </c>
      <c r="X23" s="27">
        <f t="shared" si="6"/>
        <v>100</v>
      </c>
      <c r="Y23" s="3"/>
      <c r="Z23" s="188">
        <f t="shared" si="7"/>
        <v>24.960933703870285</v>
      </c>
      <c r="AA23" s="189">
        <f t="shared" si="13"/>
        <v>18.317283293233796</v>
      </c>
      <c r="AB23" s="188">
        <f t="shared" si="8"/>
        <v>34.750698014272182</v>
      </c>
      <c r="AC23" s="189">
        <f t="shared" si="9"/>
        <v>39.705690638140211</v>
      </c>
      <c r="AD23" s="188">
        <f t="shared" si="10"/>
        <v>100.00000000000001</v>
      </c>
      <c r="AE23" s="195">
        <f t="shared" si="11"/>
        <v>100</v>
      </c>
    </row>
    <row r="24" spans="1:31">
      <c r="A24" s="120" t="s">
        <v>12</v>
      </c>
      <c r="B24" s="120"/>
      <c r="C24" s="128">
        <f>('Tuition-2Yr'!AF19/'Total E&amp;G-2Yr'!AF19)*100</f>
        <v>37.054196612307727</v>
      </c>
      <c r="D24" s="145">
        <f>('State Appropriations-2Yr'!AF19)/('Total E&amp;G-2Yr'!AF19)*100</f>
        <v>27.943272203467689</v>
      </c>
      <c r="E24" s="128">
        <f>IF((('Local Appropriations-2Yr'!AF19/'Total E&amp;G-2Yr'!AF19)*100)=0,(('Local Appropriations-2Yr'!AF19/'Total E&amp;G-2Yr'!AF19)*100),IF((('Local Appropriations-2Yr'!AF19/'Total E&amp;G-2Yr'!AF19)*100)&gt;=0.05,('Local Appropriations-2Yr'!AF19/'Total E&amp;G-2Yr'!AF19)*100,"*"))</f>
        <v>0</v>
      </c>
      <c r="F24" s="145">
        <f>('Fed Contracts Grnts-2Yr'!AF19)/('Total E&amp;G-2Yr'!AF19)*100</f>
        <v>25.465813148145315</v>
      </c>
      <c r="G24" s="128">
        <f>('Other Contracts Grnts-2Yr'!AF19/'Total E&amp;G-2Yr'!AF19)*100</f>
        <v>8.4591334008443688</v>
      </c>
      <c r="H24" s="145">
        <f>('All Other E&amp;G-2Yr'!AF19+'Investment Income-2Yr'!AF19)/('Total E&amp;G-2Yr'!AF19)*100</f>
        <v>1.0775846352349188</v>
      </c>
      <c r="I24" s="147">
        <f t="shared" si="1"/>
        <v>3.5227946784652318</v>
      </c>
      <c r="J24" s="147">
        <f t="shared" si="2"/>
        <v>-8.2544134161835778</v>
      </c>
      <c r="K24" s="131">
        <f t="shared" si="12"/>
        <v>0</v>
      </c>
      <c r="L24" s="147">
        <f t="shared" si="3"/>
        <v>4.5876013284397743</v>
      </c>
      <c r="M24" s="131">
        <f t="shared" si="4"/>
        <v>0.99454641389853027</v>
      </c>
      <c r="N24" s="145">
        <f t="shared" si="14"/>
        <v>-0.85052900461993031</v>
      </c>
      <c r="O24" s="37"/>
      <c r="P24" s="39">
        <f>('Tuition-2Yr'!AA19/'Total E&amp;G-2Yr'!AA19)*100</f>
        <v>33.531401933842496</v>
      </c>
      <c r="Q24" s="40">
        <f>('State Appropriations-2Yr'!AA19/'Total E&amp;G-2Yr'!AA19)*100</f>
        <v>36.197685619651267</v>
      </c>
      <c r="R24" s="41" t="str">
        <f>IF((('Local Appropriations-2Yr'!AA19/'Total E&amp;G-2Yr'!AA19)*100)&gt;=0.05,('Local Appropriations-2Yr'!AA19/'Total E&amp;G-2Yr'!AA19)*100,"*")</f>
        <v>*</v>
      </c>
      <c r="S24" s="42">
        <f>('Fed Contracts Grnts-2Yr'!AA19/'Total E&amp;G-2Yr'!AA19)*100</f>
        <v>20.878211819705541</v>
      </c>
      <c r="T24" s="41">
        <f>('Other Contracts Grnts-2Yr'!AA19/'Total E&amp;G-2Yr'!AA19)*100</f>
        <v>7.4645869869458386</v>
      </c>
      <c r="U24" s="42">
        <f>IF(((('Investment Income-2Yr'!AA19+'All Other E&amp;G-2Yr'!AA19)/'Total E&amp;G-2Yr'!AA19)*100)&gt;=0.05,(('Investment Income-2Yr'!AA19+'All Other E&amp;G-2Yr'!AA19)/'Total E&amp;G-2Yr'!AA19)*100,"*")</f>
        <v>1.9281136398548491</v>
      </c>
      <c r="V24" s="42"/>
      <c r="W24" s="27">
        <f t="shared" si="5"/>
        <v>99.999999999999986</v>
      </c>
      <c r="X24" s="27">
        <f t="shared" si="6"/>
        <v>100.00000000000001</v>
      </c>
      <c r="Y24" s="3"/>
      <c r="Z24" s="188">
        <f t="shared" si="7"/>
        <v>36.197685619651267</v>
      </c>
      <c r="AA24" s="189">
        <f t="shared" si="13"/>
        <v>27.943272203467689</v>
      </c>
      <c r="AB24" s="188">
        <f t="shared" si="8"/>
        <v>28.342798806651381</v>
      </c>
      <c r="AC24" s="189">
        <f t="shared" si="9"/>
        <v>33.924946548989681</v>
      </c>
      <c r="AD24" s="188">
        <f t="shared" si="10"/>
        <v>99.999999999999972</v>
      </c>
      <c r="AE24" s="195">
        <f t="shared" si="11"/>
        <v>100.00000000000001</v>
      </c>
    </row>
    <row r="25" spans="1:31">
      <c r="A25" s="120" t="s">
        <v>13</v>
      </c>
      <c r="B25" s="120"/>
      <c r="C25" s="128">
        <f>('Tuition-2Yr'!AF20/'Total E&amp;G-2Yr'!AF20)*100</f>
        <v>26.085596658482491</v>
      </c>
      <c r="D25" s="145">
        <f>('State Appropriations-2Yr'!AF20)/('Total E&amp;G-2Yr'!AF20)*100</f>
        <v>20.948332720970285</v>
      </c>
      <c r="E25" s="128">
        <f>IF((('Local Appropriations-2Yr'!AF20/'Total E&amp;G-2Yr'!AF20)*100)=0,(('Local Appropriations-2Yr'!AF20/'Total E&amp;G-2Yr'!AF20)*100),IF((('Local Appropriations-2Yr'!AF20/'Total E&amp;G-2Yr'!AF20)*100)&gt;=0.05,('Local Appropriations-2Yr'!AF20/'Total E&amp;G-2Yr'!AF20)*100,"*"))</f>
        <v>27.192817976597027</v>
      </c>
      <c r="F25" s="145">
        <f>('Fed Contracts Grnts-2Yr'!AF20)/('Total E&amp;G-2Yr'!AF20)*100</f>
        <v>21.476154463473488</v>
      </c>
      <c r="G25" s="128">
        <f>('Other Contracts Grnts-2Yr'!AF20/'Total E&amp;G-2Yr'!AF20)*100</f>
        <v>2.9930479069873415</v>
      </c>
      <c r="H25" s="145">
        <f>('All Other E&amp;G-2Yr'!AF20+'Investment Income-2Yr'!AF20)/('Total E&amp;G-2Yr'!AF20)*100</f>
        <v>1.3040502734893691</v>
      </c>
      <c r="I25" s="147">
        <f t="shared" si="1"/>
        <v>3.3841220435509882</v>
      </c>
      <c r="J25" s="147">
        <f t="shared" si="2"/>
        <v>-5.6456490399219135</v>
      </c>
      <c r="K25" s="131">
        <f t="shared" si="12"/>
        <v>0.34388545945178706</v>
      </c>
      <c r="L25" s="147">
        <f t="shared" si="3"/>
        <v>3.4186918836153595</v>
      </c>
      <c r="M25" s="131">
        <f t="shared" si="4"/>
        <v>5.1458655063774561E-2</v>
      </c>
      <c r="N25" s="145">
        <f t="shared" si="14"/>
        <v>-1.5525090017599945</v>
      </c>
      <c r="O25" s="37"/>
      <c r="P25" s="39">
        <f>('Tuition-2Yr'!AA20/'Total E&amp;G-2Yr'!AA20)*100</f>
        <v>22.701474614931502</v>
      </c>
      <c r="Q25" s="40">
        <f>('State Appropriations-2Yr'!AA20/'Total E&amp;G-2Yr'!AA20)*100</f>
        <v>26.593981760892198</v>
      </c>
      <c r="R25" s="41">
        <f>IF((('Local Appropriations-2Yr'!AA20/'Total E&amp;G-2Yr'!AA20)*100)&gt;=0.05,('Local Appropriations-2Yr'!AA20/'Total E&amp;G-2Yr'!AA20)*100,"*")</f>
        <v>26.84893251714524</v>
      </c>
      <c r="S25" s="42">
        <f>('Fed Contracts Grnts-2Yr'!AA20/'Total E&amp;G-2Yr'!AA20)*100</f>
        <v>18.057462579858129</v>
      </c>
      <c r="T25" s="41">
        <f>('Other Contracts Grnts-2Yr'!AA20/'Total E&amp;G-2Yr'!AA20)*100</f>
        <v>2.9415892519235669</v>
      </c>
      <c r="U25" s="42">
        <f>IF(((('Investment Income-2Yr'!AA20+'All Other E&amp;G-2Yr'!AA20)/'Total E&amp;G-2Yr'!AA20)*100)&gt;=0.05,(('Investment Income-2Yr'!AA20+'All Other E&amp;G-2Yr'!AA20)/'Total E&amp;G-2Yr'!AA20)*100,"*")</f>
        <v>2.8565592752493636</v>
      </c>
      <c r="V25" s="75"/>
      <c r="W25" s="27">
        <f t="shared" si="5"/>
        <v>100</v>
      </c>
      <c r="X25" s="27">
        <f t="shared" si="6"/>
        <v>100</v>
      </c>
      <c r="Y25" s="3"/>
      <c r="Z25" s="188">
        <f t="shared" si="7"/>
        <v>53.442914278037435</v>
      </c>
      <c r="AA25" s="189">
        <f t="shared" si="13"/>
        <v>48.141150697567312</v>
      </c>
      <c r="AB25" s="188">
        <f t="shared" si="8"/>
        <v>20.999051831781696</v>
      </c>
      <c r="AC25" s="189">
        <f t="shared" si="9"/>
        <v>24.469202370460831</v>
      </c>
      <c r="AD25" s="188">
        <f t="shared" si="10"/>
        <v>100</v>
      </c>
      <c r="AE25" s="195">
        <f t="shared" si="11"/>
        <v>100</v>
      </c>
    </row>
    <row r="26" spans="1:31">
      <c r="A26" s="120" t="s">
        <v>14</v>
      </c>
      <c r="B26" s="120"/>
      <c r="C26" s="128">
        <f>('Tuition-2Yr'!AF21/'Total E&amp;G-2Yr'!AF21)*100</f>
        <v>42.301490731480399</v>
      </c>
      <c r="D26" s="145">
        <f>('State Appropriations-2Yr'!AF21)/('Total E&amp;G-2Yr'!AF21)*100</f>
        <v>29.249255656158478</v>
      </c>
      <c r="E26" s="128">
        <f>IF((('Local Appropriations-2Yr'!AF21/'Total E&amp;G-2Yr'!AF21)*100)=0,(('Local Appropriations-2Yr'!AF21/'Total E&amp;G-2Yr'!AF21)*100),IF((('Local Appropriations-2Yr'!AF21/'Total E&amp;G-2Yr'!AF21)*100)&gt;=0.05,('Local Appropriations-2Yr'!AF21/'Total E&amp;G-2Yr'!AF21)*100,"*"))</f>
        <v>0.19311081484305387</v>
      </c>
      <c r="F26" s="145">
        <f>('Fed Contracts Grnts-2Yr'!AF21)/('Total E&amp;G-2Yr'!AF21)*100</f>
        <v>23.748354108256596</v>
      </c>
      <c r="G26" s="201">
        <f>('Other Contracts Grnts-2Yr'!AF21/'Total E&amp;G-2Yr'!AF21)*100</f>
        <v>2.0096132552792199</v>
      </c>
      <c r="H26" s="145">
        <f>('All Other E&amp;G-2Yr'!AF21+'Investment Income-2Yr'!AF21)/('Total E&amp;G-2Yr'!AF21)*100</f>
        <v>2.4981754339822362</v>
      </c>
      <c r="I26" s="147">
        <f t="shared" si="1"/>
        <v>5.800979744741781</v>
      </c>
      <c r="J26" s="147">
        <f t="shared" si="2"/>
        <v>-12.008894476975794</v>
      </c>
      <c r="K26" s="131" t="str">
        <f t="shared" si="12"/>
        <v>*</v>
      </c>
      <c r="L26" s="147">
        <f t="shared" si="3"/>
        <v>7.2462089577055835</v>
      </c>
      <c r="M26" s="131">
        <f t="shared" si="4"/>
        <v>-0.5551932298715232</v>
      </c>
      <c r="N26" s="145">
        <f t="shared" si="14"/>
        <v>-0.47667437856872352</v>
      </c>
      <c r="O26" s="37"/>
      <c r="P26" s="39">
        <f>('Tuition-2Yr'!AA21/'Total E&amp;G-2Yr'!AA21)*100</f>
        <v>36.500510986738618</v>
      </c>
      <c r="Q26" s="40">
        <f>('State Appropriations-2Yr'!AA21/'Total E&amp;G-2Yr'!AA21)*100</f>
        <v>41.258150133134272</v>
      </c>
      <c r="R26" s="41">
        <f>IF((('Local Appropriations-2Yr'!AA21/'Total E&amp;G-2Yr'!AA21)*100)&gt;=0.05,('Local Appropriations-2Yr'!AA21/'Total E&amp;G-2Yr'!AA21)*100,"*")</f>
        <v>0.19953743187439013</v>
      </c>
      <c r="S26" s="42">
        <f>('Fed Contracts Grnts-2Yr'!AA21/'Total E&amp;G-2Yr'!AA21)*100</f>
        <v>16.502145150551012</v>
      </c>
      <c r="T26" s="41">
        <f>('Other Contracts Grnts-2Yr'!AA21/'Total E&amp;G-2Yr'!AA21)*100</f>
        <v>2.5648064851507431</v>
      </c>
      <c r="U26" s="42">
        <f>IF(((('Investment Income-2Yr'!AA21+'All Other E&amp;G-2Yr'!AA21)/'Total E&amp;G-2Yr'!AA21)*100)&gt;=0.05,(('Investment Income-2Yr'!AA21+'All Other E&amp;G-2Yr'!AA21)/'Total E&amp;G-2Yr'!AA21)*100,"*")</f>
        <v>2.9748498125509597</v>
      </c>
      <c r="V26" s="75"/>
      <c r="W26" s="27">
        <f t="shared" si="5"/>
        <v>100</v>
      </c>
      <c r="X26" s="27">
        <f t="shared" si="6"/>
        <v>99.999999999999986</v>
      </c>
      <c r="Y26" s="3"/>
      <c r="Z26" s="188">
        <f t="shared" si="7"/>
        <v>41.457687565008662</v>
      </c>
      <c r="AA26" s="189">
        <f t="shared" si="13"/>
        <v>29.442366471001531</v>
      </c>
      <c r="AB26" s="188">
        <f t="shared" si="8"/>
        <v>19.066951635701756</v>
      </c>
      <c r="AC26" s="189">
        <f t="shared" si="9"/>
        <v>25.757967363535816</v>
      </c>
      <c r="AD26" s="188">
        <f t="shared" si="10"/>
        <v>100</v>
      </c>
      <c r="AE26" s="195">
        <f t="shared" si="11"/>
        <v>99.999999999999972</v>
      </c>
    </row>
    <row r="27" spans="1:31">
      <c r="A27" s="121" t="s">
        <v>15</v>
      </c>
      <c r="B27" s="121"/>
      <c r="C27" s="197">
        <f>('Tuition-2Yr'!AF22/'Total E&amp;G-2Yr'!AF22)*100</f>
        <v>31.625245893865905</v>
      </c>
      <c r="D27" s="144">
        <f>('State Appropriations-2Yr'!AF22)/('Total E&amp;G-2Yr'!AF22)*100</f>
        <v>28.797856919888954</v>
      </c>
      <c r="E27" s="197">
        <f>IF((('Local Appropriations-2Yr'!AF22/'Total E&amp;G-2Yr'!AF22)*100)=0,(('Local Appropriations-2Yr'!AF22/'Total E&amp;G-2Yr'!AF22)*100),IF((('Local Appropriations-2Yr'!AF22/'Total E&amp;G-2Yr'!AF22)*100)&gt;=0.05,('Local Appropriations-2Yr'!AF22/'Total E&amp;G-2Yr'!AF22)*100,"*"))</f>
        <v>0</v>
      </c>
      <c r="F27" s="144">
        <f>('Fed Contracts Grnts-2Yr'!AF22)/('Total E&amp;G-2Yr'!AF22)*100</f>
        <v>24.852322739405945</v>
      </c>
      <c r="G27" s="197">
        <f>('Other Contracts Grnts-2Yr'!AF22/'Total E&amp;G-2Yr'!AF22)*100</f>
        <v>11.855937047154475</v>
      </c>
      <c r="H27" s="199">
        <f>('All Other E&amp;G-2Yr'!AF22+'Investment Income-2Yr'!AF22)/('Total E&amp;G-2Yr'!AF22)*100</f>
        <v>2.8686373996847245</v>
      </c>
      <c r="I27" s="148">
        <f t="shared" si="1"/>
        <v>7.4314225359227812</v>
      </c>
      <c r="J27" s="148">
        <f t="shared" si="2"/>
        <v>-8.5419935881734652</v>
      </c>
      <c r="K27" s="132">
        <f t="shared" si="12"/>
        <v>0</v>
      </c>
      <c r="L27" s="148">
        <f t="shared" si="3"/>
        <v>4.3881193884214689</v>
      </c>
      <c r="M27" s="132">
        <f t="shared" si="4"/>
        <v>-1.4663720572854881</v>
      </c>
      <c r="N27" s="144">
        <f t="shared" si="14"/>
        <v>-1.8111762788852857</v>
      </c>
      <c r="O27" s="37"/>
      <c r="P27" s="39">
        <f>('Tuition-2Yr'!AA22/'Total E&amp;G-2Yr'!AA22)*100</f>
        <v>24.193823357943124</v>
      </c>
      <c r="Q27" s="40">
        <f>('State Appropriations-2Yr'!AA22/'Total E&amp;G-2Yr'!AA22)*100</f>
        <v>37.339850508062419</v>
      </c>
      <c r="R27" s="41" t="str">
        <f>IF((('Local Appropriations-2Yr'!AA22/'Total E&amp;G-2Yr'!AA22)*100)&gt;=0.05,('Local Appropriations-2Yr'!AA22/'Total E&amp;G-2Yr'!AA22)*100,"*")</f>
        <v>*</v>
      </c>
      <c r="S27" s="42">
        <f>('Fed Contracts Grnts-2Yr'!AA22/'Total E&amp;G-2Yr'!AA22)*100</f>
        <v>20.464203350984477</v>
      </c>
      <c r="T27" s="41">
        <f>('Other Contracts Grnts-2Yr'!AA22/'Total E&amp;G-2Yr'!AA22)*100</f>
        <v>13.322309104439963</v>
      </c>
      <c r="U27" s="42">
        <f>IF(((('Investment Income-2Yr'!AA22+'All Other E&amp;G-2Yr'!AA22)/'Total E&amp;G-2Yr'!AA22)*100)&gt;=0.05,(('Investment Income-2Yr'!AA22+'All Other E&amp;G-2Yr'!AA22)/'Total E&amp;G-2Yr'!AA22)*100,"*")</f>
        <v>4.6798136785700102</v>
      </c>
      <c r="V27" s="75"/>
      <c r="W27" s="27">
        <f t="shared" si="5"/>
        <v>100</v>
      </c>
      <c r="X27" s="27">
        <f t="shared" si="6"/>
        <v>100</v>
      </c>
      <c r="Y27" s="3"/>
      <c r="Z27" s="188">
        <f t="shared" si="7"/>
        <v>37.339850508062419</v>
      </c>
      <c r="AA27" s="189">
        <f t="shared" si="13"/>
        <v>28.797856919888954</v>
      </c>
      <c r="AB27" s="188">
        <f t="shared" si="8"/>
        <v>33.786512455424443</v>
      </c>
      <c r="AC27" s="189">
        <f t="shared" si="9"/>
        <v>36.708259786560419</v>
      </c>
      <c r="AD27" s="188">
        <f t="shared" si="10"/>
        <v>100</v>
      </c>
      <c r="AE27" s="195">
        <f t="shared" si="11"/>
        <v>100.00000000000001</v>
      </c>
    </row>
    <row r="28" spans="1:31" s="59" customFormat="1">
      <c r="A28" s="117" t="s">
        <v>144</v>
      </c>
      <c r="B28" s="117"/>
      <c r="C28" s="128">
        <f>('Tuition-2Yr'!AF23/'Total E&amp;G-2Yr'!AF23)*100</f>
        <v>20.447849668282188</v>
      </c>
      <c r="D28" s="145">
        <f>('State Appropriations-2Yr'!AF23)/('Total E&amp;G-2Yr'!AF23)*100</f>
        <v>26.98312545820427</v>
      </c>
      <c r="E28" s="128">
        <f>IF((('Local Appropriations-2Yr'!AF23/'Total E&amp;G-2Yr'!AF23)*100)=0,(('Local Appropriations-2Yr'!AF23/'Total E&amp;G-2Yr'!AF23)*100),IF((('Local Appropriations-2Yr'!AF23/'Total E&amp;G-2Yr'!AF23)*100)&gt;=0.05,('Local Appropriations-2Yr'!AF23/'Total E&amp;G-2Yr'!AF23)*100,"*"))</f>
        <v>17.760980867376286</v>
      </c>
      <c r="F28" s="145">
        <f>('Fed Contracts Grnts-2Yr'!AF23)/('Total E&amp;G-2Yr'!AF23)*100</f>
        <v>20.421445530309207</v>
      </c>
      <c r="G28" s="128">
        <f>('Other Contracts Grnts-2Yr'!AF23/'Total E&amp;G-2Yr'!AF23)*100</f>
        <v>9.0269470269353302</v>
      </c>
      <c r="H28" s="145">
        <f>('All Other E&amp;G-2Yr'!AF23+'Investment Income-2Yr'!AF23)/('Total E&amp;G-2Yr'!AF23)*100</f>
        <v>5.3596514488927252</v>
      </c>
      <c r="I28" s="145">
        <f t="shared" si="1"/>
        <v>4.400979010543022</v>
      </c>
      <c r="J28" s="145">
        <f t="shared" si="2"/>
        <v>-6.1264419516262691</v>
      </c>
      <c r="K28" s="128">
        <f t="shared" si="12"/>
        <v>-2.7207771403800862</v>
      </c>
      <c r="L28" s="145">
        <f t="shared" si="3"/>
        <v>5.786800451128066</v>
      </c>
      <c r="M28" s="128">
        <f t="shared" si="4"/>
        <v>-1.3869719349147207</v>
      </c>
      <c r="N28" s="145" t="str">
        <f t="shared" si="14"/>
        <v>*</v>
      </c>
      <c r="O28" s="37"/>
      <c r="P28" s="39">
        <f>('Tuition-2Yr'!AA23/'Total E&amp;G-2Yr'!AA23)*100</f>
        <v>16.046870657739166</v>
      </c>
      <c r="Q28" s="40">
        <f>('State Appropriations-2Yr'!AA23/'Total E&amp;G-2Yr'!AA23)*100</f>
        <v>33.109567409830539</v>
      </c>
      <c r="R28" s="41">
        <f>IF((('Local Appropriations-2Yr'!AA23/'Total E&amp;G-2Yr'!AA23)*100)&gt;=0.05,('Local Appropriations-2Yr'!AA23/'Total E&amp;G-2Yr'!AA23)*100,"*")</f>
        <v>20.481758007756373</v>
      </c>
      <c r="S28" s="42">
        <f>('Fed Contracts Grnts-2Yr'!AA23/'Total E&amp;G-2Yr'!AA23)*100</f>
        <v>14.634645079181141</v>
      </c>
      <c r="T28" s="41">
        <f>('Other Contracts Grnts-2Yr'!AA23/'Total E&amp;G-2Yr'!AA23)*100</f>
        <v>10.413918961850051</v>
      </c>
      <c r="U28" s="42">
        <f>IF(((('Investment Income-2Yr'!AA23+'All Other E&amp;G-2Yr'!AA23)/'Total E&amp;G-2Yr'!AA23)*100)&gt;=0.05,(('Investment Income-2Yr'!AA23+'All Other E&amp;G-2Yr'!AA23)/'Total E&amp;G-2Yr'!AA23)*100,"*")</f>
        <v>5.313239883642721</v>
      </c>
      <c r="V28" s="75"/>
      <c r="W28" s="27">
        <f t="shared" si="5"/>
        <v>100</v>
      </c>
      <c r="X28" s="27">
        <f t="shared" si="6"/>
        <v>100.00000000000001</v>
      </c>
      <c r="Y28" s="3"/>
      <c r="Z28" s="188">
        <f t="shared" si="7"/>
        <v>53.591325417586916</v>
      </c>
      <c r="AA28" s="189">
        <f t="shared" si="13"/>
        <v>44.74410632558056</v>
      </c>
      <c r="AB28" s="188">
        <f t="shared" si="8"/>
        <v>25.048564041031192</v>
      </c>
      <c r="AC28" s="189">
        <f t="shared" si="9"/>
        <v>29.448392557244539</v>
      </c>
      <c r="AD28" s="188">
        <f t="shared" si="10"/>
        <v>100</v>
      </c>
      <c r="AE28" s="195">
        <f t="shared" si="11"/>
        <v>100.00000000000001</v>
      </c>
    </row>
    <row r="29" spans="1:31" s="24" customFormat="1">
      <c r="A29" s="117"/>
      <c r="B29" s="117"/>
      <c r="C29" s="128"/>
      <c r="D29" s="145"/>
      <c r="E29" s="128"/>
      <c r="F29" s="145"/>
      <c r="G29" s="128"/>
      <c r="H29" s="145"/>
      <c r="I29" s="145"/>
      <c r="J29" s="145"/>
      <c r="K29" s="128"/>
      <c r="L29" s="145"/>
      <c r="M29" s="128"/>
      <c r="N29" s="145"/>
      <c r="O29" s="37"/>
      <c r="P29" s="38"/>
      <c r="Q29" s="38"/>
      <c r="R29" s="38"/>
      <c r="S29" s="38"/>
      <c r="T29" s="38"/>
      <c r="U29" s="38"/>
      <c r="V29" s="38"/>
      <c r="W29" s="27"/>
      <c r="X29" s="27"/>
      <c r="Y29" s="3"/>
      <c r="Z29" s="188"/>
      <c r="AA29" s="189"/>
      <c r="AB29" s="188"/>
      <c r="AC29" s="189"/>
      <c r="AD29" s="188"/>
      <c r="AE29" s="195"/>
    </row>
    <row r="30" spans="1:31" s="24" customFormat="1">
      <c r="A30" s="118" t="s">
        <v>109</v>
      </c>
      <c r="B30" s="118"/>
      <c r="C30" s="129" t="s">
        <v>149</v>
      </c>
      <c r="D30" s="146" t="s">
        <v>149</v>
      </c>
      <c r="E30" s="129" t="s">
        <v>149</v>
      </c>
      <c r="F30" s="146" t="s">
        <v>149</v>
      </c>
      <c r="G30" s="129" t="s">
        <v>149</v>
      </c>
      <c r="H30" s="146" t="s">
        <v>149</v>
      </c>
      <c r="I30" s="146" t="s">
        <v>149</v>
      </c>
      <c r="J30" s="146" t="s">
        <v>149</v>
      </c>
      <c r="K30" s="129" t="s">
        <v>149</v>
      </c>
      <c r="L30" s="146" t="s">
        <v>149</v>
      </c>
      <c r="M30" s="129" t="s">
        <v>149</v>
      </c>
      <c r="N30" s="146" t="s">
        <v>149</v>
      </c>
      <c r="O30" s="37"/>
      <c r="P30" s="38">
        <f>('Tuition-2Yr'!AA25/'Total E&amp;G-2Yr'!AA25)*100</f>
        <v>5.9455125951609471</v>
      </c>
      <c r="Q30" s="38">
        <f>('State Appropriations-2Yr'!AA25/'Total E&amp;G-2Yr'!AA25)*100</f>
        <v>17.401074690642528</v>
      </c>
      <c r="R30" s="38">
        <f>IF((('Local Appropriations-2Yr'!AA25/'Total E&amp;G-2Yr'!AA25)*100)&gt;=0.05,('Local Appropriations-2Yr'!AA25/'Total E&amp;G-2Yr'!AA25)*100,"*")</f>
        <v>44.668531773215008</v>
      </c>
      <c r="S30" s="38">
        <f>('Fed Contracts Grnts-2Yr'!AA25/'Total E&amp;G-2Yr'!AA25)*100</f>
        <v>14.5691806990489</v>
      </c>
      <c r="T30" s="38">
        <f>('Other Contracts Grnts-2Yr'!AA25/'Total E&amp;G-2Yr'!AA25)*100</f>
        <v>13.780695522248806</v>
      </c>
      <c r="U30" s="38">
        <f>IF(((('Investment Income-2Yr'!AA25+'All Other E&amp;G-2Yr'!AA25)/'Total E&amp;G-2Yr'!AA25)*100)&gt;=0.05,(('Investment Income-2Yr'!AA25+'All Other E&amp;G-2Yr'!AA25)/'Total E&amp;G-2Yr'!AA25)*100,"*")</f>
        <v>3.635004719683816</v>
      </c>
      <c r="V30" s="38"/>
      <c r="W30" s="27">
        <f t="shared" si="5"/>
        <v>100</v>
      </c>
      <c r="X30" s="27">
        <f t="shared" si="6"/>
        <v>0</v>
      </c>
      <c r="Y30" s="3"/>
      <c r="Z30" s="188">
        <f t="shared" si="7"/>
        <v>62.069606463857539</v>
      </c>
      <c r="AA30" s="189">
        <f t="shared" si="13"/>
        <v>0</v>
      </c>
      <c r="AB30" s="188">
        <f t="shared" si="8"/>
        <v>28.349876221297706</v>
      </c>
      <c r="AC30" s="189">
        <f t="shared" si="9"/>
        <v>0</v>
      </c>
      <c r="AD30" s="188">
        <f t="shared" si="10"/>
        <v>100.00000000000001</v>
      </c>
      <c r="AE30" s="195">
        <f t="shared" si="11"/>
        <v>0</v>
      </c>
    </row>
    <row r="31" spans="1:31" s="24" customFormat="1">
      <c r="A31" s="118" t="s">
        <v>110</v>
      </c>
      <c r="B31" s="118"/>
      <c r="C31" s="129">
        <f>('Tuition-2Yr'!AF26/'Total E&amp;G-2Yr'!AF26)*100</f>
        <v>20.067477766792173</v>
      </c>
      <c r="D31" s="146">
        <f>('State Appropriations-2Yr'!AF26)/('Total E&amp;G-2Yr'!AF26)*100</f>
        <v>4.5276930318396573</v>
      </c>
      <c r="E31" s="129">
        <f>IF((('Local Appropriations-2Yr'!AF26/'Total E&amp;G-2Yr'!AF26)*100)=0,(('Local Appropriations-2Yr'!AF26/'Total E&amp;G-2Yr'!AF26)*100),IF((('Local Appropriations-2Yr'!AF26/'Total E&amp;G-2Yr'!AF26)*100)&gt;=0.05,('Local Appropriations-2Yr'!AF26/'Total E&amp;G-2Yr'!AF26)*100,"*"))</f>
        <v>46.427862648458131</v>
      </c>
      <c r="F31" s="146">
        <f>('Fed Contracts Grnts-2Yr'!AF26)/('Total E&amp;G-2Yr'!AF26)*100</f>
        <v>22.682798169278175</v>
      </c>
      <c r="G31" s="129">
        <f>('Other Contracts Grnts-2Yr'!AF26/'Total E&amp;G-2Yr'!AF26)*100</f>
        <v>1.6727131240828856</v>
      </c>
      <c r="H31" s="146">
        <f>('All Other E&amp;G-2Yr'!AF26+'Investment Income-2Yr'!AF26)/('Total E&amp;G-2Yr'!AF26)*100</f>
        <v>4.6214552595489788</v>
      </c>
      <c r="I31" s="146">
        <f t="shared" si="1"/>
        <v>-1.3064262252801626</v>
      </c>
      <c r="J31" s="146">
        <f t="shared" si="2"/>
        <v>-5.7341138628621415</v>
      </c>
      <c r="K31" s="129">
        <f t="shared" si="12"/>
        <v>-2.4479715752783449</v>
      </c>
      <c r="L31" s="146">
        <f t="shared" si="3"/>
        <v>9.2719443177080443</v>
      </c>
      <c r="M31" s="129">
        <f t="shared" si="4"/>
        <v>-2.1972137265498848</v>
      </c>
      <c r="N31" s="146">
        <f t="shared" si="14"/>
        <v>2.4137810722624895</v>
      </c>
      <c r="O31" s="37"/>
      <c r="P31" s="38">
        <f>('Tuition-2Yr'!AA26/'Total E&amp;G-2Yr'!AA26)*100</f>
        <v>21.373903992072336</v>
      </c>
      <c r="Q31" s="38">
        <f>('State Appropriations-2Yr'!AA26/'Total E&amp;G-2Yr'!AA26)*100</f>
        <v>10.261806894701799</v>
      </c>
      <c r="R31" s="38">
        <f>IF((('Local Appropriations-2Yr'!AA26/'Total E&amp;G-2Yr'!AA26)*100)&gt;=0.05,('Local Appropriations-2Yr'!AA26/'Total E&amp;G-2Yr'!AA26)*100,"*")</f>
        <v>48.875834223736476</v>
      </c>
      <c r="S31" s="38">
        <f>('Fed Contracts Grnts-2Yr'!AA26/'Total E&amp;G-2Yr'!AA26)*100</f>
        <v>13.410853851570131</v>
      </c>
      <c r="T31" s="38">
        <f>('Other Contracts Grnts-2Yr'!AA26/'Total E&amp;G-2Yr'!AA26)*100</f>
        <v>3.8699268506327704</v>
      </c>
      <c r="U31" s="38">
        <f>IF(((('Investment Income-2Yr'!AA26+'All Other E&amp;G-2Yr'!AA26)/'Total E&amp;G-2Yr'!AA26)*100)&gt;=0.05,(('Investment Income-2Yr'!AA26+'All Other E&amp;G-2Yr'!AA26)/'Total E&amp;G-2Yr'!AA26)*100,"*")</f>
        <v>2.2076741872864893</v>
      </c>
      <c r="V31" s="38"/>
      <c r="W31" s="27">
        <f t="shared" si="5"/>
        <v>99.999999999999986</v>
      </c>
      <c r="X31" s="27">
        <f t="shared" si="6"/>
        <v>100</v>
      </c>
      <c r="Y31" s="3"/>
      <c r="Z31" s="188">
        <f t="shared" si="7"/>
        <v>59.137641118438275</v>
      </c>
      <c r="AA31" s="189">
        <f t="shared" si="13"/>
        <v>50.955555680297792</v>
      </c>
      <c r="AB31" s="188">
        <f t="shared" si="8"/>
        <v>17.2807807022029</v>
      </c>
      <c r="AC31" s="189">
        <f t="shared" si="9"/>
        <v>24.355511293361062</v>
      </c>
      <c r="AD31" s="188">
        <f t="shared" si="10"/>
        <v>100</v>
      </c>
      <c r="AE31" s="195">
        <f t="shared" si="11"/>
        <v>100</v>
      </c>
    </row>
    <row r="32" spans="1:31" s="24" customFormat="1">
      <c r="A32" s="118" t="s">
        <v>111</v>
      </c>
      <c r="B32" s="118"/>
      <c r="C32" s="129">
        <f>('Tuition-2Yr'!AF27/'Total E&amp;G-2Yr'!AF27)*100</f>
        <v>15.009403849725182</v>
      </c>
      <c r="D32" s="146">
        <f>('State Appropriations-2Yr'!AF27)/('Total E&amp;G-2Yr'!AF27)*100</f>
        <v>28.314382368815455</v>
      </c>
      <c r="E32" s="129">
        <f>IF((('Local Appropriations-2Yr'!AF27/'Total E&amp;G-2Yr'!AF27)*100)=0,(('Local Appropriations-2Yr'!AF27/'Total E&amp;G-2Yr'!AF27)*100),IF((('Local Appropriations-2Yr'!AF27/'Total E&amp;G-2Yr'!AF27)*100)&gt;=0.05,('Local Appropriations-2Yr'!AF27/'Total E&amp;G-2Yr'!AF27)*100,"*"))</f>
        <v>23.241887772464811</v>
      </c>
      <c r="F32" s="146">
        <f>('Fed Contracts Grnts-2Yr'!AF27)/('Total E&amp;G-2Yr'!AF27)*100</f>
        <v>20.458837746872856</v>
      </c>
      <c r="G32" s="129">
        <f>('Other Contracts Grnts-2Yr'!AF27/'Total E&amp;G-2Yr'!AF27)*100</f>
        <v>8.5009450061670968</v>
      </c>
      <c r="H32" s="146">
        <f>('All Other E&amp;G-2Yr'!AF27+'Investment Income-2Yr'!AF27)/('Total E&amp;G-2Yr'!AF27)*100</f>
        <v>4.4745432559546012</v>
      </c>
      <c r="I32" s="146">
        <f t="shared" si="1"/>
        <v>4.9731808802746471</v>
      </c>
      <c r="J32" s="146">
        <f t="shared" si="2"/>
        <v>-7.9629589846910314</v>
      </c>
      <c r="K32" s="129">
        <f t="shared" si="12"/>
        <v>7.2509673779098449E-2</v>
      </c>
      <c r="L32" s="146">
        <f t="shared" si="3"/>
        <v>5.9959758251924686</v>
      </c>
      <c r="M32" s="129">
        <f t="shared" si="4"/>
        <v>-1.7660082902618086</v>
      </c>
      <c r="N32" s="146">
        <f t="shared" si="14"/>
        <v>-1.3126991042933751</v>
      </c>
      <c r="O32" s="37"/>
      <c r="P32" s="38">
        <f>('Tuition-2Yr'!AA27/'Total E&amp;G-2Yr'!AA27)*100</f>
        <v>10.036222969450534</v>
      </c>
      <c r="Q32" s="38">
        <f>('State Appropriations-2Yr'!AA27/'Total E&amp;G-2Yr'!AA27)*100</f>
        <v>36.277341353506486</v>
      </c>
      <c r="R32" s="38">
        <f>IF((('Local Appropriations-2Yr'!AA27/'Total E&amp;G-2Yr'!AA27)*100)&gt;=0.05,('Local Appropriations-2Yr'!AA27/'Total E&amp;G-2Yr'!AA27)*100,"*")</f>
        <v>23.169378098685712</v>
      </c>
      <c r="S32" s="38">
        <f>('Fed Contracts Grnts-2Yr'!AA27/'Total E&amp;G-2Yr'!AA27)*100</f>
        <v>14.462861921680387</v>
      </c>
      <c r="T32" s="38">
        <f>('Other Contracts Grnts-2Yr'!AA27/'Total E&amp;G-2Yr'!AA27)*100</f>
        <v>10.266953296428905</v>
      </c>
      <c r="U32" s="38">
        <f>IF(((('Investment Income-2Yr'!AA27+'All Other E&amp;G-2Yr'!AA27)/'Total E&amp;G-2Yr'!AA27)*100)&gt;=0.05,(('Investment Income-2Yr'!AA27+'All Other E&amp;G-2Yr'!AA27)/'Total E&amp;G-2Yr'!AA27)*100,"*")</f>
        <v>5.7872423602479763</v>
      </c>
      <c r="V32" s="38"/>
      <c r="W32" s="27">
        <f t="shared" si="5"/>
        <v>100</v>
      </c>
      <c r="X32" s="27">
        <f t="shared" si="6"/>
        <v>100</v>
      </c>
      <c r="Y32" s="3"/>
      <c r="Z32" s="188">
        <f t="shared" si="7"/>
        <v>59.446719452192198</v>
      </c>
      <c r="AA32" s="189">
        <f t="shared" si="13"/>
        <v>51.556270141280265</v>
      </c>
      <c r="AB32" s="188">
        <f t="shared" si="8"/>
        <v>24.729815218109295</v>
      </c>
      <c r="AC32" s="189">
        <f t="shared" si="9"/>
        <v>28.959782753039953</v>
      </c>
      <c r="AD32" s="188">
        <f t="shared" si="10"/>
        <v>100</v>
      </c>
      <c r="AE32" s="195">
        <f t="shared" si="11"/>
        <v>100</v>
      </c>
    </row>
    <row r="33" spans="1:31" s="24" customFormat="1">
      <c r="A33" s="118" t="s">
        <v>112</v>
      </c>
      <c r="B33" s="118"/>
      <c r="C33" s="129">
        <f>('Tuition-2Yr'!AF28/'Total E&amp;G-2Yr'!AF28)*100</f>
        <v>49.146492091822815</v>
      </c>
      <c r="D33" s="146">
        <f>('State Appropriations-2Yr'!AF28)/('Total E&amp;G-2Yr'!AF28)*100</f>
        <v>2.0306223389887896</v>
      </c>
      <c r="E33" s="129">
        <f>IF((('Local Appropriations-2Yr'!AF28/'Total E&amp;G-2Yr'!AF28)*100)=0,(('Local Appropriations-2Yr'!AF28/'Total E&amp;G-2Yr'!AF28)*100),IF((('Local Appropriations-2Yr'!AF28/'Total E&amp;G-2Yr'!AF28)*100)&gt;=0.05,('Local Appropriations-2Yr'!AF28/'Total E&amp;G-2Yr'!AF28)*100,"*"))</f>
        <v>12.472107279283273</v>
      </c>
      <c r="F33" s="146">
        <f>('Fed Contracts Grnts-2Yr'!AF28)/('Total E&amp;G-2Yr'!AF28)*100</f>
        <v>22.177856069818443</v>
      </c>
      <c r="G33" s="129">
        <f>('Other Contracts Grnts-2Yr'!AF28/'Total E&amp;G-2Yr'!AF28)*100</f>
        <v>9.8940964641000182</v>
      </c>
      <c r="H33" s="146">
        <f>('All Other E&amp;G-2Yr'!AF28+'Investment Income-2Yr'!AF28)/('Total E&amp;G-2Yr'!AF28)*100</f>
        <v>4.2788257559866647</v>
      </c>
      <c r="I33" s="146">
        <f t="shared" si="1"/>
        <v>0.98459059764431345</v>
      </c>
      <c r="J33" s="146">
        <f t="shared" si="2"/>
        <v>-0.24500391534406463</v>
      </c>
      <c r="K33" s="129">
        <f t="shared" si="12"/>
        <v>-9.6509389830076842E-2</v>
      </c>
      <c r="L33" s="146">
        <f t="shared" si="3"/>
        <v>5.0099439408893218</v>
      </c>
      <c r="M33" s="129" t="str">
        <f t="shared" si="4"/>
        <v>*</v>
      </c>
      <c r="N33" s="146">
        <f t="shared" si="14"/>
        <v>-5.6319662984419345</v>
      </c>
      <c r="O33" s="37"/>
      <c r="P33" s="38">
        <f>('Tuition-2Yr'!AA28/'Total E&amp;G-2Yr'!AA28)*100</f>
        <v>48.161901494178501</v>
      </c>
      <c r="Q33" s="38">
        <f>('State Appropriations-2Yr'!AA28/'Total E&amp;G-2Yr'!AA28)*100</f>
        <v>2.2756262543328543</v>
      </c>
      <c r="R33" s="38">
        <f>IF((('Local Appropriations-2Yr'!AA28/'Total E&amp;G-2Yr'!AA28)*100)&gt;=0.05,('Local Appropriations-2Yr'!AA28/'Total E&amp;G-2Yr'!AA28)*100,"*")</f>
        <v>12.56861666911335</v>
      </c>
      <c r="S33" s="38">
        <f>('Fed Contracts Grnts-2Yr'!AA28/'Total E&amp;G-2Yr'!AA28)*100</f>
        <v>17.167912128929121</v>
      </c>
      <c r="T33" s="38">
        <f>('Other Contracts Grnts-2Yr'!AA28/'Total E&amp;G-2Yr'!AA28)*100</f>
        <v>9.9151513990175566</v>
      </c>
      <c r="U33" s="38">
        <f>IF(((('Investment Income-2Yr'!AA28+'All Other E&amp;G-2Yr'!AA28)/'Total E&amp;G-2Yr'!AA28)*100)&gt;=0.05,(('Investment Income-2Yr'!AA28+'All Other E&amp;G-2Yr'!AA28)/'Total E&amp;G-2Yr'!AA28)*100,"*")</f>
        <v>9.9107920544285992</v>
      </c>
      <c r="V33" s="38"/>
      <c r="W33" s="27">
        <f t="shared" si="5"/>
        <v>99.999999999999986</v>
      </c>
      <c r="X33" s="27">
        <f t="shared" si="6"/>
        <v>100</v>
      </c>
      <c r="Y33" s="3"/>
      <c r="Z33" s="188">
        <f t="shared" si="7"/>
        <v>14.844242923446204</v>
      </c>
      <c r="AA33" s="189">
        <f t="shared" si="13"/>
        <v>14.502729618272063</v>
      </c>
      <c r="AB33" s="188">
        <f t="shared" si="8"/>
        <v>27.083063527946678</v>
      </c>
      <c r="AC33" s="189">
        <f t="shared" si="9"/>
        <v>32.071952533918463</v>
      </c>
      <c r="AD33" s="188">
        <f t="shared" si="10"/>
        <v>99.999999999999972</v>
      </c>
      <c r="AE33" s="195">
        <f t="shared" si="11"/>
        <v>100</v>
      </c>
    </row>
    <row r="34" spans="1:31" s="24" customFormat="1">
      <c r="A34" s="119" t="s">
        <v>115</v>
      </c>
      <c r="B34" s="119"/>
      <c r="C34" s="128">
        <f>('Tuition-2Yr'!AF29/'Total E&amp;G-2Yr'!AF29)*100</f>
        <v>25.191858957532109</v>
      </c>
      <c r="D34" s="145">
        <f>('State Appropriations-2Yr'!AF29)/('Total E&amp;G-2Yr'!AF29)*100</f>
        <v>35.681398144693546</v>
      </c>
      <c r="E34" s="128">
        <f>IF((('Local Appropriations-2Yr'!AF29/'Total E&amp;G-2Yr'!AF29)*100)=0,(('Local Appropriations-2Yr'!AF29/'Total E&amp;G-2Yr'!AF29)*100),IF((('Local Appropriations-2Yr'!AF29/'Total E&amp;G-2Yr'!AF29)*100)&gt;=0.05,('Local Appropriations-2Yr'!AF29/'Total E&amp;G-2Yr'!AF29)*100,"*"))</f>
        <v>0</v>
      </c>
      <c r="F34" s="145">
        <f>('Fed Contracts Grnts-2Yr'!AF29)/('Total E&amp;G-2Yr'!AF29)*100</f>
        <v>23.6605582045588</v>
      </c>
      <c r="G34" s="128">
        <f>('Other Contracts Grnts-2Yr'!AF29/'Total E&amp;G-2Yr'!AF29)*100</f>
        <v>13.365577559112682</v>
      </c>
      <c r="H34" s="145">
        <f>('All Other E&amp;G-2Yr'!AF29+'Investment Income-2Yr'!AF29)/('Total E&amp;G-2Yr'!AF29)*100</f>
        <v>2.1006071341028383</v>
      </c>
      <c r="I34" s="147">
        <f t="shared" si="1"/>
        <v>7.9841515584144531</v>
      </c>
      <c r="J34" s="147">
        <f t="shared" si="2"/>
        <v>-8.9786766334854278</v>
      </c>
      <c r="K34" s="130">
        <f t="shared" si="12"/>
        <v>0</v>
      </c>
      <c r="L34" s="147">
        <f t="shared" si="3"/>
        <v>9.7397996311852761</v>
      </c>
      <c r="M34" s="130">
        <f t="shared" si="4"/>
        <v>-2.1746506239546033</v>
      </c>
      <c r="N34" s="145">
        <f t="shared" si="14"/>
        <v>-6.5706239321597204</v>
      </c>
      <c r="O34" s="37"/>
      <c r="P34" s="38">
        <f>('Tuition-2Yr'!AA29/'Total E&amp;G-2Yr'!AA29)*100</f>
        <v>17.207707399117655</v>
      </c>
      <c r="Q34" s="38">
        <f>('State Appropriations-2Yr'!AA29/'Total E&amp;G-2Yr'!AA29)*100</f>
        <v>44.660074778178974</v>
      </c>
      <c r="R34" s="38" t="str">
        <f>IF((('Local Appropriations-2Yr'!AA29/'Total E&amp;G-2Yr'!AA29)*100)&gt;=0.05,('Local Appropriations-2Yr'!AA29/'Total E&amp;G-2Yr'!AA29)*100,"*")</f>
        <v>*</v>
      </c>
      <c r="S34" s="38">
        <f>('Fed Contracts Grnts-2Yr'!AA29/'Total E&amp;G-2Yr'!AA29)*100</f>
        <v>13.920758573373524</v>
      </c>
      <c r="T34" s="38">
        <f>('Other Contracts Grnts-2Yr'!AA29/'Total E&amp;G-2Yr'!AA29)*100</f>
        <v>15.540228183067285</v>
      </c>
      <c r="U34" s="38">
        <f>IF(((('Investment Income-2Yr'!AA29+'All Other E&amp;G-2Yr'!AA29)/'Total E&amp;G-2Yr'!AA29)*100)&gt;=0.05,(('Investment Income-2Yr'!AA29+'All Other E&amp;G-2Yr'!AA29)/'Total E&amp;G-2Yr'!AA29)*100,"*")</f>
        <v>8.6712310662625587</v>
      </c>
      <c r="V34" s="38"/>
      <c r="W34" s="27">
        <f t="shared" si="5"/>
        <v>100</v>
      </c>
      <c r="X34" s="27">
        <f t="shared" si="6"/>
        <v>99.999999999999972</v>
      </c>
      <c r="Y34" s="3"/>
      <c r="Z34" s="188">
        <f t="shared" si="7"/>
        <v>44.660074778178974</v>
      </c>
      <c r="AA34" s="189">
        <f t="shared" si="13"/>
        <v>35.681398144693546</v>
      </c>
      <c r="AB34" s="188">
        <f t="shared" si="8"/>
        <v>29.460986756440811</v>
      </c>
      <c r="AC34" s="189">
        <f t="shared" si="9"/>
        <v>37.026135763671483</v>
      </c>
      <c r="AD34" s="188">
        <f t="shared" si="10"/>
        <v>100</v>
      </c>
      <c r="AE34" s="195">
        <f t="shared" si="11"/>
        <v>99.999999999999986</v>
      </c>
    </row>
    <row r="35" spans="1:31" s="24" customFormat="1">
      <c r="A35" s="119" t="s">
        <v>116</v>
      </c>
      <c r="B35" s="119"/>
      <c r="C35" s="128">
        <f>('Tuition-2Yr'!AF30/'Total E&amp;G-2Yr'!AF30)*100</f>
        <v>28.817720454451688</v>
      </c>
      <c r="D35" s="145">
        <f>('State Appropriations-2Yr'!AF30)/('Total E&amp;G-2Yr'!AF30)*100</f>
        <v>20.725190991231354</v>
      </c>
      <c r="E35" s="128">
        <f>IF((('Local Appropriations-2Yr'!AF30/'Total E&amp;G-2Yr'!AF30)*100)=0,(('Local Appropriations-2Yr'!AF30/'Total E&amp;G-2Yr'!AF30)*100),IF((('Local Appropriations-2Yr'!AF30/'Total E&amp;G-2Yr'!AF30)*100)&gt;=0.05,('Local Appropriations-2Yr'!AF30/'Total E&amp;G-2Yr'!AF30)*100,"*"))</f>
        <v>11.948763102846668</v>
      </c>
      <c r="F35" s="145">
        <f>('Fed Contracts Grnts-2Yr'!AF30)/('Total E&amp;G-2Yr'!AF30)*100</f>
        <v>22.167650741188684</v>
      </c>
      <c r="G35" s="128">
        <f>('Other Contracts Grnts-2Yr'!AF30/'Total E&amp;G-2Yr'!AF30)*100</f>
        <v>7.8035353169202306</v>
      </c>
      <c r="H35" s="145">
        <f>('All Other E&amp;G-2Yr'!AF30+'Investment Income-2Yr'!AF30)/('Total E&amp;G-2Yr'!AF30)*100</f>
        <v>8.5371393933613664</v>
      </c>
      <c r="I35" s="147">
        <f t="shared" si="1"/>
        <v>3.3117430477256597</v>
      </c>
      <c r="J35" s="147">
        <f t="shared" si="2"/>
        <v>-7.7508145801684947</v>
      </c>
      <c r="K35" s="130">
        <f t="shared" si="12"/>
        <v>3.9823341813914857</v>
      </c>
      <c r="L35" s="147">
        <f t="shared" si="3"/>
        <v>-0.57074731186085259</v>
      </c>
      <c r="M35" s="130">
        <f t="shared" si="4"/>
        <v>0.15052982970437068</v>
      </c>
      <c r="N35" s="145">
        <f t="shared" si="14"/>
        <v>0.87695483320783119</v>
      </c>
      <c r="O35" s="37"/>
      <c r="P35" s="38">
        <f>('Tuition-2Yr'!AA30/'Total E&amp;G-2Yr'!AA30)*100</f>
        <v>25.505977406726029</v>
      </c>
      <c r="Q35" s="38">
        <f>('State Appropriations-2Yr'!AA30/'Total E&amp;G-2Yr'!AA30)*100</f>
        <v>28.476005571399849</v>
      </c>
      <c r="R35" s="38">
        <f>IF((('Local Appropriations-2Yr'!AA30/'Total E&amp;G-2Yr'!AA30)*100)&gt;=0.05,('Local Appropriations-2Yr'!AA30/'Total E&amp;G-2Yr'!AA30)*100,"*")</f>
        <v>7.966428921455182</v>
      </c>
      <c r="S35" s="38">
        <f>('Fed Contracts Grnts-2Yr'!AA30/'Total E&amp;G-2Yr'!AA30)*100</f>
        <v>22.738398053049536</v>
      </c>
      <c r="T35" s="38">
        <f>('Other Contracts Grnts-2Yr'!AA30/'Total E&amp;G-2Yr'!AA30)*100</f>
        <v>7.6530054872158599</v>
      </c>
      <c r="U35" s="38">
        <f>IF(((('Investment Income-2Yr'!AA30+'All Other E&amp;G-2Yr'!AA30)/'Total E&amp;G-2Yr'!AA30)*100)&gt;=0.05,(('Investment Income-2Yr'!AA30+'All Other E&amp;G-2Yr'!AA30)/'Total E&amp;G-2Yr'!AA30)*100,"*")</f>
        <v>7.6601845601535352</v>
      </c>
      <c r="V35" s="38"/>
      <c r="W35" s="27">
        <f t="shared" si="5"/>
        <v>100</v>
      </c>
      <c r="X35" s="27">
        <f t="shared" si="6"/>
        <v>100</v>
      </c>
      <c r="Y35" s="3"/>
      <c r="Z35" s="188">
        <f t="shared" si="7"/>
        <v>36.442434492855028</v>
      </c>
      <c r="AA35" s="189">
        <f t="shared" si="13"/>
        <v>32.67395409407802</v>
      </c>
      <c r="AB35" s="188">
        <f t="shared" si="8"/>
        <v>30.391403540265397</v>
      </c>
      <c r="AC35" s="189">
        <f t="shared" si="9"/>
        <v>29.971186058108913</v>
      </c>
      <c r="AD35" s="188">
        <f t="shared" si="10"/>
        <v>100</v>
      </c>
      <c r="AE35" s="195">
        <f t="shared" si="11"/>
        <v>99.999999999999986</v>
      </c>
    </row>
    <row r="36" spans="1:31" s="24" customFormat="1">
      <c r="A36" s="119" t="s">
        <v>124</v>
      </c>
      <c r="B36" s="119"/>
      <c r="C36" s="128">
        <f>('Tuition-2Yr'!AF31/'Total E&amp;G-2Yr'!AF31)*100</f>
        <v>20.93040665385935</v>
      </c>
      <c r="D36" s="145">
        <f>('State Appropriations-2Yr'!AF31)/('Total E&amp;G-2Yr'!AF31)*100</f>
        <v>21.665803464740026</v>
      </c>
      <c r="E36" s="128">
        <f>IF((('Local Appropriations-2Yr'!AF31/'Total E&amp;G-2Yr'!AF31)*100)=0,(('Local Appropriations-2Yr'!AF31/'Total E&amp;G-2Yr'!AF31)*100),IF((('Local Appropriations-2Yr'!AF31/'Total E&amp;G-2Yr'!AF31)*100)&gt;=0.05,('Local Appropriations-2Yr'!AF31/'Total E&amp;G-2Yr'!AF31)*100,"*"))</f>
        <v>7.6899298271202552</v>
      </c>
      <c r="F36" s="145">
        <f>('Fed Contracts Grnts-2Yr'!AF31)/('Total E&amp;G-2Yr'!AF31)*100</f>
        <v>35.827014876742794</v>
      </c>
      <c r="G36" s="128">
        <f>('Other Contracts Grnts-2Yr'!AF31/'Total E&amp;G-2Yr'!AF31)*100</f>
        <v>4.395602839037803</v>
      </c>
      <c r="H36" s="145">
        <f>('All Other E&amp;G-2Yr'!AF31+'Investment Income-2Yr'!AF31)/('Total E&amp;G-2Yr'!AF31)*100</f>
        <v>9.4912423384997702</v>
      </c>
      <c r="I36" s="147">
        <f t="shared" si="1"/>
        <v>0.1358692497498204</v>
      </c>
      <c r="J36" s="147">
        <f t="shared" si="2"/>
        <v>2.4741016332950103</v>
      </c>
      <c r="K36" s="130">
        <f t="shared" si="12"/>
        <v>-0.10057633383442877</v>
      </c>
      <c r="L36" s="147">
        <f t="shared" si="3"/>
        <v>-1.9748458584901769</v>
      </c>
      <c r="M36" s="130">
        <f t="shared" si="4"/>
        <v>-3.0250312717592847</v>
      </c>
      <c r="N36" s="145">
        <f t="shared" si="14"/>
        <v>2.4904825810390765</v>
      </c>
      <c r="O36" s="37"/>
      <c r="P36" s="38">
        <f>('Tuition-2Yr'!AA31/'Total E&amp;G-2Yr'!AA31)*100</f>
        <v>20.79453740410953</v>
      </c>
      <c r="Q36" s="38">
        <f>('State Appropriations-2Yr'!AA31/'Total E&amp;G-2Yr'!AA31)*100</f>
        <v>19.191701831445016</v>
      </c>
      <c r="R36" s="38">
        <f>IF((('Local Appropriations-2Yr'!AA31/'Total E&amp;G-2Yr'!AA31)*100)&gt;=0.05,('Local Appropriations-2Yr'!AA31/'Total E&amp;G-2Yr'!AA31)*100,"*")</f>
        <v>7.790506160954684</v>
      </c>
      <c r="S36" s="38">
        <f>('Fed Contracts Grnts-2Yr'!AA31/'Total E&amp;G-2Yr'!AA31)*100</f>
        <v>37.801860735232971</v>
      </c>
      <c r="T36" s="38">
        <f>('Other Contracts Grnts-2Yr'!AA31/'Total E&amp;G-2Yr'!AA31)*100</f>
        <v>7.4206341107970877</v>
      </c>
      <c r="U36" s="38">
        <f>IF(((('Investment Income-2Yr'!AA31+'All Other E&amp;G-2Yr'!AA31)/'Total E&amp;G-2Yr'!AA31)*100)&gt;=0.05,(('Investment Income-2Yr'!AA31+'All Other E&amp;G-2Yr'!AA31)/'Total E&amp;G-2Yr'!AA31)*100,"*")</f>
        <v>7.0007597574606937</v>
      </c>
      <c r="V36" s="38"/>
      <c r="W36" s="27">
        <f t="shared" si="5"/>
        <v>99.999999999999986</v>
      </c>
      <c r="X36" s="27">
        <f t="shared" si="6"/>
        <v>100</v>
      </c>
      <c r="Y36" s="3"/>
      <c r="Z36" s="188">
        <f t="shared" si="7"/>
        <v>26.982207992399701</v>
      </c>
      <c r="AA36" s="189">
        <f t="shared" si="13"/>
        <v>29.355733291860282</v>
      </c>
      <c r="AB36" s="188">
        <f t="shared" si="8"/>
        <v>45.22249484603006</v>
      </c>
      <c r="AC36" s="189">
        <f t="shared" si="9"/>
        <v>40.222617715780601</v>
      </c>
      <c r="AD36" s="188">
        <f t="shared" si="10"/>
        <v>100</v>
      </c>
      <c r="AE36" s="195">
        <f t="shared" si="11"/>
        <v>100.00000000000001</v>
      </c>
    </row>
    <row r="37" spans="1:31" s="24" customFormat="1">
      <c r="A37" s="119" t="s">
        <v>126</v>
      </c>
      <c r="B37" s="119"/>
      <c r="C37" s="128">
        <f>('Tuition-2Yr'!AF32/'Total E&amp;G-2Yr'!AF32)*100</f>
        <v>29.21658308454785</v>
      </c>
      <c r="D37" s="145">
        <f>('State Appropriations-2Yr'!AF32)/('Total E&amp;G-2Yr'!AF32)*100</f>
        <v>41.505654661235056</v>
      </c>
      <c r="E37" s="128">
        <f>IF((('Local Appropriations-2Yr'!AF32/'Total E&amp;G-2Yr'!AF32)*100)=0,(('Local Appropriations-2Yr'!AF32/'Total E&amp;G-2Yr'!AF32)*100),IF((('Local Appropriations-2Yr'!AF32/'Total E&amp;G-2Yr'!AF32)*100)&gt;=0.05,('Local Appropriations-2Yr'!AF32/'Total E&amp;G-2Yr'!AF32)*100,"*"))</f>
        <v>0</v>
      </c>
      <c r="F37" s="145">
        <f>('Fed Contracts Grnts-2Yr'!AF32)/('Total E&amp;G-2Yr'!AF32)*100</f>
        <v>23.091312852037589</v>
      </c>
      <c r="G37" s="128">
        <f>('Other Contracts Grnts-2Yr'!AF32/'Total E&amp;G-2Yr'!AF32)*100</f>
        <v>2.2448049178640237</v>
      </c>
      <c r="H37" s="145">
        <f>('All Other E&amp;G-2Yr'!AF32+'Investment Income-2Yr'!AF32)/('Total E&amp;G-2Yr'!AF32)*100</f>
        <v>3.9416444843154848</v>
      </c>
      <c r="I37" s="147">
        <f t="shared" si="1"/>
        <v>1.8026919462765925</v>
      </c>
      <c r="J37" s="147">
        <f t="shared" si="2"/>
        <v>-16.942924388677341</v>
      </c>
      <c r="K37" s="130">
        <f t="shared" si="12"/>
        <v>0</v>
      </c>
      <c r="L37" s="147">
        <f t="shared" si="3"/>
        <v>12.856801985380846</v>
      </c>
      <c r="M37" s="130">
        <f t="shared" si="4"/>
        <v>-1.4375881864552889</v>
      </c>
      <c r="N37" s="145">
        <f t="shared" si="14"/>
        <v>3.7210186434751944</v>
      </c>
      <c r="O37" s="37"/>
      <c r="P37" s="38">
        <f>('Tuition-2Yr'!AA32/'Total E&amp;G-2Yr'!AA32)*100</f>
        <v>27.413891138271257</v>
      </c>
      <c r="Q37" s="38">
        <f>('State Appropriations-2Yr'!AA32/'Total E&amp;G-2Yr'!AA32)*100</f>
        <v>58.448579049912396</v>
      </c>
      <c r="R37" s="38" t="str">
        <f>IF((('Local Appropriations-2Yr'!AA32/'Total E&amp;G-2Yr'!AA32)*100)&gt;=0.05,('Local Appropriations-2Yr'!AA32/'Total E&amp;G-2Yr'!AA32)*100,"*")</f>
        <v>*</v>
      </c>
      <c r="S37" s="38">
        <f>('Fed Contracts Grnts-2Yr'!AA32/'Total E&amp;G-2Yr'!AA32)*100</f>
        <v>10.234510866656743</v>
      </c>
      <c r="T37" s="38">
        <f>('Other Contracts Grnts-2Yr'!AA32/'Total E&amp;G-2Yr'!AA32)*100</f>
        <v>3.6823931043193125</v>
      </c>
      <c r="U37" s="38">
        <f>IF(((('Investment Income-2Yr'!AA32+'All Other E&amp;G-2Yr'!AA32)/'Total E&amp;G-2Yr'!AA32)*100)&gt;=0.05,(('Investment Income-2Yr'!AA32+'All Other E&amp;G-2Yr'!AA32)/'Total E&amp;G-2Yr'!AA32)*100,"*")</f>
        <v>0.22062584084029022</v>
      </c>
      <c r="V37" s="38"/>
      <c r="W37" s="27">
        <f t="shared" si="5"/>
        <v>100</v>
      </c>
      <c r="X37" s="27">
        <f t="shared" si="6"/>
        <v>100.00000000000001</v>
      </c>
      <c r="Y37" s="3"/>
      <c r="Z37" s="188">
        <f t="shared" si="7"/>
        <v>58.448579049912396</v>
      </c>
      <c r="AA37" s="189">
        <f t="shared" si="13"/>
        <v>41.505654661235056</v>
      </c>
      <c r="AB37" s="188">
        <f t="shared" si="8"/>
        <v>13.916903970976055</v>
      </c>
      <c r="AC37" s="189">
        <f t="shared" si="9"/>
        <v>25.336117769901612</v>
      </c>
      <c r="AD37" s="188">
        <f t="shared" si="10"/>
        <v>99.999999999999986</v>
      </c>
      <c r="AE37" s="195">
        <f t="shared" si="11"/>
        <v>100</v>
      </c>
    </row>
    <row r="38" spans="1:31" s="24" customFormat="1">
      <c r="A38" s="118" t="s">
        <v>129</v>
      </c>
      <c r="B38" s="118"/>
      <c r="C38" s="129">
        <f>('Tuition-2Yr'!AF33/'Total E&amp;G-2Yr'!AF33)*100</f>
        <v>12.695481525923253</v>
      </c>
      <c r="D38" s="146">
        <f>('State Appropriations-2Yr'!AF33)/('Total E&amp;G-2Yr'!AF33)*100</f>
        <v>25.011744273261161</v>
      </c>
      <c r="E38" s="129">
        <f>IF((('Local Appropriations-2Yr'!AF33/'Total E&amp;G-2Yr'!AF33)*100)=0,(('Local Appropriations-2Yr'!AF33/'Total E&amp;G-2Yr'!AF33)*100),IF((('Local Appropriations-2Yr'!AF33/'Total E&amp;G-2Yr'!AF33)*100)&gt;=0.05,('Local Appropriations-2Yr'!AF33/'Total E&amp;G-2Yr'!AF33)*100,"*"))</f>
        <v>14.75059598410477</v>
      </c>
      <c r="F38" s="146">
        <f>('Fed Contracts Grnts-2Yr'!AF33)/('Total E&amp;G-2Yr'!AF33)*100</f>
        <v>24.758031368520413</v>
      </c>
      <c r="G38" s="129">
        <f>('Other Contracts Grnts-2Yr'!AF33/'Total E&amp;G-2Yr'!AF33)*100</f>
        <v>8.0084744980100417</v>
      </c>
      <c r="H38" s="146">
        <f>('All Other E&amp;G-2Yr'!AF33+'Investment Income-2Yr'!AF33)/('Total E&amp;G-2Yr'!AF33)*100</f>
        <v>14.775672350180361</v>
      </c>
      <c r="I38" s="146">
        <f t="shared" si="1"/>
        <v>0.74099075291949212</v>
      </c>
      <c r="J38" s="146">
        <f t="shared" si="2"/>
        <v>-11.13753544820656</v>
      </c>
      <c r="K38" s="129">
        <f t="shared" si="12"/>
        <v>-4.3646919810786073</v>
      </c>
      <c r="L38" s="146">
        <f t="shared" si="3"/>
        <v>5.7881296936938256</v>
      </c>
      <c r="M38" s="129">
        <f t="shared" si="4"/>
        <v>0.13804849381754281</v>
      </c>
      <c r="N38" s="146">
        <f t="shared" si="14"/>
        <v>8.83505848885431</v>
      </c>
      <c r="O38" s="37"/>
      <c r="P38" s="38">
        <f>('Tuition-2Yr'!AA33/'Total E&amp;G-2Yr'!AA33)*100</f>
        <v>11.95449077300376</v>
      </c>
      <c r="Q38" s="38">
        <f>('State Appropriations-2Yr'!AA33/'Total E&amp;G-2Yr'!AA33)*100</f>
        <v>36.149279721467721</v>
      </c>
      <c r="R38" s="38">
        <f>IF((('Local Appropriations-2Yr'!AA33/'Total E&amp;G-2Yr'!AA33)*100)&gt;=0.05,('Local Appropriations-2Yr'!AA33/'Total E&amp;G-2Yr'!AA33)*100,"*")</f>
        <v>19.115287965183377</v>
      </c>
      <c r="S38" s="38">
        <f>('Fed Contracts Grnts-2Yr'!AA33/'Total E&amp;G-2Yr'!AA33)*100</f>
        <v>18.969901674826588</v>
      </c>
      <c r="T38" s="38">
        <f>('Other Contracts Grnts-2Yr'!AA33/'Total E&amp;G-2Yr'!AA33)*100</f>
        <v>7.8704260041924989</v>
      </c>
      <c r="U38" s="38">
        <f>IF(((('Investment Income-2Yr'!AA33+'All Other E&amp;G-2Yr'!AA33)/'Total E&amp;G-2Yr'!AA33)*100)&gt;=0.05,(('Investment Income-2Yr'!AA33+'All Other E&amp;G-2Yr'!AA33)/'Total E&amp;G-2Yr'!AA33)*100,"*")</f>
        <v>5.9406138613260513</v>
      </c>
      <c r="V38" s="38"/>
      <c r="W38" s="27">
        <f t="shared" si="5"/>
        <v>100</v>
      </c>
      <c r="X38" s="27">
        <f t="shared" si="6"/>
        <v>100</v>
      </c>
      <c r="Y38" s="3"/>
      <c r="Z38" s="188">
        <f t="shared" si="7"/>
        <v>55.264567686651098</v>
      </c>
      <c r="AA38" s="189">
        <f t="shared" si="13"/>
        <v>39.762340257365935</v>
      </c>
      <c r="AB38" s="188">
        <f t="shared" si="8"/>
        <v>26.840327679019087</v>
      </c>
      <c r="AC38" s="189">
        <f t="shared" si="9"/>
        <v>32.766505866530451</v>
      </c>
      <c r="AD38" s="188">
        <f t="shared" si="10"/>
        <v>100</v>
      </c>
      <c r="AE38" s="195">
        <f t="shared" si="11"/>
        <v>100</v>
      </c>
    </row>
    <row r="39" spans="1:31" s="24" customFormat="1">
      <c r="A39" s="118" t="s">
        <v>133</v>
      </c>
      <c r="B39" s="118"/>
      <c r="C39" s="129">
        <f>('Tuition-2Yr'!AF34/'Total E&amp;G-2Yr'!AF34)*100</f>
        <v>26.369656559804959</v>
      </c>
      <c r="D39" s="146">
        <f>('State Appropriations-2Yr'!AF34)/('Total E&amp;G-2Yr'!AF34)*100</f>
        <v>20.839374975669177</v>
      </c>
      <c r="E39" s="129">
        <f>IF((('Local Appropriations-2Yr'!AF34/'Total E&amp;G-2Yr'!AF34)*100)=0,(('Local Appropriations-2Yr'!AF34/'Total E&amp;G-2Yr'!AF34)*100),IF((('Local Appropriations-2Yr'!AF34/'Total E&amp;G-2Yr'!AF34)*100)&gt;=0.05,('Local Appropriations-2Yr'!AF34/'Total E&amp;G-2Yr'!AF34)*100,"*"))</f>
        <v>16.472859162445193</v>
      </c>
      <c r="F39" s="146">
        <f>('Fed Contracts Grnts-2Yr'!AF34)/('Total E&amp;G-2Yr'!AF34)*100</f>
        <v>20.976455228524891</v>
      </c>
      <c r="G39" s="129">
        <f>('Other Contracts Grnts-2Yr'!AF34/'Total E&amp;G-2Yr'!AF34)*100</f>
        <v>5.0204203272726415</v>
      </c>
      <c r="H39" s="146">
        <f>('All Other E&amp;G-2Yr'!AF34+'Investment Income-2Yr'!AF34)/('Total E&amp;G-2Yr'!AF34)*100</f>
        <v>10.321233746283157</v>
      </c>
      <c r="I39" s="146">
        <f t="shared" si="1"/>
        <v>-6.6635984878946175E-2</v>
      </c>
      <c r="J39" s="146">
        <f t="shared" si="2"/>
        <v>0.59375093530029233</v>
      </c>
      <c r="K39" s="129">
        <f t="shared" si="12"/>
        <v>-2.0229341386789805</v>
      </c>
      <c r="L39" s="146">
        <f t="shared" si="3"/>
        <v>1.5212218386676994</v>
      </c>
      <c r="M39" s="129">
        <f t="shared" si="4"/>
        <v>-5.2893922261833319</v>
      </c>
      <c r="N39" s="146">
        <f t="shared" si="14"/>
        <v>5.2639895757732713</v>
      </c>
      <c r="O39" s="37"/>
      <c r="P39" s="38">
        <f>('Tuition-2Yr'!AA34/'Total E&amp;G-2Yr'!AA34)*100</f>
        <v>26.436292544683905</v>
      </c>
      <c r="Q39" s="38">
        <f>('State Appropriations-2Yr'!AA34/'Total E&amp;G-2Yr'!AA34)*100</f>
        <v>20.245624040368885</v>
      </c>
      <c r="R39" s="38">
        <f>IF((('Local Appropriations-2Yr'!AA34/'Total E&amp;G-2Yr'!AA34)*100)&gt;=0.05,('Local Appropriations-2Yr'!AA34/'Total E&amp;G-2Yr'!AA34)*100,"*")</f>
        <v>18.495793301124174</v>
      </c>
      <c r="S39" s="38">
        <f>('Fed Contracts Grnts-2Yr'!AA34/'Total E&amp;G-2Yr'!AA34)*100</f>
        <v>19.455233389857192</v>
      </c>
      <c r="T39" s="38">
        <f>('Other Contracts Grnts-2Yr'!AA34/'Total E&amp;G-2Yr'!AA34)*100</f>
        <v>10.309812553455973</v>
      </c>
      <c r="U39" s="38">
        <f>IF(((('Investment Income-2Yr'!AA34+'All Other E&amp;G-2Yr'!AA34)/'Total E&amp;G-2Yr'!AA34)*100)&gt;=0.05,(('Investment Income-2Yr'!AA34+'All Other E&amp;G-2Yr'!AA34)/'Total E&amp;G-2Yr'!AA34)*100,"*")</f>
        <v>5.0572441705098861</v>
      </c>
      <c r="V39" s="38"/>
      <c r="W39" s="27">
        <f t="shared" si="5"/>
        <v>100.00000000000001</v>
      </c>
      <c r="X39" s="27">
        <f t="shared" si="6"/>
        <v>100.00000000000001</v>
      </c>
      <c r="Y39" s="3"/>
      <c r="Z39" s="188">
        <f t="shared" si="7"/>
        <v>38.741417341493062</v>
      </c>
      <c r="AA39" s="189">
        <f t="shared" si="13"/>
        <v>37.31223413811437</v>
      </c>
      <c r="AB39" s="188">
        <f t="shared" si="8"/>
        <v>29.765045943313165</v>
      </c>
      <c r="AC39" s="189">
        <f t="shared" si="9"/>
        <v>25.996875555797534</v>
      </c>
      <c r="AD39" s="188">
        <f t="shared" si="10"/>
        <v>100.00000000000003</v>
      </c>
      <c r="AE39" s="195">
        <f t="shared" si="11"/>
        <v>100.00000000000003</v>
      </c>
    </row>
    <row r="40" spans="1:31" s="24" customFormat="1">
      <c r="A40" s="118" t="s">
        <v>137</v>
      </c>
      <c r="B40" s="118"/>
      <c r="C40" s="129">
        <f>('Tuition-2Yr'!AF35/'Total E&amp;G-2Yr'!AF35)*100</f>
        <v>39.333849723282135</v>
      </c>
      <c r="D40" s="146">
        <f>('State Appropriations-2Yr'!AF35)/('Total E&amp;G-2Yr'!AF35)*100</f>
        <v>35.105442587146385</v>
      </c>
      <c r="E40" s="129">
        <f>IF((('Local Appropriations-2Yr'!AF35/'Total E&amp;G-2Yr'!AF35)*100)=0,(('Local Appropriations-2Yr'!AF35/'Total E&amp;G-2Yr'!AF35)*100),IF((('Local Appropriations-2Yr'!AF35/'Total E&amp;G-2Yr'!AF35)*100)&gt;=0.05,('Local Appropriations-2Yr'!AF35/'Total E&amp;G-2Yr'!AF35)*100,"*"))</f>
        <v>0</v>
      </c>
      <c r="F40" s="146">
        <f>('Fed Contracts Grnts-2Yr'!AF35)/('Total E&amp;G-2Yr'!AF35)*100</f>
        <v>20.762647684901065</v>
      </c>
      <c r="G40" s="129">
        <f>('Other Contracts Grnts-2Yr'!AF35/'Total E&amp;G-2Yr'!AF35)*100</f>
        <v>2.2807202780793632</v>
      </c>
      <c r="H40" s="146">
        <f>('All Other E&amp;G-2Yr'!AF35+'Investment Income-2Yr'!AF35)/('Total E&amp;G-2Yr'!AF35)*100</f>
        <v>2.5173397265910635</v>
      </c>
      <c r="I40" s="146">
        <f t="shared" si="1"/>
        <v>9.5860350059074406</v>
      </c>
      <c r="J40" s="146">
        <f t="shared" si="2"/>
        <v>-12.928457186571507</v>
      </c>
      <c r="K40" s="129">
        <f t="shared" si="12"/>
        <v>0</v>
      </c>
      <c r="L40" s="146">
        <f t="shared" si="3"/>
        <v>7.6372323865114762</v>
      </c>
      <c r="M40" s="129">
        <f t="shared" si="4"/>
        <v>-2.907970201650071</v>
      </c>
      <c r="N40" s="146">
        <f t="shared" si="14"/>
        <v>-1.3868400041973175</v>
      </c>
      <c r="O40" s="37"/>
      <c r="P40" s="38">
        <f>('Tuition-2Yr'!AA35/'Total E&amp;G-2Yr'!AA35)*100</f>
        <v>29.747814717374695</v>
      </c>
      <c r="Q40" s="38">
        <f>('State Appropriations-2Yr'!AA35/'Total E&amp;G-2Yr'!AA35)*100</f>
        <v>48.033899773717891</v>
      </c>
      <c r="R40" s="38" t="str">
        <f>IF((('Local Appropriations-2Yr'!AA35/'Total E&amp;G-2Yr'!AA35)*100)&gt;=0.05,('Local Appropriations-2Yr'!AA35/'Total E&amp;G-2Yr'!AA35)*100,"*")</f>
        <v>*</v>
      </c>
      <c r="S40" s="38">
        <f>('Fed Contracts Grnts-2Yr'!AA35/'Total E&amp;G-2Yr'!AA35)*100</f>
        <v>13.125415298389589</v>
      </c>
      <c r="T40" s="38">
        <f>('Other Contracts Grnts-2Yr'!AA35/'Total E&amp;G-2Yr'!AA35)*100</f>
        <v>5.1886904797294342</v>
      </c>
      <c r="U40" s="38">
        <f>IF(((('Investment Income-2Yr'!AA35+'All Other E&amp;G-2Yr'!AA35)/'Total E&amp;G-2Yr'!AA35)*100)&gt;=0.05,(('Investment Income-2Yr'!AA35+'All Other E&amp;G-2Yr'!AA35)/'Total E&amp;G-2Yr'!AA35)*100,"*")</f>
        <v>3.904179730788381</v>
      </c>
      <c r="V40" s="38"/>
      <c r="W40" s="27">
        <f t="shared" si="5"/>
        <v>99.999999999999986</v>
      </c>
      <c r="X40" s="27">
        <f t="shared" si="6"/>
        <v>100.00000000000001</v>
      </c>
      <c r="Y40" s="3"/>
      <c r="Z40" s="188">
        <f t="shared" si="7"/>
        <v>48.033899773717891</v>
      </c>
      <c r="AA40" s="189">
        <f t="shared" si="13"/>
        <v>35.105442587146385</v>
      </c>
      <c r="AB40" s="188">
        <f t="shared" si="8"/>
        <v>18.314105778119021</v>
      </c>
      <c r="AC40" s="189">
        <f t="shared" si="9"/>
        <v>23.04336796298043</v>
      </c>
      <c r="AD40" s="188">
        <f t="shared" si="10"/>
        <v>99.999999999999986</v>
      </c>
      <c r="AE40" s="195">
        <f t="shared" si="11"/>
        <v>100</v>
      </c>
    </row>
    <row r="41" spans="1:31" s="24" customFormat="1">
      <c r="A41" s="118" t="s">
        <v>139</v>
      </c>
      <c r="B41" s="118"/>
      <c r="C41" s="129">
        <f>('Tuition-2Yr'!AF36/'Total E&amp;G-2Yr'!AF36)*100</f>
        <v>31.575651476149009</v>
      </c>
      <c r="D41" s="146">
        <f>('State Appropriations-2Yr'!AF36)/('Total E&amp;G-2Yr'!AF36)*100</f>
        <v>29.010772064381857</v>
      </c>
      <c r="E41" s="129">
        <f>IF((('Local Appropriations-2Yr'!AF36/'Total E&amp;G-2Yr'!AF36)*100)=0,(('Local Appropriations-2Yr'!AF36/'Total E&amp;G-2Yr'!AF36)*100),IF((('Local Appropriations-2Yr'!AF36/'Total E&amp;G-2Yr'!AF36)*100)&gt;=0.05,('Local Appropriations-2Yr'!AF36/'Total E&amp;G-2Yr'!AF36)*100,"*"))</f>
        <v>0</v>
      </c>
      <c r="F41" s="146">
        <f>('Fed Contracts Grnts-2Yr'!AF36)/('Total E&amp;G-2Yr'!AF36)*100</f>
        <v>16.607944047446821</v>
      </c>
      <c r="G41" s="129">
        <f>('Other Contracts Grnts-2Yr'!AF36/'Total E&amp;G-2Yr'!AF36)*100</f>
        <v>19.132914464584498</v>
      </c>
      <c r="H41" s="146">
        <f>('All Other E&amp;G-2Yr'!AF36+'Investment Income-2Yr'!AF36)/('Total E&amp;G-2Yr'!AF36)*100</f>
        <v>3.6727179474378211</v>
      </c>
      <c r="I41" s="146">
        <f t="shared" si="1"/>
        <v>6.709002950310456</v>
      </c>
      <c r="J41" s="146">
        <f t="shared" si="2"/>
        <v>-11.670457378795387</v>
      </c>
      <c r="K41" s="129">
        <f t="shared" si="12"/>
        <v>0</v>
      </c>
      <c r="L41" s="146">
        <f t="shared" si="3"/>
        <v>5.4031862093716523</v>
      </c>
      <c r="M41" s="129">
        <f t="shared" si="4"/>
        <v>-0.14754290099333289</v>
      </c>
      <c r="N41" s="146">
        <f t="shared" si="14"/>
        <v>-0.29418887989338804</v>
      </c>
      <c r="O41" s="37"/>
      <c r="P41" s="38">
        <f>('Tuition-2Yr'!AA36/'Total E&amp;G-2Yr'!AA36)*100</f>
        <v>24.866648525838553</v>
      </c>
      <c r="Q41" s="38">
        <f>('State Appropriations-2Yr'!AA36/'Total E&amp;G-2Yr'!AA36)*100</f>
        <v>40.681229443177244</v>
      </c>
      <c r="R41" s="38" t="str">
        <f>IF((('Local Appropriations-2Yr'!AA36/'Total E&amp;G-2Yr'!AA36)*100)&gt;=0.05,('Local Appropriations-2Yr'!AA36/'Total E&amp;G-2Yr'!AA36)*100,"*")</f>
        <v>*</v>
      </c>
      <c r="S41" s="38">
        <f>('Fed Contracts Grnts-2Yr'!AA36/'Total E&amp;G-2Yr'!AA36)*100</f>
        <v>11.204757838075169</v>
      </c>
      <c r="T41" s="38">
        <f>('Other Contracts Grnts-2Yr'!AA36/'Total E&amp;G-2Yr'!AA36)*100</f>
        <v>19.280457365577831</v>
      </c>
      <c r="U41" s="38">
        <f>IF(((('Investment Income-2Yr'!AA36+'All Other E&amp;G-2Yr'!AA36)/'Total E&amp;G-2Yr'!AA36)*100)&gt;=0.05,(('Investment Income-2Yr'!AA36+'All Other E&amp;G-2Yr'!AA36)/'Total E&amp;G-2Yr'!AA36)*100,"*")</f>
        <v>3.9669068273312091</v>
      </c>
      <c r="V41" s="38"/>
      <c r="W41" s="27">
        <f t="shared" si="5"/>
        <v>100.00000000000001</v>
      </c>
      <c r="X41" s="27">
        <f t="shared" si="6"/>
        <v>100.00000000000001</v>
      </c>
      <c r="Y41" s="3"/>
      <c r="Z41" s="188">
        <f t="shared" si="7"/>
        <v>40.681229443177244</v>
      </c>
      <c r="AA41" s="189">
        <f t="shared" si="13"/>
        <v>29.010772064381857</v>
      </c>
      <c r="AB41" s="188">
        <f t="shared" si="8"/>
        <v>30.485215203652999</v>
      </c>
      <c r="AC41" s="189">
        <f t="shared" si="9"/>
        <v>35.740858512031323</v>
      </c>
      <c r="AD41" s="188">
        <f t="shared" si="10"/>
        <v>100.00000000000001</v>
      </c>
      <c r="AE41" s="195">
        <f t="shared" si="11"/>
        <v>100</v>
      </c>
    </row>
    <row r="42" spans="1:31" s="24" customFormat="1">
      <c r="A42" s="122" t="s">
        <v>141</v>
      </c>
      <c r="B42" s="122"/>
      <c r="C42" s="198">
        <f>('Tuition-2Yr'!AF37/'Total E&amp;G-2Yr'!AF37)*100</f>
        <v>16.353715274089787</v>
      </c>
      <c r="D42" s="149">
        <f>('State Appropriations-2Yr'!AF37)/('Total E&amp;G-2Yr'!AF37)*100</f>
        <v>38.503073831595913</v>
      </c>
      <c r="E42" s="198">
        <f>IF((('Local Appropriations-2Yr'!AF37/'Total E&amp;G-2Yr'!AF37)*100)=0,(('Local Appropriations-2Yr'!AF37/'Total E&amp;G-2Yr'!AF37)*100),IF((('Local Appropriations-2Yr'!AF37/'Total E&amp;G-2Yr'!AF37)*100)&gt;=0.05,('Local Appropriations-2Yr'!AF37/'Total E&amp;G-2Yr'!AF37)*100,"*"))</f>
        <v>16.397775532900404</v>
      </c>
      <c r="F42" s="149">
        <f>('Fed Contracts Grnts-2Yr'!AF37)/('Total E&amp;G-2Yr'!AF37)*100</f>
        <v>11.203573473136224</v>
      </c>
      <c r="G42" s="198">
        <f>('Other Contracts Grnts-2Yr'!AF37/'Total E&amp;G-2Yr'!AF37)*100</f>
        <v>9.7285073626540068</v>
      </c>
      <c r="H42" s="200">
        <f>('All Other E&amp;G-2Yr'!AF37+'Investment Income-2Yr'!AF37)/('Total E&amp;G-2Yr'!AF37)*100</f>
        <v>7.8133545256236534</v>
      </c>
      <c r="I42" s="149">
        <f t="shared" si="1"/>
        <v>1.1091636604166677</v>
      </c>
      <c r="J42" s="149">
        <f t="shared" si="2"/>
        <v>-10.404676749328672</v>
      </c>
      <c r="K42" s="133">
        <f t="shared" si="12"/>
        <v>-0.41713620587531608</v>
      </c>
      <c r="L42" s="149">
        <f t="shared" si="3"/>
        <v>1.6385695278372534</v>
      </c>
      <c r="M42" s="133">
        <f t="shared" si="4"/>
        <v>3.4164253387384216</v>
      </c>
      <c r="N42" s="149">
        <f t="shared" si="14"/>
        <v>4.6576544282116448</v>
      </c>
      <c r="O42" s="37"/>
      <c r="P42" s="38">
        <f>('Tuition-2Yr'!AA37/'Total E&amp;G-2Yr'!AA37)*100</f>
        <v>15.244551613673119</v>
      </c>
      <c r="Q42" s="38">
        <f>('State Appropriations-2Yr'!AA37/'Total E&amp;G-2Yr'!AA37)*100</f>
        <v>48.907750580924585</v>
      </c>
      <c r="R42" s="38">
        <f>IF((('Local Appropriations-2Yr'!AA37/'Total E&amp;G-2Yr'!AA37)*100)&gt;=0.05,('Local Appropriations-2Yr'!AA37/'Total E&amp;G-2Yr'!AA37)*100,"*")</f>
        <v>16.81491173877572</v>
      </c>
      <c r="S42" s="38">
        <f>('Fed Contracts Grnts-2Yr'!AA37/'Total E&amp;G-2Yr'!AA37)*100</f>
        <v>9.5650039452989706</v>
      </c>
      <c r="T42" s="38">
        <f>('Other Contracts Grnts-2Yr'!AA37/'Total E&amp;G-2Yr'!AA37)*100</f>
        <v>6.3120820239155853</v>
      </c>
      <c r="U42" s="38">
        <f>IF(((('Investment Income-2Yr'!AA37+'All Other E&amp;G-2Yr'!AA37)/'Total E&amp;G-2Yr'!AA37)*100)&gt;=0.05,(('Investment Income-2Yr'!AA37+'All Other E&amp;G-2Yr'!AA37)/'Total E&amp;G-2Yr'!AA37)*100,"*")</f>
        <v>3.1557000974120091</v>
      </c>
      <c r="V42" s="38"/>
      <c r="W42" s="27">
        <f t="shared" si="5"/>
        <v>99.999999999999986</v>
      </c>
      <c r="X42" s="27">
        <f t="shared" si="6"/>
        <v>99.999999999999972</v>
      </c>
      <c r="Y42" s="3"/>
      <c r="Z42" s="188">
        <f t="shared" si="7"/>
        <v>65.722662319700305</v>
      </c>
      <c r="AA42" s="189">
        <f t="shared" si="13"/>
        <v>54.900849364496317</v>
      </c>
      <c r="AB42" s="188">
        <f t="shared" si="8"/>
        <v>15.877085969214555</v>
      </c>
      <c r="AC42" s="189">
        <f t="shared" si="9"/>
        <v>20.932080835790231</v>
      </c>
      <c r="AD42" s="188">
        <f t="shared" si="10"/>
        <v>100</v>
      </c>
      <c r="AE42" s="195">
        <f t="shared" si="11"/>
        <v>99.999999999999972</v>
      </c>
    </row>
    <row r="43" spans="1:31" s="24" customFormat="1">
      <c r="A43" s="117" t="s">
        <v>145</v>
      </c>
      <c r="B43" s="117"/>
      <c r="C43" s="128">
        <f>('Tuition-2Yr'!AF38/'Total E&amp;G-2Yr'!AF38)*100</f>
        <v>31.645810428115634</v>
      </c>
      <c r="D43" s="145">
        <f>('State Appropriations-2Yr'!AF38)/('Total E&amp;G-2Yr'!AF38)*100</f>
        <v>20.580646812650876</v>
      </c>
      <c r="E43" s="128">
        <f>IF((('Local Appropriations-2Yr'!AF38/'Total E&amp;G-2Yr'!AF38)*100)=0,(('Local Appropriations-2Yr'!AF38/'Total E&amp;G-2Yr'!AF38)*100),IF((('Local Appropriations-2Yr'!AF38/'Total E&amp;G-2Yr'!AF38)*100)&gt;=0.05,('Local Appropriations-2Yr'!AF38/'Total E&amp;G-2Yr'!AF38)*100,"*"))</f>
        <v>17.513624673739635</v>
      </c>
      <c r="F43" s="145">
        <f>('Fed Contracts Grnts-2Yr'!AF38)/('Total E&amp;G-2Yr'!AF38)*100</f>
        <v>21.421135077310502</v>
      </c>
      <c r="G43" s="128">
        <f>('Other Contracts Grnts-2Yr'!AF38/'Total E&amp;G-2Yr'!AF38)*100</f>
        <v>5.5116528015470516</v>
      </c>
      <c r="H43" s="145">
        <f>('All Other E&amp;G-2Yr'!AF38+'Investment Income-2Yr'!AF38)/('Total E&amp;G-2Yr'!AF38)*100</f>
        <v>3.3271302066362933</v>
      </c>
      <c r="I43" s="145">
        <f t="shared" si="1"/>
        <v>2.7038956743723155</v>
      </c>
      <c r="J43" s="145">
        <f t="shared" si="2"/>
        <v>-0.13201063146338043</v>
      </c>
      <c r="K43" s="128">
        <f t="shared" si="12"/>
        <v>-6.2161175886619198</v>
      </c>
      <c r="L43" s="145">
        <f t="shared" si="3"/>
        <v>5.1440088373007171</v>
      </c>
      <c r="M43" s="128">
        <f t="shared" si="4"/>
        <v>-1.3934231335331333</v>
      </c>
      <c r="N43" s="145">
        <f t="shared" si="14"/>
        <v>-0.10635315801458667</v>
      </c>
      <c r="O43" s="37"/>
      <c r="P43" s="38">
        <f>('Tuition-2Yr'!AA38/'Total E&amp;G-2Yr'!AA38)*100</f>
        <v>28.941914753743319</v>
      </c>
      <c r="Q43" s="38">
        <f>('State Appropriations-2Yr'!AA38/'Total E&amp;G-2Yr'!AA38)*100</f>
        <v>20.712657444114257</v>
      </c>
      <c r="R43" s="38">
        <f>IF((('Local Appropriations-2Yr'!AA38/'Total E&amp;G-2Yr'!AA38)*100)&gt;=0.05,('Local Appropriations-2Yr'!AA38/'Total E&amp;G-2Yr'!AA38)*100,"*")</f>
        <v>23.729742262401555</v>
      </c>
      <c r="S43" s="38">
        <f>('Fed Contracts Grnts-2Yr'!AA38/'Total E&amp;G-2Yr'!AA38)*100</f>
        <v>16.277126240009785</v>
      </c>
      <c r="T43" s="38">
        <f>('Other Contracts Grnts-2Yr'!AA38/'Total E&amp;G-2Yr'!AA38)*100</f>
        <v>6.9050759350801849</v>
      </c>
      <c r="U43" s="38">
        <f>IF(((('Investment Income-2Yr'!AA38+'All Other E&amp;G-2Yr'!AA38)/'Total E&amp;G-2Yr'!AA38)*100)&gt;=0.05,(('Investment Income-2Yr'!AA38+'All Other E&amp;G-2Yr'!AA38)/'Total E&amp;G-2Yr'!AA38)*100,"*")</f>
        <v>3.43348336465088</v>
      </c>
      <c r="V43" s="38"/>
      <c r="W43" s="27">
        <f t="shared" si="5"/>
        <v>99.999999999999986</v>
      </c>
      <c r="X43" s="27">
        <f t="shared" si="6"/>
        <v>100</v>
      </c>
      <c r="Y43" s="3"/>
      <c r="Z43" s="188">
        <f t="shared" si="7"/>
        <v>44.442399706515815</v>
      </c>
      <c r="AA43" s="189">
        <f t="shared" si="13"/>
        <v>38.094271486390511</v>
      </c>
      <c r="AB43" s="188">
        <f t="shared" si="8"/>
        <v>23.182202175089969</v>
      </c>
      <c r="AC43" s="189">
        <f t="shared" si="9"/>
        <v>26.932787878857553</v>
      </c>
      <c r="AD43" s="188">
        <f t="shared" si="10"/>
        <v>99.999999999999986</v>
      </c>
      <c r="AE43" s="195">
        <f t="shared" si="11"/>
        <v>100</v>
      </c>
    </row>
    <row r="44" spans="1:31" s="24" customFormat="1">
      <c r="A44" s="117"/>
      <c r="B44" s="117"/>
      <c r="C44" s="128"/>
      <c r="D44" s="145"/>
      <c r="E44" s="128"/>
      <c r="F44" s="145"/>
      <c r="G44" s="128"/>
      <c r="H44" s="145"/>
      <c r="I44" s="145"/>
      <c r="J44" s="145"/>
      <c r="K44" s="128"/>
      <c r="L44" s="145"/>
      <c r="M44" s="128"/>
      <c r="N44" s="145"/>
      <c r="O44" s="37"/>
      <c r="P44" s="38"/>
      <c r="Q44" s="38"/>
      <c r="R44" s="38"/>
      <c r="S44" s="38"/>
      <c r="T44" s="38"/>
      <c r="U44" s="38"/>
      <c r="V44" s="38"/>
      <c r="W44" s="27"/>
      <c r="X44" s="27"/>
      <c r="Y44" s="3"/>
      <c r="Z44" s="188"/>
      <c r="AA44" s="189"/>
      <c r="AB44" s="188"/>
      <c r="AC44" s="189"/>
      <c r="AD44" s="188"/>
      <c r="AE44" s="195"/>
    </row>
    <row r="45" spans="1:31" s="24" customFormat="1">
      <c r="A45" s="118" t="s">
        <v>117</v>
      </c>
      <c r="B45" s="118"/>
      <c r="C45" s="129">
        <f>('Tuition-2Yr'!AF40/'Total E&amp;G-2Yr'!AF40)*100</f>
        <v>27.118231823816092</v>
      </c>
      <c r="D45" s="146">
        <f>('State Appropriations-2Yr'!AF40)/('Total E&amp;G-2Yr'!AF40)*100</f>
        <v>12.697388455414652</v>
      </c>
      <c r="E45" s="129">
        <f>IF((('Local Appropriations-2Yr'!AF40/'Total E&amp;G-2Yr'!AF40)*100)=0,(('Local Appropriations-2Yr'!AF40/'Total E&amp;G-2Yr'!AF40)*100),IF((('Local Appropriations-2Yr'!AF40/'Total E&amp;G-2Yr'!AF40)*100)&gt;=0.05,('Local Appropriations-2Yr'!AF40/'Total E&amp;G-2Yr'!AF40)*100,"*"))</f>
        <v>28.536223135864258</v>
      </c>
      <c r="F45" s="146">
        <f>('Fed Contracts Grnts-2Yr'!AF40)/('Total E&amp;G-2Yr'!AF40)*100</f>
        <v>16.401697842452418</v>
      </c>
      <c r="G45" s="129">
        <f>('Other Contracts Grnts-2Yr'!AF40/'Total E&amp;G-2Yr'!AF40)*100</f>
        <v>11.996271491866912</v>
      </c>
      <c r="H45" s="146">
        <f>('All Other E&amp;G-2Yr'!AF40+'Investment Income-2Yr'!AF40)/('Total E&amp;G-2Yr'!AF40)*100</f>
        <v>3.2501872505856726</v>
      </c>
      <c r="I45" s="146">
        <f t="shared" si="1"/>
        <v>1.687236224013045</v>
      </c>
      <c r="J45" s="146">
        <f t="shared" si="2"/>
        <v>1.7836965933765381</v>
      </c>
      <c r="K45" s="129">
        <f t="shared" si="12"/>
        <v>-6.0957422115084263</v>
      </c>
      <c r="L45" s="146">
        <f t="shared" si="3"/>
        <v>2.58564014458568</v>
      </c>
      <c r="M45" s="129">
        <f t="shared" si="4"/>
        <v>1.3511066410636605</v>
      </c>
      <c r="N45" s="146">
        <f t="shared" si="14"/>
        <v>-1.3119373915304875</v>
      </c>
      <c r="O45" s="37"/>
      <c r="P45" s="38">
        <f>('Tuition-2Yr'!AA40/'Total E&amp;G-2Yr'!AA40)*100</f>
        <v>25.430995599803047</v>
      </c>
      <c r="Q45" s="38">
        <f>('State Appropriations-2Yr'!AA40/'Total E&amp;G-2Yr'!AA40)*100</f>
        <v>10.913691862038114</v>
      </c>
      <c r="R45" s="38">
        <f>IF((('Local Appropriations-2Yr'!AA40/'Total E&amp;G-2Yr'!AA40)*100)&gt;=0.05,('Local Appropriations-2Yr'!AA40/'Total E&amp;G-2Yr'!AA40)*100,"*")</f>
        <v>34.631965347372685</v>
      </c>
      <c r="S45" s="38">
        <f>('Fed Contracts Grnts-2Yr'!AA40/'Total E&amp;G-2Yr'!AA40)*100</f>
        <v>13.816057697866738</v>
      </c>
      <c r="T45" s="38">
        <f>('Other Contracts Grnts-2Yr'!AA40/'Total E&amp;G-2Yr'!AA40)*100</f>
        <v>10.645164850803251</v>
      </c>
      <c r="U45" s="38">
        <f>IF(((('Investment Income-2Yr'!AA40+'All Other E&amp;G-2Yr'!AA40)/'Total E&amp;G-2Yr'!AA40)*100)&gt;=0.05,(('Investment Income-2Yr'!AA40+'All Other E&amp;G-2Yr'!AA40)/'Total E&amp;G-2Yr'!AA40)*100,"*")</f>
        <v>4.5621246421161601</v>
      </c>
      <c r="V45" s="38"/>
      <c r="W45" s="27">
        <f t="shared" si="5"/>
        <v>100</v>
      </c>
      <c r="X45" s="27">
        <f t="shared" si="6"/>
        <v>100</v>
      </c>
      <c r="Y45" s="3"/>
      <c r="Z45" s="188">
        <f t="shared" si="7"/>
        <v>45.545657209410798</v>
      </c>
      <c r="AA45" s="189">
        <f t="shared" si="13"/>
        <v>41.233611591278908</v>
      </c>
      <c r="AB45" s="188">
        <f t="shared" si="8"/>
        <v>24.461222548669987</v>
      </c>
      <c r="AC45" s="189">
        <f t="shared" si="9"/>
        <v>28.397969334319328</v>
      </c>
      <c r="AD45" s="188">
        <f t="shared" si="10"/>
        <v>100</v>
      </c>
      <c r="AE45" s="195">
        <f t="shared" si="11"/>
        <v>99.999999999999986</v>
      </c>
    </row>
    <row r="46" spans="1:31" s="24" customFormat="1">
      <c r="A46" s="118" t="s">
        <v>66</v>
      </c>
      <c r="B46" s="118"/>
      <c r="C46" s="129">
        <f>('Tuition-2Yr'!AF41/'Total E&amp;G-2Yr'!AF41)*100</f>
        <v>32.527898021731467</v>
      </c>
      <c r="D46" s="146">
        <f>('State Appropriations-2Yr'!AF41)/('Total E&amp;G-2Yr'!AF41)*100</f>
        <v>31.82929470876558</v>
      </c>
      <c r="E46" s="129">
        <f>IF((('Local Appropriations-2Yr'!AF41/'Total E&amp;G-2Yr'!AF41)*100)=0,(('Local Appropriations-2Yr'!AF41/'Total E&amp;G-2Yr'!AF41)*100),IF((('Local Appropriations-2Yr'!AF41/'Total E&amp;G-2Yr'!AF41)*100)&gt;=0.05,('Local Appropriations-2Yr'!AF41/'Total E&amp;G-2Yr'!AF41)*100,"*"))</f>
        <v>0</v>
      </c>
      <c r="F46" s="146">
        <f>('Fed Contracts Grnts-2Yr'!AF41)/('Total E&amp;G-2Yr'!AF41)*100</f>
        <v>25.870310403843582</v>
      </c>
      <c r="G46" s="129">
        <f>('Other Contracts Grnts-2Yr'!AF41/'Total E&amp;G-2Yr'!AF41)*100</f>
        <v>8.4427769909639725</v>
      </c>
      <c r="H46" s="146">
        <f>('All Other E&amp;G-2Yr'!AF41+'Investment Income-2Yr'!AF41)/('Total E&amp;G-2Yr'!AF41)*100</f>
        <v>1.3297198746953878</v>
      </c>
      <c r="I46" s="146">
        <f t="shared" si="1"/>
        <v>-6.4293580945681583</v>
      </c>
      <c r="J46" s="146">
        <f t="shared" si="2"/>
        <v>4.4961564418085658</v>
      </c>
      <c r="K46" s="129">
        <f t="shared" si="12"/>
        <v>0</v>
      </c>
      <c r="L46" s="146">
        <f t="shared" si="3"/>
        <v>1.7135896105233037</v>
      </c>
      <c r="M46" s="129">
        <f t="shared" si="4"/>
        <v>-0.32033875254773214</v>
      </c>
      <c r="N46" s="146">
        <f t="shared" si="14"/>
        <v>0.53995079478401331</v>
      </c>
      <c r="O46" s="37"/>
      <c r="P46" s="38">
        <f>('Tuition-2Yr'!AA41/'Total E&amp;G-2Yr'!AA41)*100</f>
        <v>38.957256116299625</v>
      </c>
      <c r="Q46" s="38">
        <f>('State Appropriations-2Yr'!AA41/'Total E&amp;G-2Yr'!AA41)*100</f>
        <v>27.333138266957015</v>
      </c>
      <c r="R46" s="38" t="str">
        <f>IF((('Local Appropriations-2Yr'!AA41/'Total E&amp;G-2Yr'!AA41)*100)&gt;=0.05,('Local Appropriations-2Yr'!AA41/'Total E&amp;G-2Yr'!AA41)*100,"*")</f>
        <v>*</v>
      </c>
      <c r="S46" s="38">
        <f>('Fed Contracts Grnts-2Yr'!AA41/'Total E&amp;G-2Yr'!AA41)*100</f>
        <v>24.156720793320279</v>
      </c>
      <c r="T46" s="38">
        <f>('Other Contracts Grnts-2Yr'!AA41/'Total E&amp;G-2Yr'!AA41)*100</f>
        <v>8.7631157435117046</v>
      </c>
      <c r="U46" s="38">
        <f>IF(((('Investment Income-2Yr'!AA41+'All Other E&amp;G-2Yr'!AA41)/'Total E&amp;G-2Yr'!AA41)*100)&gt;=0.05,(('Investment Income-2Yr'!AA41+'All Other E&amp;G-2Yr'!AA41)/'Total E&amp;G-2Yr'!AA41)*100,"*")</f>
        <v>0.78976907991137446</v>
      </c>
      <c r="V46" s="38"/>
      <c r="W46" s="27">
        <f t="shared" si="5"/>
        <v>100</v>
      </c>
      <c r="X46" s="27">
        <f t="shared" si="6"/>
        <v>99.999999999999986</v>
      </c>
      <c r="Y46" s="3"/>
      <c r="Z46" s="188">
        <f t="shared" si="7"/>
        <v>27.333138266957015</v>
      </c>
      <c r="AA46" s="189">
        <f t="shared" si="13"/>
        <v>31.82929470876558</v>
      </c>
      <c r="AB46" s="188">
        <f t="shared" si="8"/>
        <v>32.91983653683198</v>
      </c>
      <c r="AC46" s="189">
        <f t="shared" si="9"/>
        <v>34.313087394807553</v>
      </c>
      <c r="AD46" s="188">
        <f t="shared" si="10"/>
        <v>100</v>
      </c>
      <c r="AE46" s="195">
        <f t="shared" si="11"/>
        <v>100</v>
      </c>
    </row>
    <row r="47" spans="1:31" s="24" customFormat="1">
      <c r="A47" s="118" t="s">
        <v>118</v>
      </c>
      <c r="B47" s="118"/>
      <c r="C47" s="129">
        <f>('Tuition-2Yr'!AF42/'Total E&amp;G-2Yr'!AF42)*100</f>
        <v>29.903862562378542</v>
      </c>
      <c r="D47" s="146">
        <f>('State Appropriations-2Yr'!AF42)/('Total E&amp;G-2Yr'!AF42)*100</f>
        <v>24.743611890772218</v>
      </c>
      <c r="E47" s="129">
        <f>IF((('Local Appropriations-2Yr'!AF42/'Total E&amp;G-2Yr'!AF42)*100)=0,(('Local Appropriations-2Yr'!AF42/'Total E&amp;G-2Yr'!AF42)*100),IF((('Local Appropriations-2Yr'!AF42/'Total E&amp;G-2Yr'!AF42)*100)&gt;=0.05,('Local Appropriations-2Yr'!AF42/'Total E&amp;G-2Yr'!AF42)*100,"*"))</f>
        <v>13.170775616469257</v>
      </c>
      <c r="F47" s="146">
        <f>('Fed Contracts Grnts-2Yr'!AF42)/('Total E&amp;G-2Yr'!AF42)*100</f>
        <v>20.057606263080977</v>
      </c>
      <c r="G47" s="129">
        <f>('Other Contracts Grnts-2Yr'!AF42/'Total E&amp;G-2Yr'!AF42)*100</f>
        <v>4.8891804720517165</v>
      </c>
      <c r="H47" s="146">
        <f>('All Other E&amp;G-2Yr'!AF42+'Investment Income-2Yr'!AF42)/('Total E&amp;G-2Yr'!AF42)*100</f>
        <v>7.2349631952472739</v>
      </c>
      <c r="I47" s="146">
        <f t="shared" si="1"/>
        <v>2.5041951517117411</v>
      </c>
      <c r="J47" s="146">
        <f t="shared" si="2"/>
        <v>-0.34501952765565846</v>
      </c>
      <c r="K47" s="129">
        <f t="shared" si="12"/>
        <v>2.5260088780695753</v>
      </c>
      <c r="L47" s="146">
        <f t="shared" si="3"/>
        <v>-0.85115687246064908</v>
      </c>
      <c r="M47" s="129">
        <f t="shared" si="4"/>
        <v>-3.5063527951735924</v>
      </c>
      <c r="N47" s="146">
        <f t="shared" si="14"/>
        <v>-0.32767483449142887</v>
      </c>
      <c r="O47" s="37"/>
      <c r="P47" s="38">
        <f>('Tuition-2Yr'!AA42/'Total E&amp;G-2Yr'!AA42)*100</f>
        <v>27.399667410666801</v>
      </c>
      <c r="Q47" s="38">
        <f>('State Appropriations-2Yr'!AA42/'Total E&amp;G-2Yr'!AA42)*100</f>
        <v>25.088631418427877</v>
      </c>
      <c r="R47" s="38">
        <f>IF((('Local Appropriations-2Yr'!AA42/'Total E&amp;G-2Yr'!AA42)*100)&gt;=0.05,('Local Appropriations-2Yr'!AA42/'Total E&amp;G-2Yr'!AA42)*100,"*")</f>
        <v>10.644766738399682</v>
      </c>
      <c r="S47" s="38">
        <f>('Fed Contracts Grnts-2Yr'!AA42/'Total E&amp;G-2Yr'!AA42)*100</f>
        <v>20.908763135541626</v>
      </c>
      <c r="T47" s="38">
        <f>('Other Contracts Grnts-2Yr'!AA42/'Total E&amp;G-2Yr'!AA42)*100</f>
        <v>8.3955332672253089</v>
      </c>
      <c r="U47" s="38">
        <f>IF(((('Investment Income-2Yr'!AA42+'All Other E&amp;G-2Yr'!AA42)/'Total E&amp;G-2Yr'!AA42)*100)&gt;=0.05,(('Investment Income-2Yr'!AA42+'All Other E&amp;G-2Yr'!AA42)/'Total E&amp;G-2Yr'!AA42)*100,"*")</f>
        <v>7.5626380297387028</v>
      </c>
      <c r="V47" s="38"/>
      <c r="W47" s="27">
        <f t="shared" si="5"/>
        <v>99.999999999999986</v>
      </c>
      <c r="X47" s="27">
        <f t="shared" si="6"/>
        <v>100</v>
      </c>
      <c r="Y47" s="3"/>
      <c r="Z47" s="188">
        <f t="shared" si="7"/>
        <v>35.733398156827562</v>
      </c>
      <c r="AA47" s="189">
        <f t="shared" si="13"/>
        <v>37.914387507241472</v>
      </c>
      <c r="AB47" s="188">
        <f t="shared" si="8"/>
        <v>29.304296402766937</v>
      </c>
      <c r="AC47" s="189">
        <f t="shared" si="9"/>
        <v>24.946786735132694</v>
      </c>
      <c r="AD47" s="188">
        <f t="shared" si="10"/>
        <v>100</v>
      </c>
      <c r="AE47" s="195">
        <f t="shared" si="11"/>
        <v>99.999999999999972</v>
      </c>
    </row>
    <row r="48" spans="1:31" s="24" customFormat="1">
      <c r="A48" s="118" t="s">
        <v>119</v>
      </c>
      <c r="B48" s="118"/>
      <c r="C48" s="129">
        <f>('Tuition-2Yr'!AF43/'Total E&amp;G-2Yr'!AF43)*100</f>
        <v>23.140014473156949</v>
      </c>
      <c r="D48" s="146">
        <f>('State Appropriations-2Yr'!AF43)/('Total E&amp;G-2Yr'!AF43)*100</f>
        <v>18.518841423914733</v>
      </c>
      <c r="E48" s="129">
        <f>IF((('Local Appropriations-2Yr'!AF43/'Total E&amp;G-2Yr'!AF43)*100)=0,(('Local Appropriations-2Yr'!AF43/'Total E&amp;G-2Yr'!AF43)*100),IF((('Local Appropriations-2Yr'!AF43/'Total E&amp;G-2Yr'!AF43)*100)&gt;=0.05,('Local Appropriations-2Yr'!AF43/'Total E&amp;G-2Yr'!AF43)*100,"*"))</f>
        <v>34.103048313002319</v>
      </c>
      <c r="F48" s="146">
        <f>('Fed Contracts Grnts-2Yr'!AF43)/('Total E&amp;G-2Yr'!AF43)*100</f>
        <v>16.75287663936426</v>
      </c>
      <c r="G48" s="129">
        <f>('Other Contracts Grnts-2Yr'!AF43/'Total E&amp;G-2Yr'!AF43)*100</f>
        <v>2.2811127012321943</v>
      </c>
      <c r="H48" s="146">
        <f>('All Other E&amp;G-2Yr'!AF43+'Investment Income-2Yr'!AF43)/('Total E&amp;G-2Yr'!AF43)*100</f>
        <v>5.2041064493295615</v>
      </c>
      <c r="I48" s="146">
        <f t="shared" si="1"/>
        <v>1.4185996443871112</v>
      </c>
      <c r="J48" s="146">
        <f t="shared" si="2"/>
        <v>-4.4241676946907198</v>
      </c>
      <c r="K48" s="129">
        <f t="shared" si="12"/>
        <v>1.4727554829298128</v>
      </c>
      <c r="L48" s="146">
        <f t="shared" si="3"/>
        <v>3.6654449873296375</v>
      </c>
      <c r="M48" s="129">
        <f t="shared" si="4"/>
        <v>-6.6160176020090393</v>
      </c>
      <c r="N48" s="146">
        <f t="shared" si="14"/>
        <v>4.4833851820532367</v>
      </c>
      <c r="O48" s="37"/>
      <c r="P48" s="38">
        <f>('Tuition-2Yr'!AA43/'Total E&amp;G-2Yr'!AA43)*100</f>
        <v>21.721414828769838</v>
      </c>
      <c r="Q48" s="38">
        <f>('State Appropriations-2Yr'!AA43/'Total E&amp;G-2Yr'!AA43)*100</f>
        <v>22.943009118605453</v>
      </c>
      <c r="R48" s="38">
        <f>IF((('Local Appropriations-2Yr'!AA43/'Total E&amp;G-2Yr'!AA43)*100)&gt;=0.05,('Local Appropriations-2Yr'!AA43/'Total E&amp;G-2Yr'!AA43)*100,"*")</f>
        <v>32.630292830072506</v>
      </c>
      <c r="S48" s="38">
        <f>('Fed Contracts Grnts-2Yr'!AA43/'Total E&amp;G-2Yr'!AA43)*100</f>
        <v>13.087431652034622</v>
      </c>
      <c r="T48" s="38">
        <f>('Other Contracts Grnts-2Yr'!AA43/'Total E&amp;G-2Yr'!AA43)*100</f>
        <v>8.8971303032412337</v>
      </c>
      <c r="U48" s="38">
        <f>IF(((('Investment Income-2Yr'!AA43+'All Other E&amp;G-2Yr'!AA43)/'Total E&amp;G-2Yr'!AA43)*100)&gt;=0.05,(('Investment Income-2Yr'!AA43+'All Other E&amp;G-2Yr'!AA43)/'Total E&amp;G-2Yr'!AA43)*100,"*")</f>
        <v>0.72072126727632446</v>
      </c>
      <c r="V48" s="38"/>
      <c r="W48" s="27">
        <f t="shared" si="5"/>
        <v>99.999999999999986</v>
      </c>
      <c r="X48" s="27">
        <f t="shared" si="6"/>
        <v>100</v>
      </c>
      <c r="Y48" s="3"/>
      <c r="Z48" s="188">
        <f t="shared" si="7"/>
        <v>55.573301948677958</v>
      </c>
      <c r="AA48" s="189">
        <f t="shared" si="13"/>
        <v>52.621889736917055</v>
      </c>
      <c r="AB48" s="188">
        <f t="shared" si="8"/>
        <v>21.984561955275858</v>
      </c>
      <c r="AC48" s="189">
        <f t="shared" si="9"/>
        <v>19.033989340596456</v>
      </c>
      <c r="AD48" s="188">
        <f t="shared" si="10"/>
        <v>99.999999999999972</v>
      </c>
      <c r="AE48" s="195">
        <f t="shared" si="11"/>
        <v>100.00000000000001</v>
      </c>
    </row>
    <row r="49" spans="1:31" s="24" customFormat="1">
      <c r="A49" s="119" t="s">
        <v>122</v>
      </c>
      <c r="B49" s="119"/>
      <c r="C49" s="128">
        <f>('Tuition-2Yr'!AF44/'Total E&amp;G-2Yr'!AF44)*100</f>
        <v>32.195123457883199</v>
      </c>
      <c r="D49" s="145">
        <f>('State Appropriations-2Yr'!AF44)/('Total E&amp;G-2Yr'!AF44)*100</f>
        <v>15.939421415049788</v>
      </c>
      <c r="E49" s="128">
        <f>IF((('Local Appropriations-2Yr'!AF44/'Total E&amp;G-2Yr'!AF44)*100)=0,(('Local Appropriations-2Yr'!AF44/'Total E&amp;G-2Yr'!AF44)*100),IF((('Local Appropriations-2Yr'!AF44/'Total E&amp;G-2Yr'!AF44)*100)&gt;=0.05,('Local Appropriations-2Yr'!AF44/'Total E&amp;G-2Yr'!AF44)*100,"*"))</f>
        <v>24.105081943351163</v>
      </c>
      <c r="F49" s="145">
        <f>('Fed Contracts Grnts-2Yr'!AF44)/('Total E&amp;G-2Yr'!AF44)*100</f>
        <v>22.157335902787317</v>
      </c>
      <c r="G49" s="128">
        <f>('Other Contracts Grnts-2Yr'!AF44/'Total E&amp;G-2Yr'!AF44)*100</f>
        <v>2.3138920292553338</v>
      </c>
      <c r="H49" s="145">
        <f>('All Other E&amp;G-2Yr'!AF44+'Investment Income-2Yr'!AF44)/('Total E&amp;G-2Yr'!AF44)*100</f>
        <v>3.2891452516731943</v>
      </c>
      <c r="I49" s="147">
        <f t="shared" si="1"/>
        <v>2.8710499466552335</v>
      </c>
      <c r="J49" s="147">
        <f t="shared" si="2"/>
        <v>0.68147977144621663</v>
      </c>
      <c r="K49" s="130">
        <f t="shared" si="12"/>
        <v>-7.3028932328587928</v>
      </c>
      <c r="L49" s="147">
        <f t="shared" si="3"/>
        <v>5.1714213084466039</v>
      </c>
      <c r="M49" s="130">
        <f t="shared" si="4"/>
        <v>-0.95629700049740629</v>
      </c>
      <c r="N49" s="145">
        <f t="shared" si="14"/>
        <v>-0.4647607931918567</v>
      </c>
      <c r="O49" s="37"/>
      <c r="P49" s="38">
        <f>('Tuition-2Yr'!AA44/'Total E&amp;G-2Yr'!AA44)*100</f>
        <v>29.324073511227965</v>
      </c>
      <c r="Q49" s="38">
        <f>('State Appropriations-2Yr'!AA44/'Total E&amp;G-2Yr'!AA44)*100</f>
        <v>15.257941643603571</v>
      </c>
      <c r="R49" s="38">
        <f>IF((('Local Appropriations-2Yr'!AA44/'Total E&amp;G-2Yr'!AA44)*100)&gt;=0.05,('Local Appropriations-2Yr'!AA44/'Total E&amp;G-2Yr'!AA44)*100,"*")</f>
        <v>31.407975176209955</v>
      </c>
      <c r="S49" s="38">
        <f>('Fed Contracts Grnts-2Yr'!AA44/'Total E&amp;G-2Yr'!AA44)*100</f>
        <v>16.985914594340713</v>
      </c>
      <c r="T49" s="38">
        <f>('Other Contracts Grnts-2Yr'!AA44/'Total E&amp;G-2Yr'!AA44)*100</f>
        <v>3.2701890297527401</v>
      </c>
      <c r="U49" s="38">
        <f>IF(((('Investment Income-2Yr'!AA44+'All Other E&amp;G-2Yr'!AA44)/'Total E&amp;G-2Yr'!AA44)*100)&gt;=0.05,(('Investment Income-2Yr'!AA44+'All Other E&amp;G-2Yr'!AA44)/'Total E&amp;G-2Yr'!AA44)*100,"*")</f>
        <v>3.753906044865051</v>
      </c>
      <c r="V49" s="38"/>
      <c r="W49" s="27">
        <f t="shared" si="5"/>
        <v>100</v>
      </c>
      <c r="X49" s="27">
        <f t="shared" si="6"/>
        <v>99.999999999999986</v>
      </c>
      <c r="Y49" s="3"/>
      <c r="Z49" s="188">
        <f t="shared" si="7"/>
        <v>46.665916819813525</v>
      </c>
      <c r="AA49" s="189">
        <f t="shared" si="13"/>
        <v>40.044503358400952</v>
      </c>
      <c r="AB49" s="188">
        <f t="shared" si="8"/>
        <v>20.256103624093452</v>
      </c>
      <c r="AC49" s="189">
        <f t="shared" si="9"/>
        <v>24.471227932042652</v>
      </c>
      <c r="AD49" s="188">
        <f t="shared" si="10"/>
        <v>99.999999999999986</v>
      </c>
      <c r="AE49" s="195">
        <f t="shared" si="11"/>
        <v>99.999999999999986</v>
      </c>
    </row>
    <row r="50" spans="1:31" s="24" customFormat="1">
      <c r="A50" s="119" t="s">
        <v>123</v>
      </c>
      <c r="B50" s="119"/>
      <c r="C50" s="128">
        <f>('Tuition-2Yr'!AF45/'Total E&amp;G-2Yr'!AF45)*100</f>
        <v>42.438027843318146</v>
      </c>
      <c r="D50" s="145">
        <f>('State Appropriations-2Yr'!AF45)/('Total E&amp;G-2Yr'!AF45)*100</f>
        <v>28.974043525078603</v>
      </c>
      <c r="E50" s="128">
        <f>IF((('Local Appropriations-2Yr'!AF45/'Total E&amp;G-2Yr'!AF45)*100)=0,(('Local Appropriations-2Yr'!AF45/'Total E&amp;G-2Yr'!AF45)*100),IF((('Local Appropriations-2Yr'!AF45/'Total E&amp;G-2Yr'!AF45)*100)&gt;=0.05,('Local Appropriations-2Yr'!AF45/'Total E&amp;G-2Yr'!AF45)*100,"*"))</f>
        <v>0</v>
      </c>
      <c r="F50" s="145">
        <f>('Fed Contracts Grnts-2Yr'!AF45)/('Total E&amp;G-2Yr'!AF45)*100</f>
        <v>22.359061982404221</v>
      </c>
      <c r="G50" s="128">
        <f>('Other Contracts Grnts-2Yr'!AF45/'Total E&amp;G-2Yr'!AF45)*100</f>
        <v>5.3416036087989633</v>
      </c>
      <c r="H50" s="145">
        <f>('All Other E&amp;G-2Yr'!AF45+'Investment Income-2Yr'!AF45)/('Total E&amp;G-2Yr'!AF45)*100</f>
        <v>0.88726304040009185</v>
      </c>
      <c r="I50" s="147">
        <f t="shared" si="1"/>
        <v>1.4415474931282191</v>
      </c>
      <c r="J50" s="147">
        <f t="shared" si="2"/>
        <v>-8.5711724453899443</v>
      </c>
      <c r="K50" s="130">
        <f t="shared" si="12"/>
        <v>0</v>
      </c>
      <c r="L50" s="147">
        <f t="shared" si="3"/>
        <v>8.0434910717912551</v>
      </c>
      <c r="M50" s="130">
        <f t="shared" si="4"/>
        <v>-5.3318078611094499E-2</v>
      </c>
      <c r="N50" s="145">
        <f t="shared" si="14"/>
        <v>-0.86054804091841408</v>
      </c>
      <c r="O50" s="37"/>
      <c r="P50" s="38">
        <f>('Tuition-2Yr'!AA45/'Total E&amp;G-2Yr'!AA45)*100</f>
        <v>40.996480350189927</v>
      </c>
      <c r="Q50" s="38">
        <f>('State Appropriations-2Yr'!AA45/'Total E&amp;G-2Yr'!AA45)*100</f>
        <v>37.545215970468547</v>
      </c>
      <c r="R50" s="38" t="str">
        <f>IF((('Local Appropriations-2Yr'!AA45/'Total E&amp;G-2Yr'!AA45)*100)&gt;=0.05,('Local Appropriations-2Yr'!AA45/'Total E&amp;G-2Yr'!AA45)*100,"*")</f>
        <v>*</v>
      </c>
      <c r="S50" s="38">
        <f>('Fed Contracts Grnts-2Yr'!AA45/'Total E&amp;G-2Yr'!AA45)*100</f>
        <v>14.315570910612966</v>
      </c>
      <c r="T50" s="38">
        <f>('Other Contracts Grnts-2Yr'!AA45/'Total E&amp;G-2Yr'!AA45)*100</f>
        <v>5.3949216874100578</v>
      </c>
      <c r="U50" s="38">
        <f>IF(((('Investment Income-2Yr'!AA45+'All Other E&amp;G-2Yr'!AA45)/'Total E&amp;G-2Yr'!AA45)*100)&gt;=0.05,(('Investment Income-2Yr'!AA45+'All Other E&amp;G-2Yr'!AA45)/'Total E&amp;G-2Yr'!AA45)*100,"*")</f>
        <v>1.7478110813185059</v>
      </c>
      <c r="V50" s="38"/>
      <c r="W50" s="27">
        <f t="shared" si="5"/>
        <v>100</v>
      </c>
      <c r="X50" s="27">
        <f t="shared" si="6"/>
        <v>100.00000000000001</v>
      </c>
      <c r="Y50" s="3"/>
      <c r="Z50" s="188">
        <f t="shared" si="7"/>
        <v>37.545215970468547</v>
      </c>
      <c r="AA50" s="189">
        <f t="shared" si="13"/>
        <v>28.974043525078603</v>
      </c>
      <c r="AB50" s="188">
        <f t="shared" si="8"/>
        <v>19.710492598023023</v>
      </c>
      <c r="AC50" s="189">
        <f t="shared" si="9"/>
        <v>27.700665591203183</v>
      </c>
      <c r="AD50" s="188">
        <f t="shared" si="10"/>
        <v>100</v>
      </c>
      <c r="AE50" s="195">
        <f t="shared" si="11"/>
        <v>100.00000000000003</v>
      </c>
    </row>
    <row r="51" spans="1:31" s="24" customFormat="1">
      <c r="A51" s="119" t="s">
        <v>67</v>
      </c>
      <c r="B51" s="119"/>
      <c r="C51" s="128">
        <f>('Tuition-2Yr'!AF46/'Total E&amp;G-2Yr'!AF46)*100</f>
        <v>29.675239162438</v>
      </c>
      <c r="D51" s="145">
        <f>('State Appropriations-2Yr'!AF46)/('Total E&amp;G-2Yr'!AF46)*100</f>
        <v>15.638371506176391</v>
      </c>
      <c r="E51" s="128">
        <f>IF((('Local Appropriations-2Yr'!AF46/'Total E&amp;G-2Yr'!AF46)*100)=0,(('Local Appropriations-2Yr'!AF46/'Total E&amp;G-2Yr'!AF46)*100),IF((('Local Appropriations-2Yr'!AF46/'Total E&amp;G-2Yr'!AF46)*100)&gt;=0.05,('Local Appropriations-2Yr'!AF46/'Total E&amp;G-2Yr'!AF46)*100,"*"))</f>
        <v>16.781834355685206</v>
      </c>
      <c r="F51" s="145">
        <f>('Fed Contracts Grnts-2Yr'!AF46)/('Total E&amp;G-2Yr'!AF46)*100</f>
        <v>29.536076157947953</v>
      </c>
      <c r="G51" s="128">
        <f>('Other Contracts Grnts-2Yr'!AF46/'Total E&amp;G-2Yr'!AF46)*100</f>
        <v>4.1714127012254023</v>
      </c>
      <c r="H51" s="145">
        <f>('All Other E&amp;G-2Yr'!AF46+'Investment Income-2Yr'!AF46)/('Total E&amp;G-2Yr'!AF46)*100</f>
        <v>4.1970661165270577</v>
      </c>
      <c r="I51" s="147">
        <f t="shared" si="1"/>
        <v>-3.0026065739153118</v>
      </c>
      <c r="J51" s="147">
        <f t="shared" si="2"/>
        <v>-3.9829949950419845</v>
      </c>
      <c r="K51" s="130">
        <f t="shared" si="12"/>
        <v>2.4722009907235822</v>
      </c>
      <c r="L51" s="147">
        <f t="shared" si="3"/>
        <v>5.8338742854398831</v>
      </c>
      <c r="M51" s="130">
        <f t="shared" si="4"/>
        <v>-3.4547953202153368</v>
      </c>
      <c r="N51" s="145">
        <f t="shared" si="14"/>
        <v>2.1343216130091713</v>
      </c>
      <c r="O51" s="37"/>
      <c r="P51" s="38">
        <f>('Tuition-2Yr'!AA46/'Total E&amp;G-2Yr'!AA46)*100</f>
        <v>32.677845736353312</v>
      </c>
      <c r="Q51" s="38">
        <f>('State Appropriations-2Yr'!AA46/'Total E&amp;G-2Yr'!AA46)*100</f>
        <v>19.621366501218375</v>
      </c>
      <c r="R51" s="38">
        <f>IF((('Local Appropriations-2Yr'!AA46/'Total E&amp;G-2Yr'!AA46)*100)&gt;=0.05,('Local Appropriations-2Yr'!AA46/'Total E&amp;G-2Yr'!AA46)*100,"*")</f>
        <v>14.309633364961623</v>
      </c>
      <c r="S51" s="38">
        <f>('Fed Contracts Grnts-2Yr'!AA46/'Total E&amp;G-2Yr'!AA46)*100</f>
        <v>23.70220187250807</v>
      </c>
      <c r="T51" s="38">
        <f>('Other Contracts Grnts-2Yr'!AA46/'Total E&amp;G-2Yr'!AA46)*100</f>
        <v>7.6262080214407391</v>
      </c>
      <c r="U51" s="38">
        <f>IF(((('Investment Income-2Yr'!AA46+'All Other E&amp;G-2Yr'!AA46)/'Total E&amp;G-2Yr'!AA46)*100)&gt;=0.05,(('Investment Income-2Yr'!AA46+'All Other E&amp;G-2Yr'!AA46)/'Total E&amp;G-2Yr'!AA46)*100,"*")</f>
        <v>2.0627445035178864</v>
      </c>
      <c r="V51" s="38"/>
      <c r="W51" s="27">
        <f t="shared" si="5"/>
        <v>100.00000000000001</v>
      </c>
      <c r="X51" s="27">
        <f t="shared" si="6"/>
        <v>100.00000000000001</v>
      </c>
      <c r="Y51" s="3"/>
      <c r="Z51" s="188">
        <f t="shared" si="7"/>
        <v>33.930999866180002</v>
      </c>
      <c r="AA51" s="189">
        <f t="shared" si="13"/>
        <v>32.420205861861596</v>
      </c>
      <c r="AB51" s="188">
        <f t="shared" si="8"/>
        <v>31.328409893948809</v>
      </c>
      <c r="AC51" s="189">
        <f t="shared" si="9"/>
        <v>33.707488859173353</v>
      </c>
      <c r="AD51" s="188">
        <f t="shared" si="10"/>
        <v>100.00000000000003</v>
      </c>
      <c r="AE51" s="195">
        <f t="shared" si="11"/>
        <v>100</v>
      </c>
    </row>
    <row r="52" spans="1:31" s="24" customFormat="1">
      <c r="A52" s="119" t="s">
        <v>125</v>
      </c>
      <c r="B52" s="119"/>
      <c r="C52" s="128">
        <f>('Tuition-2Yr'!AF47/'Total E&amp;G-2Yr'!AF47)*100</f>
        <v>22.30710761674888</v>
      </c>
      <c r="D52" s="145">
        <f>('State Appropriations-2Yr'!AF47)/('Total E&amp;G-2Yr'!AF47)*100</f>
        <v>25.090762260089498</v>
      </c>
      <c r="E52" s="128">
        <f>IF((('Local Appropriations-2Yr'!AF47/'Total E&amp;G-2Yr'!AF47)*100)=0,(('Local Appropriations-2Yr'!AF47/'Total E&amp;G-2Yr'!AF47)*100),IF((('Local Appropriations-2Yr'!AF47/'Total E&amp;G-2Yr'!AF47)*100)&gt;=0.05,('Local Appropriations-2Yr'!AF47/'Total E&amp;G-2Yr'!AF47)*100,"*"))</f>
        <v>30.392008694136791</v>
      </c>
      <c r="F52" s="145">
        <f>('Fed Contracts Grnts-2Yr'!AF47)/('Total E&amp;G-2Yr'!AF47)*100</f>
        <v>18.624312796550203</v>
      </c>
      <c r="G52" s="128">
        <f>('Other Contracts Grnts-2Yr'!AF47/'Total E&amp;G-2Yr'!AF47)*100</f>
        <v>2.1837975291967164</v>
      </c>
      <c r="H52" s="145">
        <f>('All Other E&amp;G-2Yr'!AF47+'Investment Income-2Yr'!AF47)/('Total E&amp;G-2Yr'!AF47)*100</f>
        <v>1.4020111032778995</v>
      </c>
      <c r="I52" s="147">
        <f t="shared" si="1"/>
        <v>0.32439227969128126</v>
      </c>
      <c r="J52" s="147">
        <f t="shared" si="2"/>
        <v>-2.7334420968763062</v>
      </c>
      <c r="K52" s="130">
        <f t="shared" si="12"/>
        <v>-0.75420652543205335</v>
      </c>
      <c r="L52" s="147">
        <f t="shared" si="3"/>
        <v>4.6330657448261494</v>
      </c>
      <c r="M52" s="130">
        <f t="shared" si="4"/>
        <v>0.55634155832764765</v>
      </c>
      <c r="N52" s="145">
        <f t="shared" si="14"/>
        <v>-2.0261509605367358</v>
      </c>
      <c r="O52" s="37"/>
      <c r="P52" s="38">
        <f>('Tuition-2Yr'!AA47/'Total E&amp;G-2Yr'!AA47)*100</f>
        <v>21.982715337057599</v>
      </c>
      <c r="Q52" s="38">
        <f>('State Appropriations-2Yr'!AA47/'Total E&amp;G-2Yr'!AA47)*100</f>
        <v>27.824204356965804</v>
      </c>
      <c r="R52" s="38">
        <f>IF((('Local Appropriations-2Yr'!AA47/'Total E&amp;G-2Yr'!AA47)*100)&gt;=0.05,('Local Appropriations-2Yr'!AA47/'Total E&amp;G-2Yr'!AA47)*100,"*")</f>
        <v>31.146215219568845</v>
      </c>
      <c r="S52" s="38">
        <f>('Fed Contracts Grnts-2Yr'!AA47/'Total E&amp;G-2Yr'!AA47)*100</f>
        <v>13.991247051724054</v>
      </c>
      <c r="T52" s="38">
        <f>('Other Contracts Grnts-2Yr'!AA47/'Total E&amp;G-2Yr'!AA47)*100</f>
        <v>1.6274559708690688</v>
      </c>
      <c r="U52" s="38">
        <f>IF(((('Investment Income-2Yr'!AA47+'All Other E&amp;G-2Yr'!AA47)/'Total E&amp;G-2Yr'!AA47)*100)&gt;=0.05,(('Investment Income-2Yr'!AA47+'All Other E&amp;G-2Yr'!AA47)/'Total E&amp;G-2Yr'!AA47)*100,"*")</f>
        <v>3.4281620638146353</v>
      </c>
      <c r="V52" s="38"/>
      <c r="W52" s="27">
        <f t="shared" si="5"/>
        <v>100.00000000000001</v>
      </c>
      <c r="X52" s="27">
        <f t="shared" si="6"/>
        <v>99.999999999999972</v>
      </c>
      <c r="Y52" s="3"/>
      <c r="Z52" s="188">
        <f t="shared" si="7"/>
        <v>58.970419576534653</v>
      </c>
      <c r="AA52" s="189">
        <f t="shared" si="13"/>
        <v>55.482770954226289</v>
      </c>
      <c r="AB52" s="188">
        <f t="shared" si="8"/>
        <v>15.618703022593122</v>
      </c>
      <c r="AC52" s="189">
        <f t="shared" si="9"/>
        <v>20.80811032574692</v>
      </c>
      <c r="AD52" s="188">
        <f t="shared" si="10"/>
        <v>100.00000000000001</v>
      </c>
      <c r="AE52" s="195">
        <f t="shared" si="11"/>
        <v>99.999999999999986</v>
      </c>
    </row>
    <row r="53" spans="1:31" s="24" customFormat="1">
      <c r="A53" s="118" t="s">
        <v>131</v>
      </c>
      <c r="B53" s="118"/>
      <c r="C53" s="129">
        <f>('Tuition-2Yr'!AF48/'Total E&amp;G-2Yr'!AF48)*100</f>
        <v>25.787058648344598</v>
      </c>
      <c r="D53" s="146">
        <f>('State Appropriations-2Yr'!AF48)/('Total E&amp;G-2Yr'!AF48)*100</f>
        <v>35.256549258789292</v>
      </c>
      <c r="E53" s="129">
        <f>IF((('Local Appropriations-2Yr'!AF48/'Total E&amp;G-2Yr'!AF48)*100)=0,(('Local Appropriations-2Yr'!AF48/'Total E&amp;G-2Yr'!AF48)*100),IF((('Local Appropriations-2Yr'!AF48/'Total E&amp;G-2Yr'!AF48)*100)&gt;=0.05,('Local Appropriations-2Yr'!AF48/'Total E&amp;G-2Yr'!AF48)*100,"*"))</f>
        <v>0</v>
      </c>
      <c r="F53" s="146">
        <f>('Fed Contracts Grnts-2Yr'!AF48)/('Total E&amp;G-2Yr'!AF48)*100</f>
        <v>26.181282619878317</v>
      </c>
      <c r="G53" s="129">
        <f>('Other Contracts Grnts-2Yr'!AF48/'Total E&amp;G-2Yr'!AF48)*100</f>
        <v>11.275270863510364</v>
      </c>
      <c r="H53" s="146">
        <f>('All Other E&amp;G-2Yr'!AF48+'Investment Income-2Yr'!AF48)/('Total E&amp;G-2Yr'!AF48)*100</f>
        <v>1.4998386094774308</v>
      </c>
      <c r="I53" s="146">
        <f t="shared" si="1"/>
        <v>-5.9192701818159819</v>
      </c>
      <c r="J53" s="146">
        <f t="shared" si="2"/>
        <v>7.2857095097674183</v>
      </c>
      <c r="K53" s="129">
        <f t="shared" si="12"/>
        <v>0</v>
      </c>
      <c r="L53" s="146">
        <f t="shared" si="3"/>
        <v>0.11763991152808373</v>
      </c>
      <c r="M53" s="129">
        <f t="shared" si="4"/>
        <v>3.6588238607771455</v>
      </c>
      <c r="N53" s="146">
        <f t="shared" si="14"/>
        <v>-5.1429031002566648</v>
      </c>
      <c r="O53" s="37"/>
      <c r="P53" s="38">
        <f>('Tuition-2Yr'!AA48/'Total E&amp;G-2Yr'!AA48)*100</f>
        <v>31.706328830160579</v>
      </c>
      <c r="Q53" s="38">
        <f>('State Appropriations-2Yr'!AA48/'Total E&amp;G-2Yr'!AA48)*100</f>
        <v>27.970839749021874</v>
      </c>
      <c r="R53" s="38" t="str">
        <f>IF((('Local Appropriations-2Yr'!AA48/'Total E&amp;G-2Yr'!AA48)*100)&gt;=0.05,('Local Appropriations-2Yr'!AA48/'Total E&amp;G-2Yr'!AA48)*100,"*")</f>
        <v>*</v>
      </c>
      <c r="S53" s="38">
        <f>('Fed Contracts Grnts-2Yr'!AA48/'Total E&amp;G-2Yr'!AA48)*100</f>
        <v>26.063642708350233</v>
      </c>
      <c r="T53" s="38">
        <f>('Other Contracts Grnts-2Yr'!AA48/'Total E&amp;G-2Yr'!AA48)*100</f>
        <v>7.616447002733219</v>
      </c>
      <c r="U53" s="38">
        <f>IF(((('Investment Income-2Yr'!AA48+'All Other E&amp;G-2Yr'!AA48)/'Total E&amp;G-2Yr'!AA48)*100)&gt;=0.05,(('Investment Income-2Yr'!AA48+'All Other E&amp;G-2Yr'!AA48)/'Total E&amp;G-2Yr'!AA48)*100,"*")</f>
        <v>6.6427417097340955</v>
      </c>
      <c r="V53" s="38"/>
      <c r="W53" s="27">
        <f t="shared" si="5"/>
        <v>100</v>
      </c>
      <c r="X53" s="27">
        <f t="shared" si="6"/>
        <v>100.00000000000001</v>
      </c>
      <c r="Y53" s="3"/>
      <c r="Z53" s="188">
        <f t="shared" si="7"/>
        <v>27.970839749021874</v>
      </c>
      <c r="AA53" s="189">
        <f t="shared" si="13"/>
        <v>35.256549258789292</v>
      </c>
      <c r="AB53" s="188">
        <f t="shared" si="8"/>
        <v>33.680089711083454</v>
      </c>
      <c r="AC53" s="189">
        <f t="shared" si="9"/>
        <v>37.456553483388682</v>
      </c>
      <c r="AD53" s="188">
        <f t="shared" si="10"/>
        <v>100</v>
      </c>
      <c r="AE53" s="195">
        <f t="shared" si="11"/>
        <v>100</v>
      </c>
    </row>
    <row r="54" spans="1:31" s="24" customFormat="1">
      <c r="A54" s="118" t="s">
        <v>132</v>
      </c>
      <c r="B54" s="118"/>
      <c r="C54" s="129">
        <f>('Tuition-2Yr'!AF49/'Total E&amp;G-2Yr'!AF49)*100</f>
        <v>38.491769587363471</v>
      </c>
      <c r="D54" s="146">
        <f>('State Appropriations-2Yr'!AF49)/('Total E&amp;G-2Yr'!AF49)*100</f>
        <v>25.558030400066922</v>
      </c>
      <c r="E54" s="129">
        <f>IF((('Local Appropriations-2Yr'!AF49/'Total E&amp;G-2Yr'!AF49)*100)=0,(('Local Appropriations-2Yr'!AF49/'Total E&amp;G-2Yr'!AF49)*100),IF((('Local Appropriations-2Yr'!AF49/'Total E&amp;G-2Yr'!AF49)*100)&gt;=0.05,('Local Appropriations-2Yr'!AF49/'Total E&amp;G-2Yr'!AF49)*100,"*"))</f>
        <v>9.1079217844448852</v>
      </c>
      <c r="F54" s="146">
        <f>('Fed Contracts Grnts-2Yr'!AF49)/('Total E&amp;G-2Yr'!AF49)*100</f>
        <v>21.531357455318997</v>
      </c>
      <c r="G54" s="129">
        <f>('Other Contracts Grnts-2Yr'!AF49/'Total E&amp;G-2Yr'!AF49)*100</f>
        <v>2.4611203495581657</v>
      </c>
      <c r="H54" s="146">
        <f>('All Other E&amp;G-2Yr'!AF49+'Investment Income-2Yr'!AF49)/('Total E&amp;G-2Yr'!AF49)*100</f>
        <v>2.8498004232475482</v>
      </c>
      <c r="I54" s="146">
        <f t="shared" si="1"/>
        <v>3.1348474623509617</v>
      </c>
      <c r="J54" s="146">
        <f t="shared" si="2"/>
        <v>-5.539622760076135</v>
      </c>
      <c r="K54" s="129">
        <f t="shared" si="12"/>
        <v>0.98437837170709486</v>
      </c>
      <c r="L54" s="146">
        <f t="shared" si="3"/>
        <v>4.4621686037228443</v>
      </c>
      <c r="M54" s="129">
        <f t="shared" si="4"/>
        <v>-3.4414519552590077</v>
      </c>
      <c r="N54" s="146">
        <f t="shared" si="14"/>
        <v>0.39968027755424096</v>
      </c>
      <c r="O54" s="37"/>
      <c r="P54" s="38">
        <f>('Tuition-2Yr'!AA49/'Total E&amp;G-2Yr'!AA49)*100</f>
        <v>35.35692212501251</v>
      </c>
      <c r="Q54" s="38">
        <f>('State Appropriations-2Yr'!AA49/'Total E&amp;G-2Yr'!AA49)*100</f>
        <v>31.097653160143057</v>
      </c>
      <c r="R54" s="38">
        <f>IF((('Local Appropriations-2Yr'!AA49/'Total E&amp;G-2Yr'!AA49)*100)&gt;=0.05,('Local Appropriations-2Yr'!AA49/'Total E&amp;G-2Yr'!AA49)*100,"*")</f>
        <v>8.1235434127377903</v>
      </c>
      <c r="S54" s="38">
        <f>('Fed Contracts Grnts-2Yr'!AA49/'Total E&amp;G-2Yr'!AA49)*100</f>
        <v>17.069188851596152</v>
      </c>
      <c r="T54" s="38">
        <f>('Other Contracts Grnts-2Yr'!AA49/'Total E&amp;G-2Yr'!AA49)*100</f>
        <v>5.9025723048171734</v>
      </c>
      <c r="U54" s="38">
        <f>IF(((('Investment Income-2Yr'!AA49+'All Other E&amp;G-2Yr'!AA49)/'Total E&amp;G-2Yr'!AA49)*100)&gt;=0.05,(('Investment Income-2Yr'!AA49+'All Other E&amp;G-2Yr'!AA49)/'Total E&amp;G-2Yr'!AA49)*100,"*")</f>
        <v>2.4501201456933073</v>
      </c>
      <c r="V54" s="38"/>
      <c r="W54" s="27">
        <f t="shared" si="5"/>
        <v>99.999999999999986</v>
      </c>
      <c r="X54" s="27">
        <f t="shared" si="6"/>
        <v>99.999999999999986</v>
      </c>
      <c r="Y54" s="3"/>
      <c r="Z54" s="188">
        <f t="shared" si="7"/>
        <v>39.221196572880849</v>
      </c>
      <c r="AA54" s="189">
        <f t="shared" si="13"/>
        <v>34.665952184511809</v>
      </c>
      <c r="AB54" s="188">
        <f t="shared" si="8"/>
        <v>22.971761156413326</v>
      </c>
      <c r="AC54" s="189">
        <f t="shared" si="9"/>
        <v>23.992477804877161</v>
      </c>
      <c r="AD54" s="188">
        <f t="shared" si="10"/>
        <v>100</v>
      </c>
      <c r="AE54" s="195">
        <f t="shared" si="11"/>
        <v>100</v>
      </c>
    </row>
    <row r="55" spans="1:31" s="24" customFormat="1">
      <c r="A55" s="118" t="s">
        <v>136</v>
      </c>
      <c r="B55" s="118"/>
      <c r="C55" s="129">
        <f>('Tuition-2Yr'!AF50/'Total E&amp;G-2Yr'!AF50)*100</f>
        <v>31.279354210983463</v>
      </c>
      <c r="D55" s="146">
        <f>('State Appropriations-2Yr'!AF50)/('Total E&amp;G-2Yr'!AF50)*100</f>
        <v>11.168667654181046</v>
      </c>
      <c r="E55" s="129">
        <f>IF((('Local Appropriations-2Yr'!AF50/'Total E&amp;G-2Yr'!AF50)*100)=0,(('Local Appropriations-2Yr'!AF50/'Total E&amp;G-2Yr'!AF50)*100),IF((('Local Appropriations-2Yr'!AF50/'Total E&amp;G-2Yr'!AF50)*100)&gt;=0.05,('Local Appropriations-2Yr'!AF50/'Total E&amp;G-2Yr'!AF50)*100,"*"))</f>
        <v>0</v>
      </c>
      <c r="F55" s="146">
        <f>('Fed Contracts Grnts-2Yr'!AF50)/('Total E&amp;G-2Yr'!AF50)*100</f>
        <v>37.411221314782175</v>
      </c>
      <c r="G55" s="129">
        <f>('Other Contracts Grnts-2Yr'!AF50/'Total E&amp;G-2Yr'!AF50)*100</f>
        <v>15.230570690617062</v>
      </c>
      <c r="H55" s="146">
        <f>('All Other E&amp;G-2Yr'!AF50+'Investment Income-2Yr'!AF50)/('Total E&amp;G-2Yr'!AF50)*100</f>
        <v>4.9101861294362568</v>
      </c>
      <c r="I55" s="146">
        <f t="shared" si="1"/>
        <v>4.5065568266459017</v>
      </c>
      <c r="J55" s="146">
        <f t="shared" si="2"/>
        <v>-1.3107840841392324</v>
      </c>
      <c r="K55" s="129">
        <f t="shared" si="12"/>
        <v>0</v>
      </c>
      <c r="L55" s="146">
        <f t="shared" si="3"/>
        <v>-3.3561291176673365</v>
      </c>
      <c r="M55" s="129">
        <f t="shared" si="4"/>
        <v>-0.90044418785431724</v>
      </c>
      <c r="N55" s="146">
        <f t="shared" si="14"/>
        <v>1.060800563014995</v>
      </c>
      <c r="O55" s="37"/>
      <c r="P55" s="38">
        <f>('Tuition-2Yr'!AA50/'Total E&amp;G-2Yr'!AA50)*100</f>
        <v>26.772797384337562</v>
      </c>
      <c r="Q55" s="38">
        <f>('State Appropriations-2Yr'!AA50/'Total E&amp;G-2Yr'!AA50)*100</f>
        <v>12.479451738320279</v>
      </c>
      <c r="R55" s="38" t="str">
        <f>IF((('Local Appropriations-2Yr'!AA50/'Total E&amp;G-2Yr'!AA50)*100)&gt;=0.05,('Local Appropriations-2Yr'!AA50/'Total E&amp;G-2Yr'!AA50)*100,"*")</f>
        <v>*</v>
      </c>
      <c r="S55" s="38">
        <f>('Fed Contracts Grnts-2Yr'!AA50/'Total E&amp;G-2Yr'!AA50)*100</f>
        <v>40.767350432449511</v>
      </c>
      <c r="T55" s="38">
        <f>('Other Contracts Grnts-2Yr'!AA50/'Total E&amp;G-2Yr'!AA50)*100</f>
        <v>16.13101487847138</v>
      </c>
      <c r="U55" s="38">
        <f>IF(((('Investment Income-2Yr'!AA50+'All Other E&amp;G-2Yr'!AA50)/'Total E&amp;G-2Yr'!AA50)*100)&gt;=0.05,(('Investment Income-2Yr'!AA50+'All Other E&amp;G-2Yr'!AA50)/'Total E&amp;G-2Yr'!AA50)*100,"*")</f>
        <v>3.8493855664212617</v>
      </c>
      <c r="V55" s="38"/>
      <c r="W55" s="27">
        <f t="shared" si="5"/>
        <v>100</v>
      </c>
      <c r="X55" s="27">
        <f t="shared" si="6"/>
        <v>99.999999999999986</v>
      </c>
      <c r="Y55" s="3"/>
      <c r="Z55" s="188">
        <f t="shared" si="7"/>
        <v>12.479451738320279</v>
      </c>
      <c r="AA55" s="189">
        <f t="shared" si="13"/>
        <v>11.168667654181046</v>
      </c>
      <c r="AB55" s="188">
        <f t="shared" si="8"/>
        <v>56.898365310920894</v>
      </c>
      <c r="AC55" s="189">
        <f t="shared" si="9"/>
        <v>52.641792005399239</v>
      </c>
      <c r="AD55" s="188">
        <f t="shared" si="10"/>
        <v>100</v>
      </c>
      <c r="AE55" s="195">
        <f t="shared" si="11"/>
        <v>100</v>
      </c>
    </row>
    <row r="56" spans="1:31" s="24" customFormat="1">
      <c r="A56" s="118" t="s">
        <v>140</v>
      </c>
      <c r="B56" s="118"/>
      <c r="C56" s="129">
        <f>('Tuition-2Yr'!AF51/'Total E&amp;G-2Yr'!AF51)*100</f>
        <v>25.214056821624382</v>
      </c>
      <c r="D56" s="149">
        <f>('State Appropriations-2Yr'!AF51)/('Total E&amp;G-2Yr'!AF51)*100</f>
        <v>13.350593189664513</v>
      </c>
      <c r="E56" s="198">
        <f>IF((('Local Appropriations-2Yr'!AF51/'Total E&amp;G-2Yr'!AF51)*100)=0,(('Local Appropriations-2Yr'!AF51/'Total E&amp;G-2Yr'!AF51)*100),IF((('Local Appropriations-2Yr'!AF51/'Total E&amp;G-2Yr'!AF51)*100)&gt;=0.05,('Local Appropriations-2Yr'!AF51/'Total E&amp;G-2Yr'!AF51)*100,"*"))</f>
        <v>36.473995569077296</v>
      </c>
      <c r="F56" s="149">
        <f>('Fed Contracts Grnts-2Yr'!AF51)/('Total E&amp;G-2Yr'!AF51)*100</f>
        <v>17.136950330503293</v>
      </c>
      <c r="G56" s="198">
        <f>('Other Contracts Grnts-2Yr'!AF51/'Total E&amp;G-2Yr'!AF51)*100</f>
        <v>3.6269246769400563</v>
      </c>
      <c r="H56" s="200">
        <f>('All Other E&amp;G-2Yr'!AF51+'Investment Income-2Yr'!AF51)/('Total E&amp;G-2Yr'!AF51)*100</f>
        <v>4.1974794121904715</v>
      </c>
      <c r="I56" s="146">
        <f t="shared" si="1"/>
        <v>7.41503875443426</v>
      </c>
      <c r="J56" s="146">
        <f t="shared" si="2"/>
        <v>1.5196377067100464</v>
      </c>
      <c r="K56" s="129">
        <f t="shared" si="12"/>
        <v>-13.781642094381098</v>
      </c>
      <c r="L56" s="146">
        <f t="shared" si="3"/>
        <v>5.3898566407832789</v>
      </c>
      <c r="M56" s="129">
        <f t="shared" si="4"/>
        <v>-1.6560656392943609</v>
      </c>
      <c r="N56" s="149">
        <f t="shared" si="14"/>
        <v>1.113174631747881</v>
      </c>
      <c r="O56" s="37"/>
      <c r="P56" s="38">
        <f>('Tuition-2Yr'!AA51/'Total E&amp;G-2Yr'!AA51)*100</f>
        <v>17.799018067190122</v>
      </c>
      <c r="Q56" s="38">
        <f>('State Appropriations-2Yr'!AA51/'Total E&amp;G-2Yr'!AA51)*100</f>
        <v>11.830955482954467</v>
      </c>
      <c r="R56" s="38">
        <f>IF((('Local Appropriations-2Yr'!AA51/'Total E&amp;G-2Yr'!AA51)*100)&gt;=0.05,('Local Appropriations-2Yr'!AA51/'Total E&amp;G-2Yr'!AA51)*100,"*")</f>
        <v>50.255637663458394</v>
      </c>
      <c r="S56" s="38">
        <f>('Fed Contracts Grnts-2Yr'!AA51/'Total E&amp;G-2Yr'!AA51)*100</f>
        <v>11.747093689720014</v>
      </c>
      <c r="T56" s="38">
        <f>('Other Contracts Grnts-2Yr'!AA51/'Total E&amp;G-2Yr'!AA51)*100</f>
        <v>5.2829903162344172</v>
      </c>
      <c r="U56" s="38">
        <f>IF(((('Investment Income-2Yr'!AA51+'All Other E&amp;G-2Yr'!AA51)/'Total E&amp;G-2Yr'!AA51)*100)&gt;=0.05,(('Investment Income-2Yr'!AA51+'All Other E&amp;G-2Yr'!AA51)/'Total E&amp;G-2Yr'!AA51)*100,"*")</f>
        <v>3.0843047804425905</v>
      </c>
      <c r="V56" s="38"/>
      <c r="W56" s="27">
        <f t="shared" si="5"/>
        <v>100.00000000000001</v>
      </c>
      <c r="X56" s="27">
        <f t="shared" si="6"/>
        <v>100.00000000000001</v>
      </c>
      <c r="Y56" s="3"/>
      <c r="Z56" s="188">
        <f t="shared" si="7"/>
        <v>62.086593146412859</v>
      </c>
      <c r="AA56" s="189">
        <f t="shared" si="13"/>
        <v>49.824588758741811</v>
      </c>
      <c r="AB56" s="188">
        <f t="shared" si="8"/>
        <v>17.030084005954432</v>
      </c>
      <c r="AC56" s="189">
        <f t="shared" si="9"/>
        <v>20.76387500744335</v>
      </c>
      <c r="AD56" s="188">
        <f t="shared" si="10"/>
        <v>100</v>
      </c>
      <c r="AE56" s="195">
        <f t="shared" si="11"/>
        <v>100.00000000000001</v>
      </c>
    </row>
    <row r="57" spans="1:31" s="24" customFormat="1">
      <c r="A57" s="123" t="s">
        <v>146</v>
      </c>
      <c r="B57" s="123"/>
      <c r="C57" s="134">
        <f>('Tuition-2Yr'!AF52/'Total E&amp;G-2Yr'!AF52)*100</f>
        <v>37.07985316621749</v>
      </c>
      <c r="D57" s="145">
        <f>('State Appropriations-2Yr'!AF52)/('Total E&amp;G-2Yr'!AF52)*100</f>
        <v>21.217856353427162</v>
      </c>
      <c r="E57" s="128">
        <f>IF((('Local Appropriations-2Yr'!AF52/'Total E&amp;G-2Yr'!AF52)*100)=0,(('Local Appropriations-2Yr'!AF52/'Total E&amp;G-2Yr'!AF52)*100),IF((('Local Appropriations-2Yr'!AF52/'Total E&amp;G-2Yr'!AF52)*100)&gt;=0.05,('Local Appropriations-2Yr'!AF52/'Total E&amp;G-2Yr'!AF52)*100,"*"))</f>
        <v>10.961461275771821</v>
      </c>
      <c r="F57" s="145">
        <f>('Fed Contracts Grnts-2Yr'!AF52)/('Total E&amp;G-2Yr'!AF52)*100</f>
        <v>20.828727395666444</v>
      </c>
      <c r="G57" s="128">
        <f>('Other Contracts Grnts-2Yr'!AF52/'Total E&amp;G-2Yr'!AF52)*100</f>
        <v>6.8727466976220741</v>
      </c>
      <c r="H57" s="145">
        <f>('All Other E&amp;G-2Yr'!AF52+'Investment Income-2Yr'!AF52)/('Total E&amp;G-2Yr'!AF52)*100</f>
        <v>3.0393551112950141</v>
      </c>
      <c r="I57" s="150">
        <f t="shared" si="1"/>
        <v>1.6700376118611686</v>
      </c>
      <c r="J57" s="150">
        <f t="shared" si="2"/>
        <v>-4.069701935484737</v>
      </c>
      <c r="K57" s="134">
        <f t="shared" si="12"/>
        <v>-2.2931610659339299</v>
      </c>
      <c r="L57" s="150">
        <f t="shared" si="3"/>
        <v>5.8149298825311675</v>
      </c>
      <c r="M57" s="134">
        <f t="shared" si="4"/>
        <v>-0.58208549277737642</v>
      </c>
      <c r="N57" s="145">
        <f t="shared" si="14"/>
        <v>-0.54001900019628435</v>
      </c>
      <c r="O57" s="37"/>
      <c r="P57" s="38">
        <f>('Tuition-2Yr'!AA52/'Total E&amp;G-2Yr'!AA52)*100</f>
        <v>35.409815554356321</v>
      </c>
      <c r="Q57" s="38">
        <f>('State Appropriations-2Yr'!AA52/'Total E&amp;G-2Yr'!AA52)*100</f>
        <v>25.287558288911899</v>
      </c>
      <c r="R57" s="38">
        <f>IF((('Local Appropriations-2Yr'!AA52/'Total E&amp;G-2Yr'!AA52)*100)&gt;=0.05,('Local Appropriations-2Yr'!AA52/'Total E&amp;G-2Yr'!AA52)*100,"*")</f>
        <v>13.254622341705751</v>
      </c>
      <c r="S57" s="38">
        <f>('Fed Contracts Grnts-2Yr'!AA52/'Total E&amp;G-2Yr'!AA52)*100</f>
        <v>15.013797513135277</v>
      </c>
      <c r="T57" s="38">
        <f>('Other Contracts Grnts-2Yr'!AA52/'Total E&amp;G-2Yr'!AA52)*100</f>
        <v>7.4548321903994506</v>
      </c>
      <c r="U57" s="38">
        <f>IF(((('Investment Income-2Yr'!AA52+'All Other E&amp;G-2Yr'!AA52)/'Total E&amp;G-2Yr'!AA52)*100)&gt;=0.05,(('Investment Income-2Yr'!AA52+'All Other E&amp;G-2Yr'!AA52)/'Total E&amp;G-2Yr'!AA52)*100,"*")</f>
        <v>3.5793741114912985</v>
      </c>
      <c r="V57" s="38"/>
      <c r="W57" s="27">
        <f t="shared" si="5"/>
        <v>100.00000000000001</v>
      </c>
      <c r="X57" s="27">
        <f t="shared" si="6"/>
        <v>100.00000000000001</v>
      </c>
      <c r="Y57" s="3"/>
      <c r="Z57" s="188">
        <f t="shared" si="7"/>
        <v>38.542180630617651</v>
      </c>
      <c r="AA57" s="189">
        <f t="shared" si="13"/>
        <v>32.179317629198984</v>
      </c>
      <c r="AB57" s="188">
        <f t="shared" si="8"/>
        <v>22.468629703534727</v>
      </c>
      <c r="AC57" s="189">
        <f t="shared" si="9"/>
        <v>27.701474093288518</v>
      </c>
      <c r="AD57" s="188">
        <f t="shared" si="10"/>
        <v>100</v>
      </c>
      <c r="AE57" s="195">
        <f t="shared" si="11"/>
        <v>100</v>
      </c>
    </row>
    <row r="58" spans="1:31" s="24" customFormat="1">
      <c r="A58" s="119"/>
      <c r="B58" s="119"/>
      <c r="C58" s="130"/>
      <c r="D58" s="147"/>
      <c r="E58" s="130"/>
      <c r="F58" s="147"/>
      <c r="G58" s="130"/>
      <c r="H58" s="147"/>
      <c r="I58" s="147"/>
      <c r="J58" s="147"/>
      <c r="K58" s="130"/>
      <c r="L58" s="147"/>
      <c r="M58" s="130"/>
      <c r="N58" s="145"/>
      <c r="O58" s="37"/>
      <c r="P58" s="38"/>
      <c r="Q58" s="38"/>
      <c r="R58" s="38"/>
      <c r="S58" s="38"/>
      <c r="T58" s="38"/>
      <c r="U58" s="38"/>
      <c r="V58" s="38"/>
      <c r="W58" s="27"/>
      <c r="X58" s="27"/>
      <c r="Y58" s="3"/>
      <c r="Z58" s="188"/>
      <c r="AA58" s="189"/>
      <c r="AB58" s="188"/>
      <c r="AC58" s="189"/>
      <c r="AD58" s="188"/>
      <c r="AE58" s="195"/>
    </row>
    <row r="59" spans="1:31" s="24" customFormat="1">
      <c r="A59" s="118" t="s">
        <v>113</v>
      </c>
      <c r="B59" s="118"/>
      <c r="C59" s="129">
        <f>('Tuition-2Yr'!AF54/'Total E&amp;G-2Yr'!AF54)*100</f>
        <v>33.663144066964165</v>
      </c>
      <c r="D59" s="146">
        <f>('State Appropriations-2Yr'!AF54)/('Total E&amp;G-2Yr'!AF54)*100</f>
        <v>44.364268700127568</v>
      </c>
      <c r="E59" s="129">
        <f>IF((('Local Appropriations-2Yr'!AF54/'Total E&amp;G-2Yr'!AF54)*100)=0,(('Local Appropriations-2Yr'!AF54/'Total E&amp;G-2Yr'!AF54)*100),IF((('Local Appropriations-2Yr'!AF54/'Total E&amp;G-2Yr'!AF54)*100)&gt;=0.05,('Local Appropriations-2Yr'!AF54/'Total E&amp;G-2Yr'!AF54)*100,"*"))</f>
        <v>0</v>
      </c>
      <c r="F59" s="146">
        <f>('Fed Contracts Grnts-2Yr'!AF54)/('Total E&amp;G-2Yr'!AF54)*100</f>
        <v>17.687328487767822</v>
      </c>
      <c r="G59" s="129">
        <f>('Other Contracts Grnts-2Yr'!AF54/'Total E&amp;G-2Yr'!AF54)*100</f>
        <v>2.4293465340141522</v>
      </c>
      <c r="H59" s="146">
        <f>('All Other E&amp;G-2Yr'!AF54+'Investment Income-2Yr'!AF54)/('Total E&amp;G-2Yr'!AF54)*100</f>
        <v>1.8559122111262771</v>
      </c>
      <c r="I59" s="146">
        <f t="shared" si="1"/>
        <v>3.7134973344178022</v>
      </c>
      <c r="J59" s="146">
        <f t="shared" si="2"/>
        <v>-6.1958023077004682</v>
      </c>
      <c r="K59" s="129">
        <f t="shared" si="12"/>
        <v>0</v>
      </c>
      <c r="L59" s="146">
        <f t="shared" si="3"/>
        <v>7.0387998500562006</v>
      </c>
      <c r="M59" s="129">
        <f t="shared" si="4"/>
        <v>-1.8606313555660958</v>
      </c>
      <c r="N59" s="146">
        <f t="shared" si="14"/>
        <v>-2.6958635212074613</v>
      </c>
      <c r="O59" s="37"/>
      <c r="P59" s="38">
        <f>('Tuition-2Yr'!AA54/'Total E&amp;G-2Yr'!AA54)*100</f>
        <v>29.949646732546363</v>
      </c>
      <c r="Q59" s="38">
        <f>('State Appropriations-2Yr'!AA54/'Total E&amp;G-2Yr'!AA54)*100</f>
        <v>50.560071007828036</v>
      </c>
      <c r="R59" s="38" t="str">
        <f>IF((('Local Appropriations-2Yr'!AA54/'Total E&amp;G-2Yr'!AA54)*100)&gt;=0.05,('Local Appropriations-2Yr'!AA54/'Total E&amp;G-2Yr'!AA54)*100,"*")</f>
        <v>*</v>
      </c>
      <c r="S59" s="38">
        <f>('Fed Contracts Grnts-2Yr'!AA54/'Total E&amp;G-2Yr'!AA54)*100</f>
        <v>10.648528637711621</v>
      </c>
      <c r="T59" s="38">
        <f>('Other Contracts Grnts-2Yr'!AA54/'Total E&amp;G-2Yr'!AA54)*100</f>
        <v>4.2899778895802481</v>
      </c>
      <c r="U59" s="38">
        <f>IF(((('Investment Income-2Yr'!AA54+'All Other E&amp;G-2Yr'!AA54)/'Total E&amp;G-2Yr'!AA54)*100)&gt;=0.05,(('Investment Income-2Yr'!AA54+'All Other E&amp;G-2Yr'!AA54)/'Total E&amp;G-2Yr'!AA54)*100,"*")</f>
        <v>4.5517757323337387</v>
      </c>
      <c r="V59" s="38"/>
      <c r="W59" s="27">
        <f t="shared" si="5"/>
        <v>100</v>
      </c>
      <c r="X59" s="27">
        <f t="shared" si="6"/>
        <v>99.999999999999986</v>
      </c>
      <c r="Y59" s="3"/>
      <c r="Z59" s="188">
        <f t="shared" si="7"/>
        <v>50.560071007828036</v>
      </c>
      <c r="AA59" s="189">
        <f t="shared" si="13"/>
        <v>44.364268700127568</v>
      </c>
      <c r="AB59" s="188">
        <f t="shared" si="8"/>
        <v>14.938506527291869</v>
      </c>
      <c r="AC59" s="189">
        <f t="shared" si="9"/>
        <v>20.116675021781973</v>
      </c>
      <c r="AD59" s="188">
        <f t="shared" si="10"/>
        <v>100</v>
      </c>
      <c r="AE59" s="195">
        <f t="shared" si="11"/>
        <v>99.999999999999986</v>
      </c>
    </row>
    <row r="60" spans="1:31" s="24" customFormat="1">
      <c r="A60" s="118" t="s">
        <v>120</v>
      </c>
      <c r="B60" s="118"/>
      <c r="C60" s="129">
        <f>('Tuition-2Yr'!AF55/'Total E&amp;G-2Yr'!AF55)*100</f>
        <v>30.651034472564231</v>
      </c>
      <c r="D60" s="146">
        <f>('State Appropriations-2Yr'!AF55)/('Total E&amp;G-2Yr'!AF55)*100</f>
        <v>32.658977628071959</v>
      </c>
      <c r="E60" s="129">
        <f>IF((('Local Appropriations-2Yr'!AF55/'Total E&amp;G-2Yr'!AF55)*100)=0,(('Local Appropriations-2Yr'!AF55/'Total E&amp;G-2Yr'!AF55)*100),IF((('Local Appropriations-2Yr'!AF55/'Total E&amp;G-2Yr'!AF55)*100)&gt;=0.05,('Local Appropriations-2Yr'!AF55/'Total E&amp;G-2Yr'!AF55)*100,"*"))</f>
        <v>0</v>
      </c>
      <c r="F60" s="146">
        <f>('Fed Contracts Grnts-2Yr'!AF55)/('Total E&amp;G-2Yr'!AF55)*100</f>
        <v>28.093148098604619</v>
      </c>
      <c r="G60" s="129">
        <f>('Other Contracts Grnts-2Yr'!AF55/'Total E&amp;G-2Yr'!AF55)*100</f>
        <v>5.2146127045517057</v>
      </c>
      <c r="H60" s="146">
        <f>('All Other E&amp;G-2Yr'!AF55+'Investment Income-2Yr'!AF55)/('Total E&amp;G-2Yr'!AF55)*100</f>
        <v>3.382227096207477</v>
      </c>
      <c r="I60" s="146">
        <f t="shared" si="1"/>
        <v>-1.6405651395705441</v>
      </c>
      <c r="J60" s="146">
        <f t="shared" si="2"/>
        <v>-9.0528748836847228</v>
      </c>
      <c r="K60" s="129">
        <f t="shared" si="12"/>
        <v>0</v>
      </c>
      <c r="L60" s="146">
        <f t="shared" si="3"/>
        <v>9.184442683768534</v>
      </c>
      <c r="M60" s="129">
        <f t="shared" si="4"/>
        <v>-1.9882179026098452</v>
      </c>
      <c r="N60" s="146">
        <f t="shared" si="14"/>
        <v>3.382227096207477</v>
      </c>
      <c r="O60" s="37"/>
      <c r="P60" s="38">
        <f>('Tuition-2Yr'!AA55/'Total E&amp;G-2Yr'!AA55)*100</f>
        <v>32.291599612134775</v>
      </c>
      <c r="Q60" s="38">
        <f>('State Appropriations-2Yr'!AA55/'Total E&amp;G-2Yr'!AA55)*100</f>
        <v>41.711852511756682</v>
      </c>
      <c r="R60" s="38" t="str">
        <f>IF((('Local Appropriations-2Yr'!AA55/'Total E&amp;G-2Yr'!AA55)*100)&gt;=0.05,('Local Appropriations-2Yr'!AA55/'Total E&amp;G-2Yr'!AA55)*100,"*")</f>
        <v>*</v>
      </c>
      <c r="S60" s="38">
        <f>('Fed Contracts Grnts-2Yr'!AA55/'Total E&amp;G-2Yr'!AA55)*100</f>
        <v>18.908705414836085</v>
      </c>
      <c r="T60" s="38">
        <f>('Other Contracts Grnts-2Yr'!AA55/'Total E&amp;G-2Yr'!AA55)*100</f>
        <v>7.2028306071615509</v>
      </c>
      <c r="U60" s="38" t="str">
        <f>IF(((('Investment Income-2Yr'!AA55+'All Other E&amp;G-2Yr'!AA55)/'Total E&amp;G-2Yr'!AA55)*100)&gt;=0.05,(('Investment Income-2Yr'!AA55+'All Other E&amp;G-2Yr'!AA55)/'Total E&amp;G-2Yr'!AA55)*100,"*")</f>
        <v>*</v>
      </c>
      <c r="V60" s="38"/>
      <c r="W60" s="27">
        <f t="shared" si="5"/>
        <v>100.11498814588909</v>
      </c>
      <c r="X60" s="27">
        <f t="shared" si="6"/>
        <v>99.999999999999986</v>
      </c>
      <c r="Y60" s="3"/>
      <c r="Z60" s="188">
        <f t="shared" si="7"/>
        <v>41.711852511756682</v>
      </c>
      <c r="AA60" s="189">
        <f t="shared" si="13"/>
        <v>32.658977628071959</v>
      </c>
      <c r="AB60" s="188">
        <f t="shared" si="8"/>
        <v>26.111536021997637</v>
      </c>
      <c r="AC60" s="189">
        <f t="shared" si="9"/>
        <v>33.307760803156327</v>
      </c>
      <c r="AD60" s="188">
        <f t="shared" si="10"/>
        <v>100.1149881458891</v>
      </c>
      <c r="AE60" s="195">
        <f t="shared" si="11"/>
        <v>100</v>
      </c>
    </row>
    <row r="61" spans="1:31" s="24" customFormat="1">
      <c r="A61" s="118" t="s">
        <v>121</v>
      </c>
      <c r="B61" s="118"/>
      <c r="C61" s="129">
        <f>('Tuition-2Yr'!AF56/'Total E&amp;G-2Yr'!AF56)*100</f>
        <v>37.060071651730247</v>
      </c>
      <c r="D61" s="146">
        <f>('State Appropriations-2Yr'!AF56)/('Total E&amp;G-2Yr'!AF56)*100</f>
        <v>31.181589068987357</v>
      </c>
      <c r="E61" s="129">
        <f>IF((('Local Appropriations-2Yr'!AF56/'Total E&amp;G-2Yr'!AF56)*100)=0,(('Local Appropriations-2Yr'!AF56/'Total E&amp;G-2Yr'!AF56)*100),IF((('Local Appropriations-2Yr'!AF56/'Total E&amp;G-2Yr'!AF56)*100)&gt;=0.05,('Local Appropriations-2Yr'!AF56/'Total E&amp;G-2Yr'!AF56)*100,"*"))</f>
        <v>0</v>
      </c>
      <c r="F61" s="146">
        <f>('Fed Contracts Grnts-2Yr'!AF56)/('Total E&amp;G-2Yr'!AF56)*100</f>
        <v>21.963868980950679</v>
      </c>
      <c r="G61" s="129">
        <f>('Other Contracts Grnts-2Yr'!AF56/'Total E&amp;G-2Yr'!AF56)*100</f>
        <v>7.0010385514426776</v>
      </c>
      <c r="H61" s="146">
        <f>('All Other E&amp;G-2Yr'!AF56+'Investment Income-2Yr'!AF56)/('Total E&amp;G-2Yr'!AF56)*100</f>
        <v>2.7934317468890337</v>
      </c>
      <c r="I61" s="146">
        <f t="shared" si="1"/>
        <v>1.6477334523423508</v>
      </c>
      <c r="J61" s="146">
        <f t="shared" si="2"/>
        <v>-6.4104514457322566</v>
      </c>
      <c r="K61" s="129">
        <f t="shared" si="12"/>
        <v>0</v>
      </c>
      <c r="L61" s="146">
        <f t="shared" si="3"/>
        <v>5.5430425879770127</v>
      </c>
      <c r="M61" s="129">
        <f t="shared" si="4"/>
        <v>-1.78786996543211</v>
      </c>
      <c r="N61" s="146">
        <f t="shared" si="14"/>
        <v>1.0075453708449875</v>
      </c>
      <c r="O61" s="37"/>
      <c r="P61" s="38">
        <f>('Tuition-2Yr'!AA56/'Total E&amp;G-2Yr'!AA56)*100</f>
        <v>35.412338199387897</v>
      </c>
      <c r="Q61" s="38">
        <f>('State Appropriations-2Yr'!AA56/'Total E&amp;G-2Yr'!AA56)*100</f>
        <v>37.592040514719613</v>
      </c>
      <c r="R61" s="38" t="str">
        <f>IF((('Local Appropriations-2Yr'!AA56/'Total E&amp;G-2Yr'!AA56)*100)&gt;=0.05,('Local Appropriations-2Yr'!AA56/'Total E&amp;G-2Yr'!AA56)*100,"*")</f>
        <v>*</v>
      </c>
      <c r="S61" s="38">
        <f>('Fed Contracts Grnts-2Yr'!AA56/'Total E&amp;G-2Yr'!AA56)*100</f>
        <v>16.420826392973666</v>
      </c>
      <c r="T61" s="38">
        <f>('Other Contracts Grnts-2Yr'!AA56/'Total E&amp;G-2Yr'!AA56)*100</f>
        <v>8.7889085168747876</v>
      </c>
      <c r="U61" s="38">
        <f>IF(((('Investment Income-2Yr'!AA56+'All Other E&amp;G-2Yr'!AA56)/'Total E&amp;G-2Yr'!AA56)*100)&gt;=0.05,(('Investment Income-2Yr'!AA56+'All Other E&amp;G-2Yr'!AA56)/'Total E&amp;G-2Yr'!AA56)*100,"*")</f>
        <v>1.7858863760440462</v>
      </c>
      <c r="V61" s="38"/>
      <c r="W61" s="27">
        <f t="shared" si="5"/>
        <v>100</v>
      </c>
      <c r="X61" s="27">
        <f t="shared" si="6"/>
        <v>99.999999999999986</v>
      </c>
      <c r="Y61" s="3"/>
      <c r="Z61" s="188">
        <f t="shared" si="7"/>
        <v>37.592040514719613</v>
      </c>
      <c r="AA61" s="189">
        <f t="shared" si="13"/>
        <v>31.181589068987357</v>
      </c>
      <c r="AB61" s="188">
        <f t="shared" si="8"/>
        <v>25.209734909848454</v>
      </c>
      <c r="AC61" s="189">
        <f t="shared" si="9"/>
        <v>28.964907532393354</v>
      </c>
      <c r="AD61" s="188">
        <f t="shared" si="10"/>
        <v>100</v>
      </c>
      <c r="AE61" s="195">
        <f t="shared" si="11"/>
        <v>100</v>
      </c>
    </row>
    <row r="62" spans="1:31" s="24" customFormat="1">
      <c r="A62" s="118" t="s">
        <v>127</v>
      </c>
      <c r="B62" s="118"/>
      <c r="C62" s="129">
        <f>('Tuition-2Yr'!AF57/'Total E&amp;G-2Yr'!AF57)*100</f>
        <v>47.625127149102354</v>
      </c>
      <c r="D62" s="146">
        <f>('State Appropriations-2Yr'!AF57)/('Total E&amp;G-2Yr'!AF57)*100</f>
        <v>26.231644939688564</v>
      </c>
      <c r="E62" s="129">
        <f>IF((('Local Appropriations-2Yr'!AF57/'Total E&amp;G-2Yr'!AF57)*100)=0,(('Local Appropriations-2Yr'!AF57/'Total E&amp;G-2Yr'!AF57)*100),IF((('Local Appropriations-2Yr'!AF57/'Total E&amp;G-2Yr'!AF57)*100)&gt;=0.05,('Local Appropriations-2Yr'!AF57/'Total E&amp;G-2Yr'!AF57)*100,"*"))</f>
        <v>0</v>
      </c>
      <c r="F62" s="146">
        <f>('Fed Contracts Grnts-2Yr'!AF57)/('Total E&amp;G-2Yr'!AF57)*100</f>
        <v>16.220451358345141</v>
      </c>
      <c r="G62" s="129">
        <f>('Other Contracts Grnts-2Yr'!AF57/'Total E&amp;G-2Yr'!AF57)*100</f>
        <v>2.0915409388339548</v>
      </c>
      <c r="H62" s="146">
        <f>('All Other E&amp;G-2Yr'!AF57+'Investment Income-2Yr'!AF57)/('Total E&amp;G-2Yr'!AF57)*100</f>
        <v>7.8312356140299775</v>
      </c>
      <c r="I62" s="146">
        <f t="shared" si="1"/>
        <v>-3.5941911661600301</v>
      </c>
      <c r="J62" s="146">
        <f t="shared" si="2"/>
        <v>-8.5518528754873913</v>
      </c>
      <c r="K62" s="129">
        <f t="shared" si="12"/>
        <v>0</v>
      </c>
      <c r="L62" s="146">
        <f t="shared" si="3"/>
        <v>5.5496852897930644</v>
      </c>
      <c r="M62" s="129">
        <f t="shared" si="4"/>
        <v>-1.0012462884337192</v>
      </c>
      <c r="N62" s="146">
        <f t="shared" si="14"/>
        <v>7.5976050402880499</v>
      </c>
      <c r="O62" s="37"/>
      <c r="P62" s="38">
        <f>('Tuition-2Yr'!AA57/'Total E&amp;G-2Yr'!AA57)*100</f>
        <v>51.219318315262385</v>
      </c>
      <c r="Q62" s="38">
        <f>('State Appropriations-2Yr'!AA57/'Total E&amp;G-2Yr'!AA57)*100</f>
        <v>34.783497815175956</v>
      </c>
      <c r="R62" s="38" t="str">
        <f>IF((('Local Appropriations-2Yr'!AA57/'Total E&amp;G-2Yr'!AA57)*100)&gt;=0.05,('Local Appropriations-2Yr'!AA57/'Total E&amp;G-2Yr'!AA57)*100,"*")</f>
        <v>*</v>
      </c>
      <c r="S62" s="38">
        <f>('Fed Contracts Grnts-2Yr'!AA57/'Total E&amp;G-2Yr'!AA57)*100</f>
        <v>10.670766068552076</v>
      </c>
      <c r="T62" s="38">
        <f>('Other Contracts Grnts-2Yr'!AA57/'Total E&amp;G-2Yr'!AA57)*100</f>
        <v>3.092787227267674</v>
      </c>
      <c r="U62" s="38">
        <f>IF(((('Investment Income-2Yr'!AA57+'All Other E&amp;G-2Yr'!AA57)/'Total E&amp;G-2Yr'!AA57)*100)&gt;=0.05,(('Investment Income-2Yr'!AA57+'All Other E&amp;G-2Yr'!AA57)/'Total E&amp;G-2Yr'!AA57)*100,"*")</f>
        <v>0.23363057374192797</v>
      </c>
      <c r="V62" s="38"/>
      <c r="W62" s="27">
        <f t="shared" si="5"/>
        <v>100.00000000000001</v>
      </c>
      <c r="X62" s="27">
        <f t="shared" si="6"/>
        <v>100</v>
      </c>
      <c r="Y62" s="3"/>
      <c r="Z62" s="188">
        <f t="shared" si="7"/>
        <v>34.783497815175956</v>
      </c>
      <c r="AA62" s="189">
        <f t="shared" si="13"/>
        <v>26.231644939688564</v>
      </c>
      <c r="AB62" s="188">
        <f t="shared" si="8"/>
        <v>13.763553295819751</v>
      </c>
      <c r="AC62" s="189">
        <f t="shared" si="9"/>
        <v>18.311992297179096</v>
      </c>
      <c r="AD62" s="188">
        <f t="shared" si="10"/>
        <v>100.00000000000003</v>
      </c>
      <c r="AE62" s="195">
        <f t="shared" si="11"/>
        <v>100</v>
      </c>
    </row>
    <row r="63" spans="1:31" s="24" customFormat="1">
      <c r="A63" s="119" t="s">
        <v>128</v>
      </c>
      <c r="B63" s="119"/>
      <c r="C63" s="128">
        <f>('Tuition-2Yr'!AF58/'Total E&amp;G-2Yr'!AF58)*100</f>
        <v>44.583068628204074</v>
      </c>
      <c r="D63" s="145">
        <f>('State Appropriations-2Yr'!AF58)/('Total E&amp;G-2Yr'!AF58)*100</f>
        <v>9.2231466308826615</v>
      </c>
      <c r="E63" s="128">
        <f>IF((('Local Appropriations-2Yr'!AF58/'Total E&amp;G-2Yr'!AF58)*100)=0,(('Local Appropriations-2Yr'!AF58/'Total E&amp;G-2Yr'!AF58)*100),IF((('Local Appropriations-2Yr'!AF58/'Total E&amp;G-2Yr'!AF58)*100)&gt;=0.05,('Local Appropriations-2Yr'!AF58/'Total E&amp;G-2Yr'!AF58)*100,"*"))</f>
        <v>13.643867346792735</v>
      </c>
      <c r="F63" s="145">
        <f>('Fed Contracts Grnts-2Yr'!AF58)/('Total E&amp;G-2Yr'!AF58)*100</f>
        <v>23.505737974801942</v>
      </c>
      <c r="G63" s="128">
        <f>('Other Contracts Grnts-2Yr'!AF58/'Total E&amp;G-2Yr'!AF58)*100</f>
        <v>6.5704859416344128</v>
      </c>
      <c r="H63" s="145">
        <f>('All Other E&amp;G-2Yr'!AF58+'Investment Income-2Yr'!AF58)/('Total E&amp;G-2Yr'!AF58)*100</f>
        <v>2.4736934776841828</v>
      </c>
      <c r="I63" s="147">
        <f t="shared" si="1"/>
        <v>2.6262859376029866</v>
      </c>
      <c r="J63" s="147">
        <f t="shared" si="2"/>
        <v>-3.0464614544464172</v>
      </c>
      <c r="K63" s="130">
        <f t="shared" si="12"/>
        <v>-3.9877690104747074</v>
      </c>
      <c r="L63" s="147">
        <f t="shared" si="3"/>
        <v>7.13249594960811</v>
      </c>
      <c r="M63" s="130">
        <f t="shared" si="4"/>
        <v>-1.7731726805888179</v>
      </c>
      <c r="N63" s="145">
        <f t="shared" si="14"/>
        <v>-0.95137874170113168</v>
      </c>
      <c r="O63" s="37"/>
      <c r="P63" s="38">
        <f>('Tuition-2Yr'!AA58/'Total E&amp;G-2Yr'!AA58)*100</f>
        <v>41.956782690601088</v>
      </c>
      <c r="Q63" s="38">
        <f>('State Appropriations-2Yr'!AA58/'Total E&amp;G-2Yr'!AA58)*100</f>
        <v>12.269608085329079</v>
      </c>
      <c r="R63" s="38">
        <f>IF((('Local Appropriations-2Yr'!AA58/'Total E&amp;G-2Yr'!AA58)*100)&gt;=0.05,('Local Appropriations-2Yr'!AA58/'Total E&amp;G-2Yr'!AA58)*100,"*")</f>
        <v>17.631636357267443</v>
      </c>
      <c r="S63" s="38">
        <f>('Fed Contracts Grnts-2Yr'!AA58/'Total E&amp;G-2Yr'!AA58)*100</f>
        <v>16.373242025193832</v>
      </c>
      <c r="T63" s="38">
        <f>('Other Contracts Grnts-2Yr'!AA58/'Total E&amp;G-2Yr'!AA58)*100</f>
        <v>8.3436586222232307</v>
      </c>
      <c r="U63" s="38">
        <f>IF(((('Investment Income-2Yr'!AA58+'All Other E&amp;G-2Yr'!AA58)/'Total E&amp;G-2Yr'!AA58)*100)&gt;=0.05,(('Investment Income-2Yr'!AA58+'All Other E&amp;G-2Yr'!AA58)/'Total E&amp;G-2Yr'!AA58)*100,"*")</f>
        <v>3.4250722193853145</v>
      </c>
      <c r="V63" s="38"/>
      <c r="W63" s="27">
        <f t="shared" si="5"/>
        <v>99.999999999999986</v>
      </c>
      <c r="X63" s="27">
        <f t="shared" si="6"/>
        <v>100.00000000000001</v>
      </c>
      <c r="Y63" s="3"/>
      <c r="Z63" s="188">
        <f t="shared" si="7"/>
        <v>29.901244442596521</v>
      </c>
      <c r="AA63" s="189">
        <f t="shared" si="13"/>
        <v>22.867013977675398</v>
      </c>
      <c r="AB63" s="188">
        <f t="shared" si="8"/>
        <v>24.716900647417063</v>
      </c>
      <c r="AC63" s="189">
        <f t="shared" si="9"/>
        <v>30.076223916436355</v>
      </c>
      <c r="AD63" s="188">
        <f t="shared" si="10"/>
        <v>99.999999999999986</v>
      </c>
      <c r="AE63" s="195">
        <f t="shared" si="11"/>
        <v>100.00000000000001</v>
      </c>
    </row>
    <row r="64" spans="1:31" s="24" customFormat="1">
      <c r="A64" s="119" t="s">
        <v>130</v>
      </c>
      <c r="B64" s="119"/>
      <c r="C64" s="128">
        <f>('Tuition-2Yr'!AF59/'Total E&amp;G-2Yr'!AF59)*100</f>
        <v>32.658944127012717</v>
      </c>
      <c r="D64" s="145">
        <f>('State Appropriations-2Yr'!AF59)/('Total E&amp;G-2Yr'!AF59)*100</f>
        <v>19.866571568646833</v>
      </c>
      <c r="E64" s="128">
        <f>IF((('Local Appropriations-2Yr'!AF59/'Total E&amp;G-2Yr'!AF59)*100)=0,(('Local Appropriations-2Yr'!AF59/'Total E&amp;G-2Yr'!AF59)*100),IF((('Local Appropriations-2Yr'!AF59/'Total E&amp;G-2Yr'!AF59)*100)&gt;=0.05,('Local Appropriations-2Yr'!AF59/'Total E&amp;G-2Yr'!AF59)*100,"*"))</f>
        <v>16.580049881557791</v>
      </c>
      <c r="F64" s="145">
        <f>('Fed Contracts Grnts-2Yr'!AF59)/('Total E&amp;G-2Yr'!AF59)*100</f>
        <v>19.331972874135346</v>
      </c>
      <c r="G64" s="128">
        <f>('Other Contracts Grnts-2Yr'!AF59/'Total E&amp;G-2Yr'!AF59)*100</f>
        <v>9.0406811831693172</v>
      </c>
      <c r="H64" s="145">
        <f>('All Other E&amp;G-2Yr'!AF59+'Investment Income-2Yr'!AF59)/('Total E&amp;G-2Yr'!AF59)*100</f>
        <v>2.5217803654779867</v>
      </c>
      <c r="I64" s="147">
        <f t="shared" si="1"/>
        <v>1.7360014876898475</v>
      </c>
      <c r="J64" s="147">
        <f t="shared" si="2"/>
        <v>-2.5703072381805931</v>
      </c>
      <c r="K64" s="130">
        <f t="shared" si="12"/>
        <v>-2.7024358737216723</v>
      </c>
      <c r="L64" s="147">
        <f t="shared" si="3"/>
        <v>4.790786021015613</v>
      </c>
      <c r="M64" s="130">
        <f t="shared" si="4"/>
        <v>0.15418042118455411</v>
      </c>
      <c r="N64" s="145">
        <f t="shared" si="14"/>
        <v>-1.4082248179877501</v>
      </c>
      <c r="O64" s="37"/>
      <c r="P64" s="38">
        <f>('Tuition-2Yr'!AA59/'Total E&amp;G-2Yr'!AA59)*100</f>
        <v>30.922942639322869</v>
      </c>
      <c r="Q64" s="38">
        <f>('State Appropriations-2Yr'!AA59/'Total E&amp;G-2Yr'!AA59)*100</f>
        <v>22.436878806827426</v>
      </c>
      <c r="R64" s="38">
        <f>IF((('Local Appropriations-2Yr'!AA59/'Total E&amp;G-2Yr'!AA59)*100)&gt;=0.05,('Local Appropriations-2Yr'!AA59/'Total E&amp;G-2Yr'!AA59)*100,"*")</f>
        <v>19.282485755279463</v>
      </c>
      <c r="S64" s="38">
        <f>('Fed Contracts Grnts-2Yr'!AA59/'Total E&amp;G-2Yr'!AA59)*100</f>
        <v>14.541186853119733</v>
      </c>
      <c r="T64" s="38">
        <f>('Other Contracts Grnts-2Yr'!AA59/'Total E&amp;G-2Yr'!AA59)*100</f>
        <v>8.8865007619847631</v>
      </c>
      <c r="U64" s="38">
        <f>IF(((('Investment Income-2Yr'!AA59+'All Other E&amp;G-2Yr'!AA59)/'Total E&amp;G-2Yr'!AA59)*100)&gt;=0.05,(('Investment Income-2Yr'!AA59+'All Other E&amp;G-2Yr'!AA59)/'Total E&amp;G-2Yr'!AA59)*100,"*")</f>
        <v>3.9300051834657368</v>
      </c>
      <c r="V64" s="38"/>
      <c r="W64" s="27">
        <f t="shared" si="5"/>
        <v>100</v>
      </c>
      <c r="X64" s="27">
        <f t="shared" si="6"/>
        <v>99.999999999999972</v>
      </c>
      <c r="Y64" s="3"/>
      <c r="Z64" s="188">
        <f t="shared" si="7"/>
        <v>41.71936456210689</v>
      </c>
      <c r="AA64" s="189">
        <f t="shared" si="13"/>
        <v>36.446621450204624</v>
      </c>
      <c r="AB64" s="188">
        <f t="shared" si="8"/>
        <v>23.427687615104496</v>
      </c>
      <c r="AC64" s="189">
        <f t="shared" si="9"/>
        <v>28.372654057304665</v>
      </c>
      <c r="AD64" s="188">
        <f t="shared" si="10"/>
        <v>99.999999999999986</v>
      </c>
      <c r="AE64" s="195">
        <f t="shared" si="11"/>
        <v>99.999999999999986</v>
      </c>
    </row>
    <row r="65" spans="1:31" s="24" customFormat="1">
      <c r="A65" s="119" t="s">
        <v>134</v>
      </c>
      <c r="B65" s="119"/>
      <c r="C65" s="128">
        <f>('Tuition-2Yr'!AF60/'Total E&amp;G-2Yr'!AF60)*100</f>
        <v>41.237673732852222</v>
      </c>
      <c r="D65" s="145">
        <f>('State Appropriations-2Yr'!AF60)/('Total E&amp;G-2Yr'!AF60)*100</f>
        <v>18.629528522429887</v>
      </c>
      <c r="E65" s="128">
        <f>IF((('Local Appropriations-2Yr'!AF60/'Total E&amp;G-2Yr'!AF60)*100)=0,(('Local Appropriations-2Yr'!AF60/'Total E&amp;G-2Yr'!AF60)*100),IF((('Local Appropriations-2Yr'!AF60/'Total E&amp;G-2Yr'!AF60)*100)&gt;=0.05,('Local Appropriations-2Yr'!AF60/'Total E&amp;G-2Yr'!AF60)*100,"*"))</f>
        <v>8.8401665050577307</v>
      </c>
      <c r="F65" s="145">
        <f>('Fed Contracts Grnts-2Yr'!AF60)/('Total E&amp;G-2Yr'!AF60)*100</f>
        <v>21.80051416680633</v>
      </c>
      <c r="G65" s="128">
        <f>('Other Contracts Grnts-2Yr'!AF60/'Total E&amp;G-2Yr'!AF60)*100</f>
        <v>4.04302904611668</v>
      </c>
      <c r="H65" s="145">
        <f>('All Other E&amp;G-2Yr'!AF60+'Investment Income-2Yr'!AF60)/('Total E&amp;G-2Yr'!AF60)*100</f>
        <v>5.4490880267371704</v>
      </c>
      <c r="I65" s="147">
        <f t="shared" si="1"/>
        <v>1.4480513710724878</v>
      </c>
      <c r="J65" s="147">
        <f t="shared" si="2"/>
        <v>-6.8278635699124095</v>
      </c>
      <c r="K65" s="130">
        <f t="shared" si="12"/>
        <v>-2.281021668362806</v>
      </c>
      <c r="L65" s="147">
        <f t="shared" si="3"/>
        <v>6.2324780472150394</v>
      </c>
      <c r="M65" s="130">
        <f t="shared" si="4"/>
        <v>0.15046318036659256</v>
      </c>
      <c r="N65" s="145">
        <f t="shared" si="14"/>
        <v>1.2778926396211139</v>
      </c>
      <c r="O65" s="37"/>
      <c r="P65" s="38">
        <f>('Tuition-2Yr'!AA60/'Total E&amp;G-2Yr'!AA60)*100</f>
        <v>39.789622361779735</v>
      </c>
      <c r="Q65" s="38">
        <f>('State Appropriations-2Yr'!AA60/'Total E&amp;G-2Yr'!AA60)*100</f>
        <v>25.457392092342296</v>
      </c>
      <c r="R65" s="38">
        <f>IF((('Local Appropriations-2Yr'!AA60/'Total E&amp;G-2Yr'!AA60)*100)&gt;=0.05,('Local Appropriations-2Yr'!AA60/'Total E&amp;G-2Yr'!AA60)*100,"*")</f>
        <v>11.121188173420537</v>
      </c>
      <c r="S65" s="38">
        <f>('Fed Contracts Grnts-2Yr'!AA60/'Total E&amp;G-2Yr'!AA60)*100</f>
        <v>15.568036119591291</v>
      </c>
      <c r="T65" s="38">
        <f>('Other Contracts Grnts-2Yr'!AA60/'Total E&amp;G-2Yr'!AA60)*100</f>
        <v>3.8925658657500875</v>
      </c>
      <c r="U65" s="38">
        <f>IF(((('Investment Income-2Yr'!AA60+'All Other E&amp;G-2Yr'!AA60)/'Total E&amp;G-2Yr'!AA60)*100)&gt;=0.05,(('Investment Income-2Yr'!AA60+'All Other E&amp;G-2Yr'!AA60)/'Total E&amp;G-2Yr'!AA60)*100,"*")</f>
        <v>4.1711953871160565</v>
      </c>
      <c r="V65" s="38"/>
      <c r="W65" s="27">
        <f t="shared" si="5"/>
        <v>99.999999999999986</v>
      </c>
      <c r="X65" s="27">
        <f t="shared" si="6"/>
        <v>100.00000000000003</v>
      </c>
      <c r="Y65" s="3"/>
      <c r="Z65" s="188">
        <f t="shared" si="7"/>
        <v>36.578580265762831</v>
      </c>
      <c r="AA65" s="189">
        <f t="shared" si="13"/>
        <v>27.469695027487617</v>
      </c>
      <c r="AB65" s="188">
        <f t="shared" si="8"/>
        <v>19.460601985341377</v>
      </c>
      <c r="AC65" s="189">
        <f t="shared" si="9"/>
        <v>25.843543212923009</v>
      </c>
      <c r="AD65" s="188">
        <f t="shared" si="10"/>
        <v>100</v>
      </c>
      <c r="AE65" s="195">
        <f t="shared" si="11"/>
        <v>100.00000000000003</v>
      </c>
    </row>
    <row r="66" spans="1:31" s="24" customFormat="1">
      <c r="A66" s="119" t="s">
        <v>135</v>
      </c>
      <c r="B66" s="119"/>
      <c r="C66" s="128">
        <f>('Tuition-2Yr'!AF61/'Total E&amp;G-2Yr'!AF61)*100</f>
        <v>38.5682805456171</v>
      </c>
      <c r="D66" s="145">
        <f>('State Appropriations-2Yr'!AF61)/('Total E&amp;G-2Yr'!AF61)*100</f>
        <v>32.315062096548864</v>
      </c>
      <c r="E66" s="128">
        <f>IF((('Local Appropriations-2Yr'!AF61/'Total E&amp;G-2Yr'!AF61)*100)=0,(('Local Appropriations-2Yr'!AF61/'Total E&amp;G-2Yr'!AF61)*100),IF((('Local Appropriations-2Yr'!AF61/'Total E&amp;G-2Yr'!AF61)*100)&gt;=0.05,('Local Appropriations-2Yr'!AF61/'Total E&amp;G-2Yr'!AF61)*100,"*"))</f>
        <v>0</v>
      </c>
      <c r="F66" s="145">
        <f>('Fed Contracts Grnts-2Yr'!AF61)/('Total E&amp;G-2Yr'!AF61)*100</f>
        <v>24.028668925756154</v>
      </c>
      <c r="G66" s="128">
        <f>('Other Contracts Grnts-2Yr'!AF61/'Total E&amp;G-2Yr'!AF61)*100</f>
        <v>2.1107804078355237</v>
      </c>
      <c r="H66" s="145">
        <f>('All Other E&amp;G-2Yr'!AF61+'Investment Income-2Yr'!AF61)/('Total E&amp;G-2Yr'!AF61)*100</f>
        <v>2.9772080242423433</v>
      </c>
      <c r="I66" s="147">
        <f t="shared" si="1"/>
        <v>0.20361386108662316</v>
      </c>
      <c r="J66" s="147">
        <f t="shared" si="2"/>
        <v>-7.7878658334229982</v>
      </c>
      <c r="K66" s="130">
        <f t="shared" si="12"/>
        <v>0</v>
      </c>
      <c r="L66" s="147">
        <f t="shared" si="3"/>
        <v>9.5483631560810291</v>
      </c>
      <c r="M66" s="130">
        <f t="shared" si="4"/>
        <v>-1.609523987865785</v>
      </c>
      <c r="N66" s="145">
        <f t="shared" si="14"/>
        <v>-0.35458719587887622</v>
      </c>
      <c r="O66" s="37"/>
      <c r="P66" s="38">
        <f>('Tuition-2Yr'!AA61/'Total E&amp;G-2Yr'!AA61)*100</f>
        <v>38.364666684530476</v>
      </c>
      <c r="Q66" s="38">
        <f>('State Appropriations-2Yr'!AA61/'Total E&amp;G-2Yr'!AA61)*100</f>
        <v>40.102927929971862</v>
      </c>
      <c r="R66" s="38" t="str">
        <f>IF((('Local Appropriations-2Yr'!AA61/'Total E&amp;G-2Yr'!AA61)*100)&gt;=0.05,('Local Appropriations-2Yr'!AA61/'Total E&amp;G-2Yr'!AA61)*100,"*")</f>
        <v>*</v>
      </c>
      <c r="S66" s="38">
        <f>('Fed Contracts Grnts-2Yr'!AA61/'Total E&amp;G-2Yr'!AA61)*100</f>
        <v>14.480305769675125</v>
      </c>
      <c r="T66" s="38">
        <f>('Other Contracts Grnts-2Yr'!AA61/'Total E&amp;G-2Yr'!AA61)*100</f>
        <v>3.7203043957013087</v>
      </c>
      <c r="U66" s="38">
        <f>IF(((('Investment Income-2Yr'!AA61+'All Other E&amp;G-2Yr'!AA61)/'Total E&amp;G-2Yr'!AA61)*100)&gt;=0.05,(('Investment Income-2Yr'!AA61+'All Other E&amp;G-2Yr'!AA61)/'Total E&amp;G-2Yr'!AA61)*100,"*")</f>
        <v>3.3317952201212195</v>
      </c>
      <c r="V66" s="38"/>
      <c r="W66" s="27">
        <f t="shared" si="5"/>
        <v>99.999999999999986</v>
      </c>
      <c r="X66" s="27">
        <f t="shared" si="6"/>
        <v>99.999999999999972</v>
      </c>
      <c r="Y66" s="3"/>
      <c r="Z66" s="188">
        <f t="shared" si="7"/>
        <v>40.102927929971862</v>
      </c>
      <c r="AA66" s="189">
        <f t="shared" si="13"/>
        <v>32.315062096548864</v>
      </c>
      <c r="AB66" s="188">
        <f t="shared" si="8"/>
        <v>18.200610165376432</v>
      </c>
      <c r="AC66" s="189">
        <f t="shared" si="9"/>
        <v>26.139449333591678</v>
      </c>
      <c r="AD66" s="188">
        <f t="shared" si="10"/>
        <v>100</v>
      </c>
      <c r="AE66" s="195">
        <f t="shared" si="11"/>
        <v>99.999999999999986</v>
      </c>
    </row>
    <row r="67" spans="1:31" s="24" customFormat="1">
      <c r="A67" s="116" t="s">
        <v>138</v>
      </c>
      <c r="B67" s="116"/>
      <c r="C67" s="197">
        <f>('Tuition-2Yr'!AF62/'Total E&amp;G-2Yr'!AF62)*100</f>
        <v>57.457200163518706</v>
      </c>
      <c r="D67" s="144">
        <f>('State Appropriations-2Yr'!AF62)/('Total E&amp;G-2Yr'!AF62)*100</f>
        <v>15.608383242709129</v>
      </c>
      <c r="E67" s="197">
        <f>IF((('Local Appropriations-2Yr'!AF62/'Total E&amp;G-2Yr'!AF62)*100)=0,(('Local Appropriations-2Yr'!AF62/'Total E&amp;G-2Yr'!AF62)*100),IF((('Local Appropriations-2Yr'!AF62/'Total E&amp;G-2Yr'!AF62)*100)&gt;=0.05,('Local Appropriations-2Yr'!AF62/'Total E&amp;G-2Yr'!AF62)*100,"*"))</f>
        <v>0</v>
      </c>
      <c r="F67" s="144">
        <f>('Fed Contracts Grnts-2Yr'!AF62)/('Total E&amp;G-2Yr'!AF62)*100</f>
        <v>22.295299779015394</v>
      </c>
      <c r="G67" s="197">
        <f>('Other Contracts Grnts-2Yr'!AF62/'Total E&amp;G-2Yr'!AF62)*100</f>
        <v>2.7260827992926213</v>
      </c>
      <c r="H67" s="199">
        <f>('All Other E&amp;G-2Yr'!AF62+'Investment Income-2Yr'!AF62)/('Total E&amp;G-2Yr'!AF62)*100</f>
        <v>1.9130340154641652</v>
      </c>
      <c r="I67" s="144">
        <f t="shared" si="1"/>
        <v>0.99759254881102066</v>
      </c>
      <c r="J67" s="144">
        <f t="shared" si="2"/>
        <v>-2.1332734392947703</v>
      </c>
      <c r="K67" s="135">
        <f t="shared" si="12"/>
        <v>0</v>
      </c>
      <c r="L67" s="144">
        <f t="shared" si="3"/>
        <v>6.6220071844318866</v>
      </c>
      <c r="M67" s="135">
        <f t="shared" si="4"/>
        <v>-0.328734445211877</v>
      </c>
      <c r="N67" s="144">
        <f t="shared" si="14"/>
        <v>-5.1575918487362333</v>
      </c>
      <c r="O67" s="37"/>
      <c r="P67" s="38">
        <f>('Tuition-2Yr'!AA62/'Total E&amp;G-2Yr'!AA62)*100</f>
        <v>56.459607614707686</v>
      </c>
      <c r="Q67" s="38">
        <f>('State Appropriations-2Yr'!AA62/'Total E&amp;G-2Yr'!AA62)*100</f>
        <v>17.741656682003899</v>
      </c>
      <c r="R67" s="38" t="str">
        <f>IF((('Local Appropriations-2Yr'!AA62/'Total E&amp;G-2Yr'!AA62)*100)&gt;=0.05,('Local Appropriations-2Yr'!AA62/'Total E&amp;G-2Yr'!AA62)*100,"*")</f>
        <v>*</v>
      </c>
      <c r="S67" s="38">
        <f>('Fed Contracts Grnts-2Yr'!AA62/'Total E&amp;G-2Yr'!AA62)*100</f>
        <v>15.673292594583508</v>
      </c>
      <c r="T67" s="38">
        <f>('Other Contracts Grnts-2Yr'!AA62/'Total E&amp;G-2Yr'!AA62)*100</f>
        <v>3.0548172445044983</v>
      </c>
      <c r="U67" s="38">
        <f>IF(((('Investment Income-2Yr'!AA62+'All Other E&amp;G-2Yr'!AA62)/'Total E&amp;G-2Yr'!AA62)*100)&gt;=0.05,(('Investment Income-2Yr'!AA62+'All Other E&amp;G-2Yr'!AA62)/'Total E&amp;G-2Yr'!AA62)*100,"*")</f>
        <v>7.070625864200399</v>
      </c>
      <c r="V67" s="38"/>
      <c r="W67" s="27">
        <f t="shared" si="5"/>
        <v>100</v>
      </c>
      <c r="X67" s="27">
        <f t="shared" si="6"/>
        <v>100.00000000000001</v>
      </c>
      <c r="Y67" s="3"/>
      <c r="Z67" s="188">
        <f t="shared" si="7"/>
        <v>17.741656682003899</v>
      </c>
      <c r="AA67" s="189">
        <f t="shared" si="13"/>
        <v>15.608383242709129</v>
      </c>
      <c r="AB67" s="188">
        <f t="shared" si="8"/>
        <v>18.728109839088006</v>
      </c>
      <c r="AC67" s="189">
        <f t="shared" si="9"/>
        <v>25.021382578308014</v>
      </c>
      <c r="AD67" s="188">
        <f t="shared" si="10"/>
        <v>100</v>
      </c>
      <c r="AE67" s="195">
        <f t="shared" si="11"/>
        <v>100.00000000000001</v>
      </c>
    </row>
    <row r="68" spans="1:31" s="24" customFormat="1">
      <c r="A68" s="124" t="s">
        <v>114</v>
      </c>
      <c r="B68" s="116"/>
      <c r="C68" s="135" t="s">
        <v>149</v>
      </c>
      <c r="D68" s="144" t="s">
        <v>149</v>
      </c>
      <c r="E68" s="135" t="s">
        <v>149</v>
      </c>
      <c r="F68" s="144" t="s">
        <v>149</v>
      </c>
      <c r="G68" s="135" t="s">
        <v>149</v>
      </c>
      <c r="H68" s="144" t="s">
        <v>149</v>
      </c>
      <c r="I68" s="144" t="s">
        <v>149</v>
      </c>
      <c r="J68" s="144" t="s">
        <v>149</v>
      </c>
      <c r="K68" s="135" t="s">
        <v>149</v>
      </c>
      <c r="L68" s="144" t="s">
        <v>149</v>
      </c>
      <c r="M68" s="135" t="s">
        <v>149</v>
      </c>
      <c r="N68" s="144" t="s">
        <v>149</v>
      </c>
      <c r="O68" s="37"/>
      <c r="P68" s="38" t="e">
        <f>('Tuition-2Yr'!Z63/'Total E&amp;G-2Yr'!Z63)*100</f>
        <v>#DIV/0!</v>
      </c>
      <c r="Q68" s="38" t="e">
        <f>('State Appropriations-2Yr'!Z63/'Total E&amp;G-2Yr'!Z63)*100</f>
        <v>#DIV/0!</v>
      </c>
      <c r="R68" s="38" t="e">
        <f>IF((('Local Appropriations-2Yr'!Z63/'Total E&amp;G-2Yr'!Z63)*100)&gt;=0.05,('Local Appropriations-2Yr'!Z63/'Total E&amp;G-2Yr'!Z63)*100,"*")</f>
        <v>#DIV/0!</v>
      </c>
      <c r="S68" s="38" t="e">
        <f>('Fed Contracts Grnts-2Yr'!Z63/'Total E&amp;G-2Yr'!Z63)*100</f>
        <v>#DIV/0!</v>
      </c>
      <c r="T68" s="38" t="e">
        <f>('Other Contracts Grnts-2Yr'!Z63/'Total E&amp;G-2Yr'!Z63)*100</f>
        <v>#DIV/0!</v>
      </c>
      <c r="U68" s="38" t="e">
        <f>IF(((('Investment Income-2Yr'!Z63+'All Other E&amp;G-2Yr'!Z63)/'Total E&amp;G-2Yr'!Z63)*100)&gt;=0.05,(('Investment Income-2Yr'!Z63+'All Other E&amp;G-2Yr'!Z63)/'Total E&amp;G-2Yr'!Z63)*100,"*")</f>
        <v>#DIV/0!</v>
      </c>
      <c r="V68" s="38"/>
      <c r="W68" s="27" t="e">
        <f t="shared" si="5"/>
        <v>#DIV/0!</v>
      </c>
      <c r="X68" s="27">
        <f t="shared" si="6"/>
        <v>0</v>
      </c>
      <c r="Y68" s="3"/>
      <c r="Z68" s="190" t="e">
        <f t="shared" si="7"/>
        <v>#DIV/0!</v>
      </c>
      <c r="AA68" s="191">
        <f t="shared" si="13"/>
        <v>0</v>
      </c>
      <c r="AB68" s="190" t="e">
        <f t="shared" si="8"/>
        <v>#DIV/0!</v>
      </c>
      <c r="AC68" s="191">
        <f t="shared" si="9"/>
        <v>0</v>
      </c>
      <c r="AD68" s="190" t="e">
        <f t="shared" si="10"/>
        <v>#DIV/0!</v>
      </c>
      <c r="AE68" s="196">
        <f t="shared" si="11"/>
        <v>0</v>
      </c>
    </row>
    <row r="69" spans="1:31" s="24" customFormat="1">
      <c r="A69" s="14"/>
      <c r="B69" s="14"/>
      <c r="C69" s="60"/>
      <c r="D69" s="60"/>
      <c r="E69" s="60"/>
      <c r="F69" s="60"/>
      <c r="G69" s="60"/>
      <c r="H69" s="60"/>
      <c r="I69" s="60"/>
      <c r="J69" s="60"/>
      <c r="K69" s="60"/>
      <c r="L69" s="60"/>
      <c r="M69" s="60"/>
      <c r="N69" s="60"/>
      <c r="O69" s="37"/>
      <c r="P69" s="38"/>
      <c r="Q69" s="38"/>
      <c r="R69" s="38"/>
      <c r="S69" s="38"/>
      <c r="T69" s="38"/>
      <c r="U69" s="38"/>
      <c r="V69" s="38"/>
      <c r="W69" s="27"/>
      <c r="X69" s="27"/>
      <c r="Y69" s="14"/>
      <c r="Z69" s="14"/>
      <c r="AA69" s="14"/>
      <c r="AB69" s="14"/>
      <c r="AC69" s="14"/>
      <c r="AD69" s="14"/>
      <c r="AE69" s="23"/>
    </row>
    <row r="70" spans="1:31" s="24" customFormat="1" ht="21" customHeight="1">
      <c r="A70" s="177" t="s">
        <v>150</v>
      </c>
      <c r="B70" s="57"/>
      <c r="C70" s="21"/>
      <c r="D70" s="12"/>
      <c r="E70" s="11"/>
      <c r="F70" s="12"/>
      <c r="G70" s="12"/>
      <c r="H70" s="12"/>
      <c r="K70" s="22"/>
      <c r="L70" s="12"/>
      <c r="M70" s="12"/>
      <c r="N70" s="12"/>
      <c r="O70" s="37"/>
      <c r="P70" s="12"/>
      <c r="Q70" s="12"/>
      <c r="R70" s="12"/>
      <c r="S70" s="12"/>
      <c r="T70" s="12"/>
      <c r="U70" s="12"/>
      <c r="V70" s="12"/>
      <c r="W70" s="27"/>
      <c r="X70" s="27"/>
      <c r="Y70" s="14"/>
      <c r="Z70" s="14"/>
      <c r="AA70" s="23"/>
      <c r="AB70" s="23"/>
      <c r="AC70" s="23"/>
      <c r="AD70" s="23"/>
    </row>
    <row r="71" spans="1:31" s="24" customFormat="1" ht="29.25" customHeight="1">
      <c r="A71" s="151" t="s">
        <v>148</v>
      </c>
      <c r="B71" s="57"/>
      <c r="C71" s="21"/>
      <c r="D71" s="12"/>
      <c r="E71" s="11"/>
      <c r="F71" s="12"/>
      <c r="G71" s="12"/>
      <c r="H71" s="12"/>
      <c r="I71" s="174" t="s">
        <v>16</v>
      </c>
      <c r="J71" s="228" t="s">
        <v>159</v>
      </c>
      <c r="K71" s="232"/>
      <c r="L71" s="232"/>
      <c r="M71" s="232"/>
      <c r="N71" s="232"/>
      <c r="O71" s="37"/>
      <c r="P71" s="12"/>
      <c r="Q71" s="12"/>
      <c r="R71" s="12"/>
      <c r="S71" s="12"/>
      <c r="T71" s="12"/>
      <c r="U71" s="12"/>
      <c r="V71" s="12"/>
      <c r="W71" s="27"/>
      <c r="X71" s="27"/>
      <c r="Y71" s="14"/>
      <c r="Z71" s="14"/>
      <c r="AA71" s="23"/>
      <c r="AB71" s="23"/>
      <c r="AC71" s="23"/>
      <c r="AD71" s="23"/>
    </row>
    <row r="72" spans="1:31" s="11" customFormat="1">
      <c r="B72" s="57"/>
      <c r="C72" s="21"/>
      <c r="D72" s="12"/>
      <c r="F72" s="12"/>
      <c r="G72" s="12"/>
      <c r="H72" s="12"/>
      <c r="J72" s="68"/>
      <c r="K72" s="176"/>
      <c r="L72" s="175"/>
      <c r="M72" s="175"/>
      <c r="N72" s="175"/>
      <c r="O72" s="37"/>
      <c r="P72" s="12"/>
      <c r="Q72" s="12"/>
      <c r="R72" s="12"/>
      <c r="S72" s="12"/>
      <c r="T72" s="12"/>
      <c r="U72" s="12"/>
      <c r="V72" s="12"/>
      <c r="W72" s="12"/>
      <c r="X72" s="12"/>
      <c r="Y72" s="12"/>
      <c r="Z72" s="12"/>
      <c r="AA72" s="12"/>
      <c r="AB72" s="12"/>
      <c r="AC72" s="12"/>
      <c r="AD72" s="12"/>
      <c r="AE72" s="13"/>
    </row>
    <row r="73" spans="1:31" s="11" customFormat="1" ht="126" customHeight="1">
      <c r="A73" s="226" t="s">
        <v>154</v>
      </c>
      <c r="B73" s="227"/>
      <c r="C73" s="227"/>
      <c r="D73" s="227"/>
      <c r="E73" s="227"/>
      <c r="F73" s="227"/>
      <c r="G73" s="227"/>
      <c r="H73" s="227"/>
      <c r="I73"/>
      <c r="J73"/>
      <c r="K73" s="22"/>
      <c r="L73" s="12"/>
      <c r="M73" s="12"/>
      <c r="N73" s="12"/>
      <c r="O73" s="37"/>
      <c r="P73" s="12"/>
      <c r="Q73" s="12"/>
      <c r="R73" s="12"/>
      <c r="S73" s="12"/>
      <c r="T73" s="12"/>
      <c r="U73" s="12"/>
      <c r="V73" s="12"/>
      <c r="W73" s="12"/>
      <c r="X73" s="12"/>
      <c r="Y73" s="12"/>
      <c r="Z73" s="12"/>
      <c r="AA73" s="12"/>
      <c r="AB73" s="12"/>
      <c r="AC73" s="12"/>
      <c r="AD73" s="12"/>
      <c r="AE73" s="13"/>
    </row>
    <row r="74" spans="1:31" s="11" customFormat="1" ht="26.25" customHeight="1">
      <c r="A74" s="226" t="s">
        <v>100</v>
      </c>
      <c r="B74" s="227"/>
      <c r="C74" s="227"/>
      <c r="D74" s="227"/>
      <c r="E74" s="227"/>
      <c r="F74" s="227"/>
      <c r="G74" s="227"/>
      <c r="H74" s="227"/>
      <c r="K74" s="22"/>
      <c r="L74" s="12"/>
      <c r="M74" s="12"/>
      <c r="N74" s="12"/>
      <c r="O74" s="12"/>
      <c r="P74" s="12"/>
      <c r="Q74" s="12"/>
      <c r="R74" s="12"/>
      <c r="S74" s="12"/>
      <c r="T74" s="12"/>
      <c r="U74" s="12"/>
      <c r="V74" s="12"/>
      <c r="W74" s="13"/>
      <c r="X74" s="13"/>
      <c r="Y74" s="13"/>
      <c r="Z74" s="13"/>
      <c r="AA74" s="13"/>
      <c r="AB74" s="13"/>
      <c r="AC74" s="13"/>
      <c r="AD74" s="13"/>
      <c r="AE74" s="13"/>
    </row>
    <row r="75" spans="1:31" ht="39.75" customHeight="1">
      <c r="A75" s="226" t="s">
        <v>156</v>
      </c>
      <c r="B75" s="227"/>
      <c r="C75" s="227"/>
      <c r="D75" s="227"/>
      <c r="E75" s="227"/>
      <c r="F75" s="227"/>
      <c r="G75" s="227"/>
      <c r="H75" s="227"/>
      <c r="K75" s="12"/>
      <c r="L75" s="12"/>
      <c r="M75" s="12"/>
      <c r="N75" s="12"/>
      <c r="O75" s="12"/>
      <c r="P75" s="12"/>
      <c r="Q75" s="12"/>
      <c r="R75" s="12"/>
      <c r="S75" s="12"/>
      <c r="T75" s="12"/>
      <c r="U75" s="12"/>
      <c r="V75" s="12"/>
      <c r="W75" s="13"/>
      <c r="X75" s="13"/>
      <c r="Y75" s="1"/>
      <c r="Z75" s="1"/>
      <c r="AA75" s="1"/>
      <c r="AB75" s="1"/>
      <c r="AC75" s="1"/>
      <c r="AD75" s="1"/>
      <c r="AE75" s="1"/>
    </row>
    <row r="76" spans="1:31">
      <c r="N76" s="204" t="s">
        <v>160</v>
      </c>
      <c r="O76" s="55"/>
      <c r="P76" s="55"/>
      <c r="Q76" s="55"/>
      <c r="R76" s="55"/>
      <c r="S76" s="55"/>
      <c r="T76" s="55"/>
      <c r="U76" s="55"/>
      <c r="V76" s="55"/>
    </row>
    <row r="77" spans="1:31">
      <c r="A77" s="54"/>
      <c r="B77" s="54"/>
      <c r="O77" s="55"/>
      <c r="P77" s="55"/>
      <c r="Q77" s="55"/>
      <c r="R77" s="55"/>
      <c r="S77" s="55"/>
      <c r="T77" s="55"/>
      <c r="U77" s="55"/>
      <c r="V77" s="55"/>
    </row>
    <row r="79" spans="1:31">
      <c r="Y79" s="58"/>
    </row>
  </sheetData>
  <mergeCells count="5">
    <mergeCell ref="Q7:R7"/>
    <mergeCell ref="A73:H73"/>
    <mergeCell ref="A74:H74"/>
    <mergeCell ref="A75:H75"/>
    <mergeCell ref="J71:N71"/>
  </mergeCells>
  <phoneticPr fontId="9" type="noConversion"/>
  <printOptions horizontalCentered="1"/>
  <pageMargins left="1" right="1" top="0.75" bottom="0.55000000000000004" header="0.5" footer="0.4"/>
  <pageSetup scale="60" orientation="portrait" verticalDpi="300" r:id="rId1"/>
  <headerFooter alignWithMargins="0">
    <oddFooter>&amp;L&amp;"Arial,Regular"SREB Fact Book&amp;R&amp;"Arial,Regular"&amp;D</oddFooter>
  </headerFooter>
  <colBreaks count="1" manualBreakCount="1">
    <brk id="23" max="34" man="1"/>
  </col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11">
    <tabColor indexed="58"/>
  </sheetPr>
  <dimension ref="A1:HE92"/>
  <sheetViews>
    <sheetView showZeros="0" zoomScaleNormal="100" workbookViewId="0">
      <pane xSplit="1" ySplit="3" topLeftCell="X4" activePane="bottomRight" state="frozen"/>
      <selection activeCell="O44" sqref="O44"/>
      <selection pane="topRight" activeCell="O44" sqref="O44"/>
      <selection pane="bottomLeft" activeCell="O44" sqref="O44"/>
      <selection pane="bottomRight" activeCell="AG52" sqref="AG52"/>
    </sheetView>
  </sheetViews>
  <sheetFormatPr defaultColWidth="9.7109375" defaultRowHeight="12.75"/>
  <cols>
    <col min="1" max="1" width="19.5703125" style="13" bestFit="1" customWidth="1"/>
    <col min="2" max="21" width="13.85546875" style="13" customWidth="1"/>
    <col min="22" max="25" width="13.85546875" style="53" customWidth="1"/>
    <col min="26" max="26" width="11.85546875" style="13" bestFit="1" customWidth="1"/>
    <col min="27" max="28" width="12" style="13" customWidth="1"/>
    <col min="29" max="32" width="11.7109375" style="13" bestFit="1" customWidth="1"/>
    <col min="33" max="33" width="11.7109375" style="13" customWidth="1"/>
    <col min="34" max="177" width="9.7109375" style="13"/>
    <col min="178" max="178" width="11.7109375" style="13" customWidth="1"/>
    <col min="179" max="202" width="9.7109375" style="13"/>
    <col min="203" max="203" width="5.7109375" style="13" customWidth="1"/>
    <col min="204" max="204" width="6.7109375" style="13" customWidth="1"/>
    <col min="205" max="206" width="8.7109375" style="13" customWidth="1"/>
    <col min="207" max="208" width="6.7109375" style="13" customWidth="1"/>
    <col min="209" max="210" width="8.7109375" style="13" customWidth="1"/>
    <col min="211" max="212" width="6.7109375" style="13" customWidth="1"/>
    <col min="213" max="213" width="1.7109375" style="13" customWidth="1"/>
    <col min="214" max="16384" width="9.7109375" style="13"/>
  </cols>
  <sheetData>
    <row r="1" spans="1:213">
      <c r="A1" s="16" t="s">
        <v>89</v>
      </c>
      <c r="B1" s="16"/>
      <c r="C1" s="16"/>
      <c r="D1" s="16"/>
      <c r="E1" s="16"/>
      <c r="F1" s="16"/>
      <c r="G1" s="16"/>
      <c r="H1" s="16"/>
      <c r="I1" s="16"/>
      <c r="J1" s="16"/>
      <c r="K1" s="16"/>
      <c r="L1" s="12"/>
      <c r="M1" s="12"/>
      <c r="N1" s="12"/>
      <c r="O1" s="12"/>
      <c r="P1" s="12"/>
      <c r="Q1" s="12"/>
      <c r="R1" s="12"/>
      <c r="S1" s="12"/>
      <c r="T1" s="12"/>
      <c r="U1" s="12"/>
      <c r="V1" s="15"/>
      <c r="W1" s="15"/>
      <c r="X1" s="15"/>
      <c r="Y1" s="15"/>
      <c r="Z1" s="15"/>
      <c r="AA1" s="15"/>
      <c r="AB1" s="15"/>
      <c r="AC1" s="15"/>
      <c r="AD1" s="15"/>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row>
    <row r="2" spans="1:213">
      <c r="A2" s="96" t="s">
        <v>96</v>
      </c>
      <c r="B2" s="16"/>
      <c r="C2" s="16"/>
      <c r="D2" s="16"/>
      <c r="E2" s="16"/>
      <c r="F2" s="16"/>
      <c r="G2" s="16"/>
      <c r="H2" s="16"/>
      <c r="I2" s="16"/>
      <c r="J2" s="16"/>
      <c r="K2" s="16"/>
      <c r="L2" s="12"/>
      <c r="M2" s="12"/>
      <c r="N2" s="12"/>
      <c r="O2" s="12"/>
      <c r="P2" s="12"/>
      <c r="Q2" s="12"/>
      <c r="R2" s="12"/>
      <c r="S2" s="12"/>
      <c r="T2" s="12"/>
      <c r="U2" s="12"/>
      <c r="V2" s="15"/>
      <c r="W2" s="15"/>
      <c r="X2" s="15"/>
      <c r="Y2" s="15"/>
      <c r="Z2" s="15"/>
      <c r="AA2" s="15"/>
      <c r="AB2" s="15"/>
      <c r="AC2" s="15"/>
      <c r="AD2" s="15"/>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row>
    <row r="3" spans="1:213">
      <c r="B3" s="70">
        <v>1984</v>
      </c>
      <c r="C3" s="70">
        <v>1985</v>
      </c>
      <c r="D3" s="70">
        <v>1986</v>
      </c>
      <c r="E3" s="70">
        <v>1987</v>
      </c>
      <c r="F3" s="70">
        <v>1988</v>
      </c>
      <c r="G3" s="70">
        <v>1989</v>
      </c>
      <c r="H3" s="52">
        <v>1990</v>
      </c>
      <c r="I3" s="52">
        <v>1991</v>
      </c>
      <c r="J3" s="52">
        <v>1992</v>
      </c>
      <c r="K3" s="52">
        <v>1993</v>
      </c>
      <c r="L3" s="52">
        <v>1994</v>
      </c>
      <c r="M3" s="52">
        <v>1995</v>
      </c>
      <c r="N3" s="52">
        <v>1996</v>
      </c>
      <c r="O3" s="52">
        <v>1997</v>
      </c>
      <c r="P3" s="52">
        <v>1998</v>
      </c>
      <c r="Q3" s="52">
        <v>1999</v>
      </c>
      <c r="R3" s="52">
        <v>2000</v>
      </c>
      <c r="S3" s="81">
        <v>2001</v>
      </c>
      <c r="T3" s="52">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c r="HC3" s="12"/>
      <c r="HD3" s="12"/>
      <c r="HE3" s="12"/>
    </row>
    <row r="4" spans="1:213" ht="12.75" customHeight="1">
      <c r="A4" s="85" t="s">
        <v>142</v>
      </c>
      <c r="B4" s="99">
        <f>+'Tuition-4Yr'!B4+'State Appropriations-4Yr'!B4+'Local Appropriations-4Yr'!B4+'Fed Contracts Grnts-4Yr'!B4+'Other Contract Grnts-4Yr'!B4+'Investment Income-4Yr'!B4+'All Other E&amp;G-4Yr'!B4</f>
        <v>36491253</v>
      </c>
      <c r="C4" s="99">
        <f>+'Tuition-4Yr'!C4+'State Appropriations-4Yr'!C4+'Local Appropriations-4Yr'!C4+'Fed Contracts Grnts-4Yr'!C4+'Other Contract Grnts-4Yr'!C4+'Investment Income-4Yr'!C4+'All Other E&amp;G-4Yr'!C4</f>
        <v>40526566</v>
      </c>
      <c r="D4" s="99">
        <f>+'Tuition-4Yr'!D4+'State Appropriations-4Yr'!D4+'Local Appropriations-4Yr'!D4+'Fed Contracts Grnts-4Yr'!D4+'Other Contract Grnts-4Yr'!D4+'Investment Income-4Yr'!D4+'All Other E&amp;G-4Yr'!D4</f>
        <v>44270393</v>
      </c>
      <c r="E4" s="99">
        <f>+'Tuition-4Yr'!E4+'State Appropriations-4Yr'!E4+'Local Appropriations-4Yr'!E4+'Fed Contracts Grnts-4Yr'!E4+'Other Contract Grnts-4Yr'!E4+'Investment Income-4Yr'!E4+'All Other E&amp;G-4Yr'!E4</f>
        <v>0</v>
      </c>
      <c r="F4" s="99">
        <f>+'Tuition-4Yr'!F4+'State Appropriations-4Yr'!F4+'Local Appropriations-4Yr'!F4+'Fed Contracts Grnts-4Yr'!F4+'Other Contract Grnts-4Yr'!F4+'Investment Income-4Yr'!F4+'All Other E&amp;G-4Yr'!F4</f>
        <v>0</v>
      </c>
      <c r="G4" s="99">
        <f>+'Tuition-4Yr'!G4+'State Appropriations-4Yr'!G4+'Local Appropriations-4Yr'!G4+'Fed Contracts Grnts-4Yr'!G4+'Other Contract Grnts-4Yr'!G4+'Investment Income-4Yr'!G4+'All Other E&amp;G-4Yr'!G4</f>
        <v>0</v>
      </c>
      <c r="H4" s="99">
        <f>+'Tuition-4Yr'!H4+'State Appropriations-4Yr'!H4+'Local Appropriations-4Yr'!H4+'Fed Contracts Grnts-4Yr'!H4+'Other Contract Grnts-4Yr'!H4+'Investment Income-4Yr'!H4+'All Other E&amp;G-4Yr'!H4</f>
        <v>0</v>
      </c>
      <c r="I4" s="99">
        <f>+'Tuition-4Yr'!I4+'State Appropriations-4Yr'!I4+'Local Appropriations-4Yr'!I4+'Fed Contracts Grnts-4Yr'!I4+'Other Contract Grnts-4Yr'!I4+'Investment Income-4Yr'!I4+'All Other E&amp;G-4Yr'!I4</f>
        <v>61124263.238000005</v>
      </c>
      <c r="J4" s="99">
        <f>+'Tuition-4Yr'!J4+'State Appropriations-4Yr'!J4+'Local Appropriations-4Yr'!J4+'Fed Contracts Grnts-4Yr'!J4+'Other Contract Grnts-4Yr'!J4+'Investment Income-4Yr'!J4+'All Other E&amp;G-4Yr'!J4</f>
        <v>63588786.758999996</v>
      </c>
      <c r="K4" s="99">
        <f>+'Tuition-4Yr'!K4+'State Appropriations-4Yr'!K4+'Local Appropriations-4Yr'!K4+'Fed Contracts Grnts-4Yr'!K4+'Other Contract Grnts-4Yr'!K4+'Investment Income-4Yr'!K4+'All Other E&amp;G-4Yr'!K4</f>
        <v>68577157.089333341</v>
      </c>
      <c r="L4" s="99">
        <f>+'Tuition-4Yr'!L4+'State Appropriations-4Yr'!L4+'Local Appropriations-4Yr'!L4+'Fed Contracts Grnts-4Yr'!L4+'Other Contract Grnts-4Yr'!L4+'Investment Income-4Yr'!L4+'All Other E&amp;G-4Yr'!L4</f>
        <v>71199254.301666677</v>
      </c>
      <c r="M4" s="99">
        <f>+'Tuition-4Yr'!M4+'State Appropriations-4Yr'!M4+'Local Appropriations-4Yr'!M4+'Fed Contracts Grnts-4Yr'!M4+'Other Contract Grnts-4Yr'!M4+'Investment Income-4Yr'!M4+'All Other E&amp;G-4Yr'!M4</f>
        <v>73659002.187000006</v>
      </c>
      <c r="N4" s="99">
        <f>+'Tuition-4Yr'!N4+'State Appropriations-4Yr'!N4+'Local Appropriations-4Yr'!N4+'Fed Contracts Grnts-4Yr'!N4+'Other Contract Grnts-4Yr'!N4+'Investment Income-4Yr'!N4+'All Other E&amp;G-4Yr'!N4</f>
        <v>80143217.048749998</v>
      </c>
      <c r="O4" s="99">
        <f>+'Tuition-4Yr'!O4+'State Appropriations-4Yr'!O4+'Local Appropriations-4Yr'!O4+'Fed Contracts Grnts-4Yr'!O4+'Other Contract Grnts-4Yr'!O4+'Investment Income-4Yr'!O4+'All Other E&amp;G-4Yr'!O4</f>
        <v>83891295.351650015</v>
      </c>
      <c r="P4" s="99">
        <f>+'Tuition-4Yr'!P4+'State Appropriations-4Yr'!P4+'Local Appropriations-4Yr'!P4+'Fed Contracts Grnts-4Yr'!P4+'Other Contract Grnts-4Yr'!P4+'Investment Income-4Yr'!P4+'All Other E&amp;G-4Yr'!P4</f>
        <v>0</v>
      </c>
      <c r="Q4" s="99">
        <f>+'Tuition-4Yr'!Q4+'State Appropriations-4Yr'!Q4+'Local Appropriations-4Yr'!Q4+'Fed Contracts Grnts-4Yr'!Q4+'Other Contract Grnts-4Yr'!Q4+'Investment Income-4Yr'!Q4+'All Other E&amp;G-4Yr'!Q4</f>
        <v>0</v>
      </c>
      <c r="R4" s="99">
        <f>+'Tuition-4Yr'!R4+'State Appropriations-4Yr'!R4+'Local Appropriations-4Yr'!R4+'Fed Contracts Grnts-4Yr'!R4+'Other Contract Grnts-4Yr'!R4+'Investment Income-4Yr'!R4+'All Other E&amp;G-4Yr'!R4</f>
        <v>99515081.333000004</v>
      </c>
      <c r="S4" s="99">
        <f>+'Tuition-4Yr'!S4+'State Appropriations-4Yr'!S4+'Local Appropriations-4Yr'!S4+'Fed Contracts Grnts-4Yr'!S4+'Other Contract Grnts-4Yr'!S4+'Investment Income-4Yr'!S4+'All Other E&amp;G-4Yr'!S4</f>
        <v>106654948.51900001</v>
      </c>
      <c r="T4" s="99">
        <f>+'Tuition-4Yr'!T4+'State Appropriations-4Yr'!T4+'Local Appropriations-4Yr'!T4+'Fed Contracts Grnts-4Yr'!T4+'Other Contract Grnts-4Yr'!T4+'Investment Income-4Yr'!T4+'All Other E&amp;G-4Yr'!T4</f>
        <v>112977950.25299999</v>
      </c>
      <c r="U4" s="99">
        <f>+'Tuition-4Yr'!U4+'State Appropriations-4Yr'!U4+'Local Appropriations-4Yr'!U4+'Fed Contracts Grnts-4Yr'!U4+'Other Contract Grnts-4Yr'!U4+'Investment Income-4Yr'!U4+'All Other E&amp;G-4Yr'!U4</f>
        <v>114591805.03700002</v>
      </c>
      <c r="V4" s="99">
        <f>+'Tuition-4Yr'!V4+'State Appropriations-4Yr'!V4+'Local Appropriations-4Yr'!V4+'Fed Contracts Grnts-4Yr'!V4+'Other Contract Grnts-4Yr'!V4+'Investment Income-4Yr'!V4+'All Other E&amp;G-4Yr'!V4</f>
        <v>122312798.13999999</v>
      </c>
      <c r="W4" s="99">
        <f>+'Tuition-4Yr'!W4+'State Appropriations-4Yr'!W4+'Local Appropriations-4Yr'!W4+'Fed Contracts Grnts-4Yr'!W4+'Other Contract Grnts-4Yr'!W4+'Investment Income-4Yr'!W4+'All Other E&amp;G-4Yr'!W4</f>
        <v>139493848.81</v>
      </c>
      <c r="X4" s="99">
        <f>+'Tuition-4Yr'!X4+'State Appropriations-4Yr'!X4+'Local Appropriations-4Yr'!X4+'Fed Contracts Grnts-4Yr'!X4+'Other Contract Grnts-4Yr'!X4+'Investment Income-4Yr'!X4+'All Other E&amp;G-4Yr'!X4</f>
        <v>137849921.28600001</v>
      </c>
      <c r="Y4" s="99">
        <f>+'Tuition-4Yr'!Y4+'State Appropriations-4Yr'!Y4+'Local Appropriations-4Yr'!Y4+'Fed Contracts Grnts-4Yr'!Y4+'Other Contract Grnts-4Yr'!Y4+'Investment Income-4Yr'!Y4+'All Other E&amp;G-4Yr'!Y4</f>
        <v>150844542.5</v>
      </c>
      <c r="Z4" s="99">
        <f>+'Tuition-4Yr'!Z4+'State Appropriations-4Yr'!Z4+'Local Appropriations-4Yr'!Z4+'Fed Contracts Grnts-4Yr'!Z4+'Other Contract Grnts-4Yr'!Z4+'Investment Income-4Yr'!Z4+'All Other E&amp;G-4Yr'!Z4</f>
        <v>152899003.60999998</v>
      </c>
      <c r="AA4" s="99">
        <f>+'Tuition-4Yr'!AA4+'State Appropriations-4Yr'!AA4+'Local Appropriations-4Yr'!AA4+'Fed Contracts Grnts-4Yr'!AA4+'Other Contract Grnts-4Yr'!AA4+'Investment Income-4Yr'!AA4+'All Other E&amp;G-4Yr'!AA4</f>
        <v>143200059.96799999</v>
      </c>
      <c r="AB4" s="99">
        <f>+'Tuition-4Yr'!AB4+'State Appropriations-4Yr'!AB4+'Local Appropriations-4Yr'!AB4+'Fed Contracts Grnts-4Yr'!AB4+'Other Contract Grnts-4Yr'!AB4+'Investment Income-4Yr'!AB4+'All Other E&amp;G-4Yr'!AB4</f>
        <v>182093018.59599999</v>
      </c>
      <c r="AC4" s="99">
        <f>+'Tuition-4Yr'!AC4+'State Appropriations-4Yr'!AC4+'Local Appropriations-4Yr'!AC4+'Fed Contracts Grnts-4Yr'!AC4+'Other Contract Grnts-4Yr'!AC4+'Investment Income-4Yr'!AC4+'All Other E&amp;G-4Yr'!AC4</f>
        <v>195153290</v>
      </c>
      <c r="AD4" s="99">
        <f>+'Tuition-4Yr'!AD4+'State Appropriations-4Yr'!AD4+'Local Appropriations-4Yr'!AD4+'Fed Contracts Grnts-4Yr'!AD4+'Other Contract Grnts-4Yr'!AD4+'Investment Income-4Yr'!AD4+'All Other E&amp;G-4Yr'!AD4</f>
        <v>190280613.91500002</v>
      </c>
      <c r="AE4" s="99">
        <f>+'Tuition-4Yr'!AE4+'State Appropriations-4Yr'!AE4+'Local Appropriations-4Yr'!AE4+'Fed Contracts Grnts-4Yr'!AE4+'Other Contract Grnts-4Yr'!AE4+'Investment Income-4Yr'!AE4+'All Other E&amp;G-4Yr'!AE4</f>
        <v>198123156.64699998</v>
      </c>
      <c r="AF4" s="99">
        <f>+'Tuition-4Yr'!AF4+'State Appropriations-4Yr'!AF4+'Local Appropriations-4Yr'!AF4+'Fed Contracts Grnts-4Yr'!AF4+'Other Contract Grnts-4Yr'!AF4+'Investment Income-4Yr'!AF4+'All Other E&amp;G-4Yr'!AF4</f>
        <v>196789007.39000002</v>
      </c>
      <c r="AG4" s="99">
        <f>+'Tuition-4Yr'!AG4+'State Appropriations-4Yr'!AG4+'Local Appropriations-4Yr'!AG4+'Fed Contracts Grnts-4Yr'!AG4+'Other Contract Grnts-4Yr'!AG4+'Investment Income-4Yr'!AG4+'All Other E&amp;G-4Yr'!AG4</f>
        <v>207048822.30000001</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row>
    <row r="5" spans="1:213" ht="12.75" customHeight="1">
      <c r="A5" s="14" t="s">
        <v>61</v>
      </c>
      <c r="B5" s="101">
        <f>+'Tuition-4Yr'!B5+'State Appropriations-4Yr'!B5+'Local Appropriations-4Yr'!B5+'Fed Contracts Grnts-4Yr'!B5+'Other Contract Grnts-4Yr'!B5+'Investment Income-4Yr'!B5+'All Other E&amp;G-4Yr'!B5</f>
        <v>3290568</v>
      </c>
      <c r="C5" s="101">
        <f>+'Tuition-4Yr'!C5+'State Appropriations-4Yr'!C5+'Local Appropriations-4Yr'!C5+'Fed Contracts Grnts-4Yr'!C5+'Other Contract Grnts-4Yr'!C5+'Investment Income-4Yr'!C5+'All Other E&amp;G-4Yr'!C5</f>
        <v>3687757</v>
      </c>
      <c r="D5" s="101">
        <f>+'Tuition-4Yr'!D5+'State Appropriations-4Yr'!D5+'Local Appropriations-4Yr'!D5+'Fed Contracts Grnts-4Yr'!D5+'Other Contract Grnts-4Yr'!D5+'Investment Income-4Yr'!D5+'All Other E&amp;G-4Yr'!D5</f>
        <v>4292063</v>
      </c>
      <c r="E5" s="101">
        <f>+'Tuition-4Yr'!E5+'State Appropriations-4Yr'!E5+'Local Appropriations-4Yr'!E5+'Fed Contracts Grnts-4Yr'!E5+'Other Contract Grnts-4Yr'!E5+'Investment Income-4Yr'!E5+'All Other E&amp;G-4Yr'!E5</f>
        <v>0</v>
      </c>
      <c r="F5" s="101">
        <f>+'Tuition-4Yr'!F5+'State Appropriations-4Yr'!F5+'Local Appropriations-4Yr'!F5+'Fed Contracts Grnts-4Yr'!F5+'Other Contract Grnts-4Yr'!F5+'Investment Income-4Yr'!F5+'All Other E&amp;G-4Yr'!F5</f>
        <v>0</v>
      </c>
      <c r="G5" s="101">
        <f>+'Tuition-4Yr'!G5+'State Appropriations-4Yr'!G5+'Local Appropriations-4Yr'!G5+'Fed Contracts Grnts-4Yr'!G5+'Other Contract Grnts-4Yr'!G5+'Investment Income-4Yr'!G5+'All Other E&amp;G-4Yr'!G5</f>
        <v>0</v>
      </c>
      <c r="H5" s="101">
        <f>+'Tuition-4Yr'!H5+'State Appropriations-4Yr'!H5+'Local Appropriations-4Yr'!H5+'Fed Contracts Grnts-4Yr'!H5+'Other Contract Grnts-4Yr'!H5+'Investment Income-4Yr'!H5+'All Other E&amp;G-4Yr'!H5</f>
        <v>0</v>
      </c>
      <c r="I5" s="101">
        <f>+'Tuition-4Yr'!I5+'State Appropriations-4Yr'!I5+'Local Appropriations-4Yr'!I5+'Fed Contracts Grnts-4Yr'!I5+'Other Contract Grnts-4Yr'!I5+'Investment Income-4Yr'!I5+'All Other E&amp;G-4Yr'!I5</f>
        <v>6711637.1349999998</v>
      </c>
      <c r="J5" s="101">
        <f>+'Tuition-4Yr'!J5+'State Appropriations-4Yr'!J5+'Local Appropriations-4Yr'!J5+'Fed Contracts Grnts-4Yr'!J5+'Other Contract Grnts-4Yr'!J5+'Investment Income-4Yr'!J5+'All Other E&amp;G-4Yr'!J5</f>
        <v>21460234.850000001</v>
      </c>
      <c r="K5" s="101">
        <f>+'Tuition-4Yr'!K5+'State Appropriations-4Yr'!K5+'Local Appropriations-4Yr'!K5+'Fed Contracts Grnts-4Yr'!K5+'Other Contract Grnts-4Yr'!K5+'Investment Income-4Yr'!K5+'All Other E&amp;G-4Yr'!K5</f>
        <v>4557524.8639999991</v>
      </c>
      <c r="L5" s="101">
        <f>+'Tuition-4Yr'!L5+'State Appropriations-4Yr'!L5+'Local Appropriations-4Yr'!L5+'Fed Contracts Grnts-4Yr'!L5+'Other Contract Grnts-4Yr'!L5+'Investment Income-4Yr'!L5+'All Other E&amp;G-4Yr'!L5</f>
        <v>4809146.3910000008</v>
      </c>
      <c r="M5" s="101">
        <f>+'Tuition-4Yr'!M5+'State Appropriations-4Yr'!M5+'Local Appropriations-4Yr'!M5+'Fed Contracts Grnts-4Yr'!M5+'Other Contract Grnts-4Yr'!M5+'Investment Income-4Yr'!M5+'All Other E&amp;G-4Yr'!M5</f>
        <v>25820167.825000003</v>
      </c>
      <c r="N5" s="101">
        <f>+'Tuition-4Yr'!N5+'State Appropriations-4Yr'!N5+'Local Appropriations-4Yr'!N5+'Fed Contracts Grnts-4Yr'!N5+'Other Contract Grnts-4Yr'!N5+'Investment Income-4Yr'!N5+'All Other E&amp;G-4Yr'!N5</f>
        <v>9814790.7653000001</v>
      </c>
      <c r="O5" s="101">
        <f>+'Tuition-4Yr'!O5+'State Appropriations-4Yr'!O5+'Local Appropriations-4Yr'!O5+'Fed Contracts Grnts-4Yr'!O5+'Other Contract Grnts-4Yr'!O5+'Investment Income-4Yr'!O5+'All Other E&amp;G-4Yr'!O5</f>
        <v>29436641.079719998</v>
      </c>
      <c r="P5" s="101">
        <f>+'Tuition-4Yr'!P5+'State Appropriations-4Yr'!P5+'Local Appropriations-4Yr'!P5+'Fed Contracts Grnts-4Yr'!P5+'Other Contract Grnts-4Yr'!P5+'Investment Income-4Yr'!P5+'All Other E&amp;G-4Yr'!P5</f>
        <v>0</v>
      </c>
      <c r="Q5" s="101">
        <f>+'Tuition-4Yr'!Q5+'State Appropriations-4Yr'!Q5+'Local Appropriations-4Yr'!Q5+'Fed Contracts Grnts-4Yr'!Q5+'Other Contract Grnts-4Yr'!Q5+'Investment Income-4Yr'!Q5+'All Other E&amp;G-4Yr'!Q5</f>
        <v>0</v>
      </c>
      <c r="R5" s="101">
        <f>+'Tuition-4Yr'!R5+'State Appropriations-4Yr'!R5+'Local Appropriations-4Yr'!R5+'Fed Contracts Grnts-4Yr'!R5+'Other Contract Grnts-4Yr'!R5+'Investment Income-4Yr'!R5+'All Other E&amp;G-4Yr'!R5</f>
        <v>35871104.201999992</v>
      </c>
      <c r="S5" s="101">
        <f>+'Tuition-4Yr'!S5+'State Appropriations-4Yr'!S5+'Local Appropriations-4Yr'!S5+'Fed Contracts Grnts-4Yr'!S5+'Other Contract Grnts-4Yr'!S5+'Investment Income-4Yr'!S5+'All Other E&amp;G-4Yr'!S5</f>
        <v>38660823.399999999</v>
      </c>
      <c r="T5" s="101">
        <f>+'Tuition-4Yr'!T5+'State Appropriations-4Yr'!T5+'Local Appropriations-4Yr'!T5+'Fed Contracts Grnts-4Yr'!T5+'Other Contract Grnts-4Yr'!T5+'Investment Income-4Yr'!T5+'All Other E&amp;G-4Yr'!T5</f>
        <v>42549084.354999997</v>
      </c>
      <c r="U5" s="101">
        <f>+'Tuition-4Yr'!U5+'State Appropriations-4Yr'!U5+'Local Appropriations-4Yr'!U5+'Fed Contracts Grnts-4Yr'!U5+'Other Contract Grnts-4Yr'!U5+'Investment Income-4Yr'!U5+'All Other E&amp;G-4Yr'!U5</f>
        <v>44602086.175000004</v>
      </c>
      <c r="V5" s="101">
        <f>+'Tuition-4Yr'!V5+'State Appropriations-4Yr'!V5+'Local Appropriations-4Yr'!V5+'Fed Contracts Grnts-4Yr'!V5+'Other Contract Grnts-4Yr'!V5+'Investment Income-4Yr'!V5+'All Other E&amp;G-4Yr'!V5</f>
        <v>46982833.590999998</v>
      </c>
      <c r="W5" s="101">
        <f>+'Tuition-4Yr'!W5+'State Appropriations-4Yr'!W5+'Local Appropriations-4Yr'!W5+'Fed Contracts Grnts-4Yr'!W5+'Other Contract Grnts-4Yr'!W5+'Investment Income-4Yr'!W5+'All Other E&amp;G-4Yr'!W5</f>
        <v>53529049.072999999</v>
      </c>
      <c r="X5" s="101">
        <f>+'Tuition-4Yr'!X5+'State Appropriations-4Yr'!X5+'Local Appropriations-4Yr'!X5+'Fed Contracts Grnts-4Yr'!X5+'Other Contract Grnts-4Yr'!X5+'Investment Income-4Yr'!X5+'All Other E&amp;G-4Yr'!X5</f>
        <v>52821745.122999996</v>
      </c>
      <c r="Y5" s="101">
        <f>+'Tuition-4Yr'!Y5+'State Appropriations-4Yr'!Y5+'Local Appropriations-4Yr'!Y5+'Fed Contracts Grnts-4Yr'!Y5+'Other Contract Grnts-4Yr'!Y5+'Investment Income-4Yr'!Y5+'All Other E&amp;G-4Yr'!Y5</f>
        <v>58436087.300999999</v>
      </c>
      <c r="Z5" s="101">
        <f>+'Tuition-4Yr'!Z5+'State Appropriations-4Yr'!Z5+'Local Appropriations-4Yr'!Z5+'Fed Contracts Grnts-4Yr'!Z5+'Other Contract Grnts-4Yr'!Z5+'Investment Income-4Yr'!Z5+'All Other E&amp;G-4Yr'!Z5</f>
        <v>59215181.116999991</v>
      </c>
      <c r="AA5" s="101">
        <f>+'Tuition-4Yr'!AA5+'State Appropriations-4Yr'!AA5+'Local Appropriations-4Yr'!AA5+'Fed Contracts Grnts-4Yr'!AA5+'Other Contract Grnts-4Yr'!AA5+'Investment Income-4Yr'!AA5+'All Other E&amp;G-4Yr'!AA5</f>
        <v>52737149.608000003</v>
      </c>
      <c r="AB5" s="101">
        <f>+'Tuition-4Yr'!AB5+'State Appropriations-4Yr'!AB5+'Local Appropriations-4Yr'!AB5+'Fed Contracts Grnts-4Yr'!AB5+'Other Contract Grnts-4Yr'!AB5+'Investment Income-4Yr'!AB5+'All Other E&amp;G-4Yr'!AB5</f>
        <v>70424389.827000007</v>
      </c>
      <c r="AC5" s="101">
        <f>+'Tuition-4Yr'!AC5+'State Appropriations-4Yr'!AC5+'Local Appropriations-4Yr'!AC5+'Fed Contracts Grnts-4Yr'!AC5+'Other Contract Grnts-4Yr'!AC5+'Investment Income-4Yr'!AC5+'All Other E&amp;G-4Yr'!AC5</f>
        <v>74839050</v>
      </c>
      <c r="AD5" s="101">
        <f>+'Tuition-4Yr'!AD5+'State Appropriations-4Yr'!AD5+'Local Appropriations-4Yr'!AD5+'Fed Contracts Grnts-4Yr'!AD5+'Other Contract Grnts-4Yr'!AD5+'Investment Income-4Yr'!AD5+'All Other E&amp;G-4Yr'!AD5</f>
        <v>72649371.400000006</v>
      </c>
      <c r="AE5" s="101">
        <f>+'Tuition-4Yr'!AE5+'State Appropriations-4Yr'!AE5+'Local Appropriations-4Yr'!AE5+'Fed Contracts Grnts-4Yr'!AE5+'Other Contract Grnts-4Yr'!AE5+'Investment Income-4Yr'!AE5+'All Other E&amp;G-4Yr'!AE5</f>
        <v>70822207.221000001</v>
      </c>
      <c r="AF5" s="101">
        <f>+'Tuition-4Yr'!AF5+'State Appropriations-4Yr'!AF5+'Local Appropriations-4Yr'!AF5+'Fed Contracts Grnts-4Yr'!AF5+'Other Contract Grnts-4Yr'!AF5+'Investment Income-4Yr'!AF5+'All Other E&amp;G-4Yr'!AF5</f>
        <v>73120829.450000003</v>
      </c>
      <c r="AG5" s="101">
        <f>+'Tuition-4Yr'!AG5+'State Appropriations-4Yr'!AG5+'Local Appropriations-4Yr'!AG5+'Fed Contracts Grnts-4Yr'!AG5+'Other Contract Grnts-4Yr'!AG5+'Investment Income-4Yr'!AG5+'All Other E&amp;G-4Yr'!AG5</f>
        <v>76230825.023999989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row>
    <row r="6" spans="1:213" ht="12.75" customHeight="1">
      <c r="A6" s="84" t="s">
        <v>143</v>
      </c>
      <c r="B6" s="101">
        <f>+'Tuition-4Yr'!B6+'State Appropriations-4Yr'!B6+'Local Appropriations-4Yr'!B6+'Fed Contracts Grnts-4Yr'!B6+'Other Contract Grnts-4Yr'!B6+'Investment Income-4Yr'!B6+'All Other E&amp;G-4Yr'!B6</f>
        <v>0</v>
      </c>
      <c r="C6" s="101">
        <f>+'Tuition-4Yr'!C6+'State Appropriations-4Yr'!C6+'Local Appropriations-4Yr'!C6+'Fed Contracts Grnts-4Yr'!C6+'Other Contract Grnts-4Yr'!C6+'Investment Income-4Yr'!C6+'All Other E&amp;G-4Yr'!C6</f>
        <v>0</v>
      </c>
      <c r="D6" s="101">
        <f>+'Tuition-4Yr'!D6+'State Appropriations-4Yr'!D6+'Local Appropriations-4Yr'!D6+'Fed Contracts Grnts-4Yr'!D6+'Other Contract Grnts-4Yr'!D6+'Investment Income-4Yr'!D6+'All Other E&amp;G-4Yr'!D6</f>
        <v>0</v>
      </c>
      <c r="E6" s="101">
        <f>+'Tuition-4Yr'!E6+'State Appropriations-4Yr'!E6+'Local Appropriations-4Yr'!E6+'Fed Contracts Grnts-4Yr'!E6+'Other Contract Grnts-4Yr'!E6+'Investment Income-4Yr'!E6+'All Other E&amp;G-4Yr'!E6</f>
        <v>0</v>
      </c>
      <c r="F6" s="101">
        <f>+'Tuition-4Yr'!F6+'State Appropriations-4Yr'!F6+'Local Appropriations-4Yr'!F6+'Fed Contracts Grnts-4Yr'!F6+'Other Contract Grnts-4Yr'!F6+'Investment Income-4Yr'!F6+'All Other E&amp;G-4Yr'!F6</f>
        <v>0</v>
      </c>
      <c r="G6" s="101">
        <f>+'Tuition-4Yr'!G6+'State Appropriations-4Yr'!G6+'Local Appropriations-4Yr'!G6+'Fed Contracts Grnts-4Yr'!G6+'Other Contract Grnts-4Yr'!G6+'Investment Income-4Yr'!G6+'All Other E&amp;G-4Yr'!G6</f>
        <v>0</v>
      </c>
      <c r="H6" s="101">
        <f>+'Tuition-4Yr'!H6+'State Appropriations-4Yr'!H6+'Local Appropriations-4Yr'!H6+'Fed Contracts Grnts-4Yr'!H6+'Other Contract Grnts-4Yr'!H6+'Investment Income-4Yr'!H6+'All Other E&amp;G-4Yr'!H6</f>
        <v>0</v>
      </c>
      <c r="I6" s="101">
        <f>+'Tuition-4Yr'!I6+'State Appropriations-4Yr'!I6+'Local Appropriations-4Yr'!I6+'Fed Contracts Grnts-4Yr'!I6+'Other Contract Grnts-4Yr'!I6+'Investment Income-4Yr'!I6+'All Other E&amp;G-4Yr'!I6</f>
        <v>0</v>
      </c>
      <c r="J6" s="101">
        <f>+'Tuition-4Yr'!J6+'State Appropriations-4Yr'!J6+'Local Appropriations-4Yr'!J6+'Fed Contracts Grnts-4Yr'!J6+'Other Contract Grnts-4Yr'!J6+'Investment Income-4Yr'!J6+'All Other E&amp;G-4Yr'!J6</f>
        <v>0</v>
      </c>
      <c r="K6" s="101">
        <f>+'Tuition-4Yr'!K6+'State Appropriations-4Yr'!K6+'Local Appropriations-4Yr'!K6+'Fed Contracts Grnts-4Yr'!K6+'Other Contract Grnts-4Yr'!K6+'Investment Income-4Yr'!K6+'All Other E&amp;G-4Yr'!K6</f>
        <v>0</v>
      </c>
      <c r="L6" s="101">
        <f>+'Tuition-4Yr'!L6+'State Appropriations-4Yr'!L6+'Local Appropriations-4Yr'!L6+'Fed Contracts Grnts-4Yr'!L6+'Other Contract Grnts-4Yr'!L6+'Investment Income-4Yr'!L6+'All Other E&amp;G-4Yr'!L6</f>
        <v>0</v>
      </c>
      <c r="M6" s="101">
        <f>+'Tuition-4Yr'!M6+'State Appropriations-4Yr'!M6+'Local Appropriations-4Yr'!M6+'Fed Contracts Grnts-4Yr'!M6+'Other Contract Grnts-4Yr'!M6+'Investment Income-4Yr'!M6+'All Other E&amp;G-4Yr'!M6</f>
        <v>0</v>
      </c>
      <c r="N6" s="101">
        <f>+'Tuition-4Yr'!N6+'State Appropriations-4Yr'!N6+'Local Appropriations-4Yr'!N6+'Fed Contracts Grnts-4Yr'!N6+'Other Contract Grnts-4Yr'!N6+'Investment Income-4Yr'!N6+'All Other E&amp;G-4Yr'!N6</f>
        <v>0</v>
      </c>
      <c r="O6" s="101">
        <f>+'Tuition-4Yr'!O6+'State Appropriations-4Yr'!O6+'Local Appropriations-4Yr'!O6+'Fed Contracts Grnts-4Yr'!O6+'Other Contract Grnts-4Yr'!O6+'Investment Income-4Yr'!O6+'All Other E&amp;G-4Yr'!O6</f>
        <v>0</v>
      </c>
      <c r="P6" s="101">
        <f>+'Tuition-4Yr'!P6+'State Appropriations-4Yr'!P6+'Local Appropriations-4Yr'!P6+'Fed Contracts Grnts-4Yr'!P6+'Other Contract Grnts-4Yr'!P6+'Investment Income-4Yr'!P6+'All Other E&amp;G-4Yr'!P6</f>
        <v>0</v>
      </c>
      <c r="Q6" s="101">
        <f>+'Tuition-4Yr'!Q6+'State Appropriations-4Yr'!Q6+'Local Appropriations-4Yr'!Q6+'Fed Contracts Grnts-4Yr'!Q6+'Other Contract Grnts-4Yr'!Q6+'Investment Income-4Yr'!Q6+'All Other E&amp;G-4Yr'!Q6</f>
        <v>0</v>
      </c>
      <c r="R6" s="101">
        <f>+'Tuition-4Yr'!R6+'State Appropriations-4Yr'!R6+'Local Appropriations-4Yr'!R6+'Fed Contracts Grnts-4Yr'!R6+'Other Contract Grnts-4Yr'!R6+'Investment Income-4Yr'!R6+'All Other E&amp;G-4Yr'!R6</f>
        <v>0</v>
      </c>
      <c r="S6" s="101">
        <f>+'Tuition-4Yr'!S6+'State Appropriations-4Yr'!S6+'Local Appropriations-4Yr'!S6+'Fed Contracts Grnts-4Yr'!S6+'Other Contract Grnts-4Yr'!S6+'Investment Income-4Yr'!S6+'All Other E&amp;G-4Yr'!S6</f>
        <v>0</v>
      </c>
      <c r="T6" s="101">
        <f>+'Tuition-4Yr'!T6+'State Appropriations-4Yr'!T6+'Local Appropriations-4Yr'!T6+'Fed Contracts Grnts-4Yr'!T6+'Other Contract Grnts-4Yr'!T6+'Investment Income-4Yr'!T6+'All Other E&amp;G-4Yr'!T6</f>
        <v>0</v>
      </c>
      <c r="U6" s="101">
        <f>+'Tuition-4Yr'!U6+'State Appropriations-4Yr'!U6+'Local Appropriations-4Yr'!U6+'Fed Contracts Grnts-4Yr'!U6+'Other Contract Grnts-4Yr'!U6+'Investment Income-4Yr'!U6+'All Other E&amp;G-4Yr'!U6</f>
        <v>0</v>
      </c>
      <c r="V6" s="101">
        <f>+'Tuition-4Yr'!V6+'State Appropriations-4Yr'!V6+'Local Appropriations-4Yr'!V6+'Fed Contracts Grnts-4Yr'!V6+'Other Contract Grnts-4Yr'!V6+'Investment Income-4Yr'!V6+'All Other E&amp;G-4Yr'!V6</f>
        <v>0</v>
      </c>
      <c r="W6" s="101">
        <f>+'Tuition-4Yr'!W6+'State Appropriations-4Yr'!W6+'Local Appropriations-4Yr'!W6+'Fed Contracts Grnts-4Yr'!W6+'Other Contract Grnts-4Yr'!W6+'Investment Income-4Yr'!W6+'All Other E&amp;G-4Yr'!W6</f>
        <v>0</v>
      </c>
      <c r="X6" s="101">
        <f>+'Tuition-4Yr'!X6+'State Appropriations-4Yr'!X6+'Local Appropriations-4Yr'!X6+'Fed Contracts Grnts-4Yr'!X6+'Other Contract Grnts-4Yr'!X6+'Investment Income-4Yr'!X6+'All Other E&amp;G-4Yr'!X6</f>
        <v>0</v>
      </c>
      <c r="Y6" s="101">
        <f>+'Tuition-4Yr'!Y6+'State Appropriations-4Yr'!Y6+'Local Appropriations-4Yr'!Y6+'Fed Contracts Grnts-4Yr'!Y6+'Other Contract Grnts-4Yr'!Y6+'Investment Income-4Yr'!Y6+'All Other E&amp;G-4Yr'!Y6</f>
        <v>0</v>
      </c>
      <c r="Z6" s="101">
        <f>+'Tuition-4Yr'!Z6+'State Appropriations-4Yr'!Z6+'Local Appropriations-4Yr'!Z6+'Fed Contracts Grnts-4Yr'!Z6+'Other Contract Grnts-4Yr'!Z6+'Investment Income-4Yr'!Z6+'All Other E&amp;G-4Yr'!Z6</f>
        <v>0</v>
      </c>
      <c r="AA6" s="101">
        <f>+'Tuition-4Yr'!AA6+'State Appropriations-4Yr'!AA6+'Local Appropriations-4Yr'!AA6+'Fed Contracts Grnts-4Yr'!AA6+'Other Contract Grnts-4Yr'!AA6+'Investment Income-4Yr'!AA6+'All Other E&amp;G-4Yr'!AA6</f>
        <v>0</v>
      </c>
      <c r="AB6" s="101">
        <f>+'Tuition-4Yr'!AB6+'State Appropriations-4Yr'!AB6+'Local Appropriations-4Yr'!AB6+'Fed Contracts Grnts-4Yr'!AB6+'Other Contract Grnts-4Yr'!AB6+'Investment Income-4Yr'!AB6+'All Other E&amp;G-4Yr'!AB6</f>
        <v>0</v>
      </c>
      <c r="AC6" s="101">
        <f>+'Tuition-4Yr'!AC6+'State Appropriations-4Yr'!AC6+'Local Appropriations-4Yr'!AC6+'Fed Contracts Grnts-4Yr'!AC6+'Other Contract Grnts-4Yr'!AC6+'Investment Income-4Yr'!AC6+'All Other E&amp;G-4Yr'!AC6</f>
        <v>0</v>
      </c>
      <c r="AD6" s="101">
        <f>+'Tuition-4Yr'!AD6+'State Appropriations-4Yr'!AD6+'Local Appropriations-4Yr'!AD6+'Fed Contracts Grnts-4Yr'!AD6+'Other Contract Grnts-4Yr'!AD6+'Investment Income-4Yr'!AD6+'All Other E&amp;G-4Yr'!AD6</f>
        <v>0</v>
      </c>
      <c r="AE6" s="101">
        <f>+'Tuition-4Yr'!AE6+'State Appropriations-4Yr'!AE6+'Local Appropriations-4Yr'!AE6+'Fed Contracts Grnts-4Yr'!AE6+'Other Contract Grnts-4Yr'!AE6+'Investment Income-4Yr'!AE6+'All Other E&amp;G-4Yr'!AE6</f>
        <v>0</v>
      </c>
      <c r="AF6" s="101">
        <f>+'Tuition-4Yr'!AF6+'State Appropriations-4Yr'!AF6+'Local Appropriations-4Yr'!AF6+'Fed Contracts Grnts-4Yr'!AF6+'Other Contract Grnts-4Yr'!AF6+'Investment Income-4Yr'!AF6+'All Other E&amp;G-4Yr'!AF6</f>
        <v>0</v>
      </c>
      <c r="AG6" s="101">
        <f>+'Tuition-4Yr'!AG6+'State Appropriations-4Yr'!AG6+'Local Appropriations-4Yr'!AG6+'Fed Contracts Grnts-4Yr'!AG6+'Other Contract Grnts-4Yr'!AG6+'Investment Income-4Yr'!AG6+'All Other E&amp;G-4Yr'!AG6</f>
        <v>0</v>
      </c>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row>
    <row r="7" spans="1:213" ht="12.75" customHeight="1">
      <c r="A7" s="14" t="s">
        <v>1</v>
      </c>
      <c r="B7" s="97">
        <f>+'Tuition-4Yr'!B7+'State Appropriations-4Yr'!B7+'Local Appropriations-4Yr'!B7+'Fed Contracts Grnts-4Yr'!B7+'Other Contract Grnts-4Yr'!B7+'Investment Income-4Yr'!B7+'All Other E&amp;G-4Yr'!B7</f>
        <v>700371</v>
      </c>
      <c r="C7" s="97">
        <f>+'Tuition-4Yr'!C7+'State Appropriations-4Yr'!C7+'Local Appropriations-4Yr'!C7+'Fed Contracts Grnts-4Yr'!C7+'Other Contract Grnts-4Yr'!C7+'Investment Income-4Yr'!C7+'All Other E&amp;G-4Yr'!C7</f>
        <v>815130</v>
      </c>
      <c r="D7" s="97">
        <f>+'Tuition-4Yr'!D7+'State Appropriations-4Yr'!D7+'Local Appropriations-4Yr'!D7+'Fed Contracts Grnts-4Yr'!D7+'Other Contract Grnts-4Yr'!D7+'Investment Income-4Yr'!D7+'All Other E&amp;G-4Yr'!D7</f>
        <v>911502</v>
      </c>
      <c r="E7" s="97">
        <f>+'Tuition-4Yr'!E7+'State Appropriations-4Yr'!E7+'Local Appropriations-4Yr'!E7+'Fed Contracts Grnts-4Yr'!E7+'Other Contract Grnts-4Yr'!E7+'Investment Income-4Yr'!E7+'All Other E&amp;G-4Yr'!E7</f>
        <v>0</v>
      </c>
      <c r="F7" s="97">
        <f>+'Tuition-4Yr'!F7+'State Appropriations-4Yr'!F7+'Local Appropriations-4Yr'!F7+'Fed Contracts Grnts-4Yr'!F7+'Other Contract Grnts-4Yr'!F7+'Investment Income-4Yr'!F7+'All Other E&amp;G-4Yr'!F7</f>
        <v>0</v>
      </c>
      <c r="G7" s="97">
        <f>+'Tuition-4Yr'!G7+'State Appropriations-4Yr'!G7+'Local Appropriations-4Yr'!G7+'Fed Contracts Grnts-4Yr'!G7+'Other Contract Grnts-4Yr'!G7+'Investment Income-4Yr'!G7+'All Other E&amp;G-4Yr'!G7</f>
        <v>0</v>
      </c>
      <c r="H7" s="97">
        <f>+'Tuition-4Yr'!H7+'State Appropriations-4Yr'!H7+'Local Appropriations-4Yr'!H7+'Fed Contracts Grnts-4Yr'!H7+'Other Contract Grnts-4Yr'!H7+'Investment Income-4Yr'!H7+'All Other E&amp;G-4Yr'!H7</f>
        <v>0</v>
      </c>
      <c r="I7" s="97">
        <f>+'Tuition-4Yr'!I7+'State Appropriations-4Yr'!I7+'Local Appropriations-4Yr'!I7+'Fed Contracts Grnts-4Yr'!I7+'Other Contract Grnts-4Yr'!I7+'Investment Income-4Yr'!I7+'All Other E&amp;G-4Yr'!I7</f>
        <v>1233908.983</v>
      </c>
      <c r="J7" s="97">
        <f>+'Tuition-4Yr'!J7+'State Appropriations-4Yr'!J7+'Local Appropriations-4Yr'!J7+'Fed Contracts Grnts-4Yr'!J7+'Other Contract Grnts-4Yr'!J7+'Investment Income-4Yr'!J7+'All Other E&amp;G-4Yr'!J7</f>
        <v>1305737.6250000002</v>
      </c>
      <c r="K7" s="97">
        <f>+'Tuition-4Yr'!K7+'State Appropriations-4Yr'!K7+'Local Appropriations-4Yr'!K7+'Fed Contracts Grnts-4Yr'!K7+'Other Contract Grnts-4Yr'!K7+'Investment Income-4Yr'!K7+'All Other E&amp;G-4Yr'!K7</f>
        <v>1400990.7149999999</v>
      </c>
      <c r="L7" s="97">
        <f>+'Tuition-4Yr'!L7+'State Appropriations-4Yr'!L7+'Local Appropriations-4Yr'!L7+'Fed Contracts Grnts-4Yr'!L7+'Other Contract Grnts-4Yr'!L7+'Investment Income-4Yr'!L7+'All Other E&amp;G-4Yr'!L7</f>
        <v>1489664.2989999999</v>
      </c>
      <c r="M7" s="97">
        <f>+'Tuition-4Yr'!M7+'State Appropriations-4Yr'!M7+'Local Appropriations-4Yr'!M7+'Fed Contracts Grnts-4Yr'!M7+'Other Contract Grnts-4Yr'!M7+'Investment Income-4Yr'!M7+'All Other E&amp;G-4Yr'!M7</f>
        <v>1641111.0869999996</v>
      </c>
      <c r="N7" s="97">
        <f>+'Tuition-4Yr'!N7+'State Appropriations-4Yr'!N7+'Local Appropriations-4Yr'!N7+'Fed Contracts Grnts-4Yr'!N7+'Other Contract Grnts-4Yr'!N7+'Investment Income-4Yr'!N7+'All Other E&amp;G-4Yr'!N7</f>
        <v>1653405.9480000003</v>
      </c>
      <c r="O7" s="97">
        <f>+'Tuition-4Yr'!O7+'State Appropriations-4Yr'!O7+'Local Appropriations-4Yr'!O7+'Fed Contracts Grnts-4Yr'!O7+'Other Contract Grnts-4Yr'!O7+'Investment Income-4Yr'!O7+'All Other E&amp;G-4Yr'!O7</f>
        <v>1715377.0560000003</v>
      </c>
      <c r="P7" s="97">
        <f>+'Tuition-4Yr'!P7+'State Appropriations-4Yr'!P7+'Local Appropriations-4Yr'!P7+'Fed Contracts Grnts-4Yr'!P7+'Other Contract Grnts-4Yr'!P7+'Investment Income-4Yr'!P7+'All Other E&amp;G-4Yr'!P7</f>
        <v>0</v>
      </c>
      <c r="Q7" s="97">
        <f>+'Tuition-4Yr'!Q7+'State Appropriations-4Yr'!Q7+'Local Appropriations-4Yr'!Q7+'Fed Contracts Grnts-4Yr'!Q7+'Other Contract Grnts-4Yr'!Q7+'Investment Income-4Yr'!Q7+'All Other E&amp;G-4Yr'!Q7</f>
        <v>0</v>
      </c>
      <c r="R7" s="97">
        <f>+'Tuition-4Yr'!R7+'State Appropriations-4Yr'!R7+'Local Appropriations-4Yr'!R7+'Fed Contracts Grnts-4Yr'!R7+'Other Contract Grnts-4Yr'!R7+'Investment Income-4Yr'!R7+'All Other E&amp;G-4Yr'!R7</f>
        <v>2058540.821</v>
      </c>
      <c r="S7" s="97">
        <f>+'Tuition-4Yr'!S7+'State Appropriations-4Yr'!S7+'Local Appropriations-4Yr'!S7+'Fed Contracts Grnts-4Yr'!S7+'Other Contract Grnts-4Yr'!S7+'Investment Income-4Yr'!S7+'All Other E&amp;G-4Yr'!S7</f>
        <v>2200682.4099999997</v>
      </c>
      <c r="T7" s="97">
        <f>+'Tuition-4Yr'!T7+'State Appropriations-4Yr'!T7+'Local Appropriations-4Yr'!T7+'Fed Contracts Grnts-4Yr'!T7+'Other Contract Grnts-4Yr'!T7+'Investment Income-4Yr'!T7+'All Other E&amp;G-4Yr'!T7</f>
        <v>2565571.9670000002</v>
      </c>
      <c r="U7" s="97">
        <f>+'Tuition-4Yr'!U7+'State Appropriations-4Yr'!U7+'Local Appropriations-4Yr'!U7+'Fed Contracts Grnts-4Yr'!U7+'Other Contract Grnts-4Yr'!U7+'Investment Income-4Yr'!U7+'All Other E&amp;G-4Yr'!U7</f>
        <v>2605339.9130000002</v>
      </c>
      <c r="V7" s="97">
        <f>+'Tuition-4Yr'!V7+'State Appropriations-4Yr'!V7+'Local Appropriations-4Yr'!V7+'Fed Contracts Grnts-4Yr'!V7+'Other Contract Grnts-4Yr'!V7+'Investment Income-4Yr'!V7+'All Other E&amp;G-4Yr'!V7</f>
        <v>2760943.6140000001</v>
      </c>
      <c r="W7" s="97">
        <f>+'Tuition-4Yr'!W7+'State Appropriations-4Yr'!W7+'Local Appropriations-4Yr'!W7+'Fed Contracts Grnts-4Yr'!W7+'Other Contract Grnts-4Yr'!W7+'Investment Income-4Yr'!W7+'All Other E&amp;G-4Yr'!W7</f>
        <v>3032455.8390000006</v>
      </c>
      <c r="X7" s="97">
        <f>+'Tuition-4Yr'!X7+'State Appropriations-4Yr'!X7+'Local Appropriations-4Yr'!X7+'Fed Contracts Grnts-4Yr'!X7+'Other Contract Grnts-4Yr'!X7+'Investment Income-4Yr'!X7+'All Other E&amp;G-4Yr'!X7</f>
        <v>3186752.094</v>
      </c>
      <c r="Y7" s="97">
        <f>+'Tuition-4Yr'!Y7+'State Appropriations-4Yr'!Y7+'Local Appropriations-4Yr'!Y7+'Fed Contracts Grnts-4Yr'!Y7+'Other Contract Grnts-4Yr'!Y7+'Investment Income-4Yr'!Y7+'All Other E&amp;G-4Yr'!Y7</f>
        <v>3685508.15</v>
      </c>
      <c r="Z7" s="97">
        <f>+'Tuition-4Yr'!Z7+'State Appropriations-4Yr'!Z7+'Local Appropriations-4Yr'!Z7+'Fed Contracts Grnts-4Yr'!Z7+'Other Contract Grnts-4Yr'!Z7+'Investment Income-4Yr'!Z7+'All Other E&amp;G-4Yr'!Z7</f>
        <v>3760897.1140000005</v>
      </c>
      <c r="AA7" s="97">
        <f>+'Tuition-4Yr'!AA7+'State Appropriations-4Yr'!AA7+'Local Appropriations-4Yr'!AA7+'Fed Contracts Grnts-4Yr'!AA7+'Other Contract Grnts-4Yr'!AA7+'Investment Income-4Yr'!AA7+'All Other E&amp;G-4Yr'!AA7</f>
        <v>4028390.4899999998</v>
      </c>
      <c r="AB7" s="97">
        <f>+'Tuition-4Yr'!AB7+'State Appropriations-4Yr'!AB7+'Local Appropriations-4Yr'!AB7+'Fed Contracts Grnts-4Yr'!AB7+'Other Contract Grnts-4Yr'!AB7+'Investment Income-4Yr'!AB7+'All Other E&amp;G-4Yr'!AB7</f>
        <v>4616219.8379999995</v>
      </c>
      <c r="AC7" s="97">
        <f>+'Tuition-4Yr'!AC7+'State Appropriations-4Yr'!AC7+'Local Appropriations-4Yr'!AC7+'Fed Contracts Grnts-4Yr'!AC7+'Other Contract Grnts-4Yr'!AC7+'Investment Income-4Yr'!AC7+'All Other E&amp;G-4Yr'!AC7</f>
        <v>4269101</v>
      </c>
      <c r="AD7" s="97">
        <f>+'Tuition-4Yr'!AD7+'State Appropriations-4Yr'!AD7+'Local Appropriations-4Yr'!AD7+'Fed Contracts Grnts-4Yr'!AD7+'Other Contract Grnts-4Yr'!AD7+'Investment Income-4Yr'!AD7+'All Other E&amp;G-4Yr'!AD7</f>
        <v>4491924.642</v>
      </c>
      <c r="AE7" s="97">
        <f>+'Tuition-4Yr'!AE7+'State Appropriations-4Yr'!AE7+'Local Appropriations-4Yr'!AE7+'Fed Contracts Grnts-4Yr'!AE7+'Other Contract Grnts-4Yr'!AE7+'Investment Income-4Yr'!AE7+'All Other E&amp;G-4Yr'!AE7</f>
        <v>4492673.0829999996</v>
      </c>
      <c r="AF7" s="97">
        <f>+'Tuition-4Yr'!AF7+'State Appropriations-4Yr'!AF7+'Local Appropriations-4Yr'!AF7+'Fed Contracts Grnts-4Yr'!AF7+'Other Contract Grnts-4Yr'!AF7+'Investment Income-4Yr'!AF7+'All Other E&amp;G-4Yr'!AF7</f>
        <v>4530347.7050000001</v>
      </c>
      <c r="AG7" s="97">
        <f>+'Tuition-4Yr'!AG7+'State Appropriations-4Yr'!AG7+'Local Appropriations-4Yr'!AG7+'Fed Contracts Grnts-4Yr'!AG7+'Other Contract Grnts-4Yr'!AG7+'Investment Income-4Yr'!AG7+'All Other E&amp;G-4Yr'!AG7</f>
        <v>4612311.4929999998</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row>
    <row r="8" spans="1:213" ht="12.75" customHeight="1">
      <c r="A8" s="14" t="s">
        <v>2</v>
      </c>
      <c r="B8" s="97">
        <f>+'Tuition-4Yr'!B8+'State Appropriations-4Yr'!B8+'Local Appropriations-4Yr'!B8+'Fed Contracts Grnts-4Yr'!B8+'Other Contract Grnts-4Yr'!B8+'Investment Income-4Yr'!B8+'All Other E&amp;G-4Yr'!B8</f>
        <v>331911</v>
      </c>
      <c r="C8" s="97">
        <f>+'Tuition-4Yr'!C8+'State Appropriations-4Yr'!C8+'Local Appropriations-4Yr'!C8+'Fed Contracts Grnts-4Yr'!C8+'Other Contract Grnts-4Yr'!C8+'Investment Income-4Yr'!C8+'All Other E&amp;G-4Yr'!C8</f>
        <v>385672</v>
      </c>
      <c r="D8" s="97">
        <f>+'Tuition-4Yr'!D8+'State Appropriations-4Yr'!D8+'Local Appropriations-4Yr'!D8+'Fed Contracts Grnts-4Yr'!D8+'Other Contract Grnts-4Yr'!D8+'Investment Income-4Yr'!D8+'All Other E&amp;G-4Yr'!D8</f>
        <v>409535</v>
      </c>
      <c r="E8" s="97">
        <f>+'Tuition-4Yr'!E8+'State Appropriations-4Yr'!E8+'Local Appropriations-4Yr'!E8+'Fed Contracts Grnts-4Yr'!E8+'Other Contract Grnts-4Yr'!E8+'Investment Income-4Yr'!E8+'All Other E&amp;G-4Yr'!E8</f>
        <v>0</v>
      </c>
      <c r="F8" s="97">
        <f>+'Tuition-4Yr'!F8+'State Appropriations-4Yr'!F8+'Local Appropriations-4Yr'!F8+'Fed Contracts Grnts-4Yr'!F8+'Other Contract Grnts-4Yr'!F8+'Investment Income-4Yr'!F8+'All Other E&amp;G-4Yr'!F8</f>
        <v>0</v>
      </c>
      <c r="G8" s="97">
        <f>+'Tuition-4Yr'!G8+'State Appropriations-4Yr'!G8+'Local Appropriations-4Yr'!G8+'Fed Contracts Grnts-4Yr'!G8+'Other Contract Grnts-4Yr'!G8+'Investment Income-4Yr'!G8+'All Other E&amp;G-4Yr'!G8</f>
        <v>0</v>
      </c>
      <c r="H8" s="97">
        <f>+'Tuition-4Yr'!H8+'State Appropriations-4Yr'!H8+'Local Appropriations-4Yr'!H8+'Fed Contracts Grnts-4Yr'!H8+'Other Contract Grnts-4Yr'!H8+'Investment Income-4Yr'!H8+'All Other E&amp;G-4Yr'!H8</f>
        <v>0</v>
      </c>
      <c r="I8" s="97">
        <f>+'Tuition-4Yr'!I8+'State Appropriations-4Yr'!I8+'Local Appropriations-4Yr'!I8+'Fed Contracts Grnts-4Yr'!I8+'Other Contract Grnts-4Yr'!I8+'Investment Income-4Yr'!I8+'All Other E&amp;G-4Yr'!I8</f>
        <v>624123.38899999997</v>
      </c>
      <c r="J8" s="97">
        <f>+'Tuition-4Yr'!J8+'State Appropriations-4Yr'!J8+'Local Appropriations-4Yr'!J8+'Fed Contracts Grnts-4Yr'!J8+'Other Contract Grnts-4Yr'!J8+'Investment Income-4Yr'!J8+'All Other E&amp;G-4Yr'!J8</f>
        <v>595947.07399999991</v>
      </c>
      <c r="K8" s="97">
        <f>+'Tuition-4Yr'!K8+'State Appropriations-4Yr'!K8+'Local Appropriations-4Yr'!K8+'Fed Contracts Grnts-4Yr'!K8+'Other Contract Grnts-4Yr'!K8+'Investment Income-4Yr'!K8+'All Other E&amp;G-4Yr'!K8</f>
        <v>658638.80900000001</v>
      </c>
      <c r="L8" s="97">
        <f>+'Tuition-4Yr'!L8+'State Appropriations-4Yr'!L8+'Local Appropriations-4Yr'!L8+'Fed Contracts Grnts-4Yr'!L8+'Other Contract Grnts-4Yr'!L8+'Investment Income-4Yr'!L8+'All Other E&amp;G-4Yr'!L8</f>
        <v>672059.79499999993</v>
      </c>
      <c r="M8" s="97">
        <f>+'Tuition-4Yr'!M8+'State Appropriations-4Yr'!M8+'Local Appropriations-4Yr'!M8+'Fed Contracts Grnts-4Yr'!M8+'Other Contract Grnts-4Yr'!M8+'Investment Income-4Yr'!M8+'All Other E&amp;G-4Yr'!M8</f>
        <v>693945.85700000008</v>
      </c>
      <c r="N8" s="97">
        <f>+'Tuition-4Yr'!N8+'State Appropriations-4Yr'!N8+'Local Appropriations-4Yr'!N8+'Fed Contracts Grnts-4Yr'!N8+'Other Contract Grnts-4Yr'!N8+'Investment Income-4Yr'!N8+'All Other E&amp;G-4Yr'!N8</f>
        <v>748961.78099999996</v>
      </c>
      <c r="O8" s="97">
        <f>+'Tuition-4Yr'!O8+'State Appropriations-4Yr'!O8+'Local Appropriations-4Yr'!O8+'Fed Contracts Grnts-4Yr'!O8+'Other Contract Grnts-4Yr'!O8+'Investment Income-4Yr'!O8+'All Other E&amp;G-4Yr'!O8</f>
        <v>792059.30999999994</v>
      </c>
      <c r="P8" s="97">
        <f>+'Tuition-4Yr'!P8+'State Appropriations-4Yr'!P8+'Local Appropriations-4Yr'!P8+'Fed Contracts Grnts-4Yr'!P8+'Other Contract Grnts-4Yr'!P8+'Investment Income-4Yr'!P8+'All Other E&amp;G-4Yr'!P8</f>
        <v>0</v>
      </c>
      <c r="Q8" s="97">
        <f>+'Tuition-4Yr'!Q8+'State Appropriations-4Yr'!Q8+'Local Appropriations-4Yr'!Q8+'Fed Contracts Grnts-4Yr'!Q8+'Other Contract Grnts-4Yr'!Q8+'Investment Income-4Yr'!Q8+'All Other E&amp;G-4Yr'!Q8</f>
        <v>0</v>
      </c>
      <c r="R8" s="97">
        <f>+'Tuition-4Yr'!R8+'State Appropriations-4Yr'!R8+'Local Appropriations-4Yr'!R8+'Fed Contracts Grnts-4Yr'!R8+'Other Contract Grnts-4Yr'!R8+'Investment Income-4Yr'!R8+'All Other E&amp;G-4Yr'!R8</f>
        <v>991724.26100000006</v>
      </c>
      <c r="S8" s="97">
        <f>+'Tuition-4Yr'!S8+'State Appropriations-4Yr'!S8+'Local Appropriations-4Yr'!S8+'Fed Contracts Grnts-4Yr'!S8+'Other Contract Grnts-4Yr'!S8+'Investment Income-4Yr'!S8+'All Other E&amp;G-4Yr'!S8</f>
        <v>1053778.4649999999</v>
      </c>
      <c r="T8" s="97">
        <f>+'Tuition-4Yr'!T8+'State Appropriations-4Yr'!T8+'Local Appropriations-4Yr'!T8+'Fed Contracts Grnts-4Yr'!T8+'Other Contract Grnts-4Yr'!T8+'Investment Income-4Yr'!T8+'All Other E&amp;G-4Yr'!T8</f>
        <v>1161852.8419999999</v>
      </c>
      <c r="U8" s="97">
        <f>+'Tuition-4Yr'!U8+'State Appropriations-4Yr'!U8+'Local Appropriations-4Yr'!U8+'Fed Contracts Grnts-4Yr'!U8+'Other Contract Grnts-4Yr'!U8+'Investment Income-4Yr'!U8+'All Other E&amp;G-4Yr'!U8</f>
        <v>1483517.301</v>
      </c>
      <c r="V8" s="97">
        <f>+'Tuition-4Yr'!V8+'State Appropriations-4Yr'!V8+'Local Appropriations-4Yr'!V8+'Fed Contracts Grnts-4Yr'!V8+'Other Contract Grnts-4Yr'!V8+'Investment Income-4Yr'!V8+'All Other E&amp;G-4Yr'!V8</f>
        <v>1180478.0750000002</v>
      </c>
      <c r="W8" s="97">
        <f>+'Tuition-4Yr'!W8+'State Appropriations-4Yr'!W8+'Local Appropriations-4Yr'!W8+'Fed Contracts Grnts-4Yr'!W8+'Other Contract Grnts-4Yr'!W8+'Investment Income-4Yr'!W8+'All Other E&amp;G-4Yr'!W8</f>
        <v>1367283.2109999999</v>
      </c>
      <c r="X8" s="97">
        <f>+'Tuition-4Yr'!X8+'State Appropriations-4Yr'!X8+'Local Appropriations-4Yr'!X8+'Fed Contracts Grnts-4Yr'!X8+'Other Contract Grnts-4Yr'!X8+'Investment Income-4Yr'!X8+'All Other E&amp;G-4Yr'!X8</f>
        <v>1364404.2310000001</v>
      </c>
      <c r="Y8" s="97">
        <f>+'Tuition-4Yr'!Y8+'State Appropriations-4Yr'!Y8+'Local Appropriations-4Yr'!Y8+'Fed Contracts Grnts-4Yr'!Y8+'Other Contract Grnts-4Yr'!Y8+'Investment Income-4Yr'!Y8+'All Other E&amp;G-4Yr'!Y8</f>
        <v>1376783.1160000002</v>
      </c>
      <c r="Z8" s="97">
        <f>+'Tuition-4Yr'!Z8+'State Appropriations-4Yr'!Z8+'Local Appropriations-4Yr'!Z8+'Fed Contracts Grnts-4Yr'!Z8+'Other Contract Grnts-4Yr'!Z8+'Investment Income-4Yr'!Z8+'All Other E&amp;G-4Yr'!Z8</f>
        <v>1459504.4350000001</v>
      </c>
      <c r="AA8" s="97">
        <f>+'Tuition-4Yr'!AA8+'State Appropriations-4Yr'!AA8+'Local Appropriations-4Yr'!AA8+'Fed Contracts Grnts-4Yr'!AA8+'Other Contract Grnts-4Yr'!AA8+'Investment Income-4Yr'!AA8+'All Other E&amp;G-4Yr'!AA8</f>
        <v>1413667.2319999998</v>
      </c>
      <c r="AB8" s="97">
        <f>+'Tuition-4Yr'!AB8+'State Appropriations-4Yr'!AB8+'Local Appropriations-4Yr'!AB8+'Fed Contracts Grnts-4Yr'!AB8+'Other Contract Grnts-4Yr'!AB8+'Investment Income-4Yr'!AB8+'All Other E&amp;G-4Yr'!AB8</f>
        <v>1875085.399</v>
      </c>
      <c r="AC8" s="97">
        <f>+'Tuition-4Yr'!AC8+'State Appropriations-4Yr'!AC8+'Local Appropriations-4Yr'!AC8+'Fed Contracts Grnts-4Yr'!AC8+'Other Contract Grnts-4Yr'!AC8+'Investment Income-4Yr'!AC8+'All Other E&amp;G-4Yr'!AC8</f>
        <v>2021982</v>
      </c>
      <c r="AD8" s="97">
        <f>+'Tuition-4Yr'!AD8+'State Appropriations-4Yr'!AD8+'Local Appropriations-4Yr'!AD8+'Fed Contracts Grnts-4Yr'!AD8+'Other Contract Grnts-4Yr'!AD8+'Investment Income-4Yr'!AD8+'All Other E&amp;G-4Yr'!AD8</f>
        <v>2101592.5150000001</v>
      </c>
      <c r="AE8" s="97">
        <f>+'Tuition-4Yr'!AE8+'State Appropriations-4Yr'!AE8+'Local Appropriations-4Yr'!AE8+'Fed Contracts Grnts-4Yr'!AE8+'Other Contract Grnts-4Yr'!AE8+'Investment Income-4Yr'!AE8+'All Other E&amp;G-4Yr'!AE8</f>
        <v>2133920.0290000001</v>
      </c>
      <c r="AF8" s="97">
        <f>+'Tuition-4Yr'!AF8+'State Appropriations-4Yr'!AF8+'Local Appropriations-4Yr'!AF8+'Fed Contracts Grnts-4Yr'!AF8+'Other Contract Grnts-4Yr'!AF8+'Investment Income-4Yr'!AF8+'All Other E&amp;G-4Yr'!AF8</f>
        <v>2085947.6249999998</v>
      </c>
      <c r="AG8" s="97">
        <f>+'Tuition-4Yr'!AG8+'State Appropriations-4Yr'!AG8+'Local Appropriations-4Yr'!AG8+'Fed Contracts Grnts-4Yr'!AG8+'Other Contract Grnts-4Yr'!AG8+'Investment Income-4Yr'!AG8+'All Other E&amp;G-4Yr'!AG8</f>
        <v>2116600.7070000004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row>
    <row r="9" spans="1:213" ht="12.75" customHeight="1">
      <c r="A9" s="14" t="s">
        <v>60</v>
      </c>
      <c r="B9" s="97">
        <f>+'Tuition-4Yr'!B9+'State Appropriations-4Yr'!B9+'Local Appropriations-4Yr'!B9+'Fed Contracts Grnts-4Yr'!B9+'Other Contract Grnts-4Yr'!B9+'Investment Income-4Yr'!B9+'All Other E&amp;G-4Yr'!B9</f>
        <v>0</v>
      </c>
      <c r="C9" s="97">
        <f>+'Tuition-4Yr'!C9+'State Appropriations-4Yr'!C9+'Local Appropriations-4Yr'!C9+'Fed Contracts Grnts-4Yr'!C9+'Other Contract Grnts-4Yr'!C9+'Investment Income-4Yr'!C9+'All Other E&amp;G-4Yr'!C9</f>
        <v>0</v>
      </c>
      <c r="D9" s="97">
        <f>+'Tuition-4Yr'!D9+'State Appropriations-4Yr'!D9+'Local Appropriations-4Yr'!D9+'Fed Contracts Grnts-4Yr'!D9+'Other Contract Grnts-4Yr'!D9+'Investment Income-4Yr'!D9+'All Other E&amp;G-4Yr'!D9</f>
        <v>200335</v>
      </c>
      <c r="E9" s="97">
        <f>+'Tuition-4Yr'!E9+'State Appropriations-4Yr'!E9+'Local Appropriations-4Yr'!E9+'Fed Contracts Grnts-4Yr'!E9+'Other Contract Grnts-4Yr'!E9+'Investment Income-4Yr'!E9+'All Other E&amp;G-4Yr'!E9</f>
        <v>0</v>
      </c>
      <c r="F9" s="97">
        <f>+'Tuition-4Yr'!F9+'State Appropriations-4Yr'!F9+'Local Appropriations-4Yr'!F9+'Fed Contracts Grnts-4Yr'!F9+'Other Contract Grnts-4Yr'!F9+'Investment Income-4Yr'!F9+'All Other E&amp;G-4Yr'!F9</f>
        <v>0</v>
      </c>
      <c r="G9" s="97">
        <f>+'Tuition-4Yr'!G9+'State Appropriations-4Yr'!G9+'Local Appropriations-4Yr'!G9+'Fed Contracts Grnts-4Yr'!G9+'Other Contract Grnts-4Yr'!G9+'Investment Income-4Yr'!G9+'All Other E&amp;G-4Yr'!G9</f>
        <v>0</v>
      </c>
      <c r="H9" s="97">
        <f>+'Tuition-4Yr'!H9+'State Appropriations-4Yr'!H9+'Local Appropriations-4Yr'!H9+'Fed Contracts Grnts-4Yr'!H9+'Other Contract Grnts-4Yr'!H9+'Investment Income-4Yr'!H9+'All Other E&amp;G-4Yr'!H9</f>
        <v>0</v>
      </c>
      <c r="I9" s="97">
        <f>+'Tuition-4Yr'!I9+'State Appropriations-4Yr'!I9+'Local Appropriations-4Yr'!I9+'Fed Contracts Grnts-4Yr'!I9+'Other Contract Grnts-4Yr'!I9+'Investment Income-4Yr'!I9+'All Other E&amp;G-4Yr'!I9</f>
        <v>299692.141</v>
      </c>
      <c r="J9" s="97">
        <f>+'Tuition-4Yr'!J9+'State Appropriations-4Yr'!J9+'Local Appropriations-4Yr'!J9+'Fed Contracts Grnts-4Yr'!J9+'Other Contract Grnts-4Yr'!J9+'Investment Income-4Yr'!J9+'All Other E&amp;G-4Yr'!J9</f>
        <v>318832.13199999998</v>
      </c>
      <c r="K9" s="97">
        <f>+'Tuition-4Yr'!K9+'State Appropriations-4Yr'!K9+'Local Appropriations-4Yr'!K9+'Fed Contracts Grnts-4Yr'!K9+'Other Contract Grnts-4Yr'!K9+'Investment Income-4Yr'!K9+'All Other E&amp;G-4Yr'!K9</f>
        <v>0</v>
      </c>
      <c r="L9" s="97">
        <f>+'Tuition-4Yr'!L9+'State Appropriations-4Yr'!L9+'Local Appropriations-4Yr'!L9+'Fed Contracts Grnts-4Yr'!L9+'Other Contract Grnts-4Yr'!L9+'Investment Income-4Yr'!L9+'All Other E&amp;G-4Yr'!L9</f>
        <v>0</v>
      </c>
      <c r="M9" s="97">
        <f>+'Tuition-4Yr'!M9+'State Appropriations-4Yr'!M9+'Local Appropriations-4Yr'!M9+'Fed Contracts Grnts-4Yr'!M9+'Other Contract Grnts-4Yr'!M9+'Investment Income-4Yr'!M9+'All Other E&amp;G-4Yr'!M9</f>
        <v>370372.01500000001</v>
      </c>
      <c r="N9" s="97">
        <f>+'Tuition-4Yr'!N9+'State Appropriations-4Yr'!N9+'Local Appropriations-4Yr'!N9+'Fed Contracts Grnts-4Yr'!N9+'Other Contract Grnts-4Yr'!N9+'Investment Income-4Yr'!N9+'All Other E&amp;G-4Yr'!N9</f>
        <v>374633.47499999998</v>
      </c>
      <c r="O9" s="97">
        <f>+'Tuition-4Yr'!O9+'State Appropriations-4Yr'!O9+'Local Appropriations-4Yr'!O9+'Fed Contracts Grnts-4Yr'!O9+'Other Contract Grnts-4Yr'!O9+'Investment Income-4Yr'!O9+'All Other E&amp;G-4Yr'!O9</f>
        <v>394578.66800000001</v>
      </c>
      <c r="P9" s="97">
        <f>+'Tuition-4Yr'!P9+'State Appropriations-4Yr'!P9+'Local Appropriations-4Yr'!P9+'Fed Contracts Grnts-4Yr'!P9+'Other Contract Grnts-4Yr'!P9+'Investment Income-4Yr'!P9+'All Other E&amp;G-4Yr'!P9</f>
        <v>0</v>
      </c>
      <c r="Q9" s="97">
        <f>+'Tuition-4Yr'!Q9+'State Appropriations-4Yr'!Q9+'Local Appropriations-4Yr'!Q9+'Fed Contracts Grnts-4Yr'!Q9+'Other Contract Grnts-4Yr'!Q9+'Investment Income-4Yr'!Q9+'All Other E&amp;G-4Yr'!Q9</f>
        <v>0</v>
      </c>
      <c r="R9" s="97">
        <f>+'Tuition-4Yr'!R9+'State Appropriations-4Yr'!R9+'Local Appropriations-4Yr'!R9+'Fed Contracts Grnts-4Yr'!R9+'Other Contract Grnts-4Yr'!R9+'Investment Income-4Yr'!R9+'All Other E&amp;G-4Yr'!R9</f>
        <v>507743.64499999996</v>
      </c>
      <c r="S9" s="97">
        <f>+'Tuition-4Yr'!S9+'State Appropriations-4Yr'!S9+'Local Appropriations-4Yr'!S9+'Fed Contracts Grnts-4Yr'!S9+'Other Contract Grnts-4Yr'!S9+'Investment Income-4Yr'!S9+'All Other E&amp;G-4Yr'!S9</f>
        <v>513404.90500000003</v>
      </c>
      <c r="T9" s="97">
        <f>+'Tuition-4Yr'!T9+'State Appropriations-4Yr'!T9+'Local Appropriations-4Yr'!T9+'Fed Contracts Grnts-4Yr'!T9+'Other Contract Grnts-4Yr'!T9+'Investment Income-4Yr'!T9+'All Other E&amp;G-4Yr'!T9</f>
        <v>488363.39999999997</v>
      </c>
      <c r="U9" s="97">
        <f>+'Tuition-4Yr'!U9+'State Appropriations-4Yr'!U9+'Local Appropriations-4Yr'!U9+'Fed Contracts Grnts-4Yr'!U9+'Other Contract Grnts-4Yr'!U9+'Investment Income-4Yr'!U9+'All Other E&amp;G-4Yr'!U9</f>
        <v>527185.505</v>
      </c>
      <c r="V9" s="97">
        <f>+'Tuition-4Yr'!V9+'State Appropriations-4Yr'!V9+'Local Appropriations-4Yr'!V9+'Fed Contracts Grnts-4Yr'!V9+'Other Contract Grnts-4Yr'!V9+'Investment Income-4Yr'!V9+'All Other E&amp;G-4Yr'!V9</f>
        <v>688738.13199999998</v>
      </c>
      <c r="W9" s="97">
        <f>+'Tuition-4Yr'!W9+'State Appropriations-4Yr'!W9+'Local Appropriations-4Yr'!W9+'Fed Contracts Grnts-4Yr'!W9+'Other Contract Grnts-4Yr'!W9+'Investment Income-4Yr'!W9+'All Other E&amp;G-4Yr'!W9</f>
        <v>660417.41700000002</v>
      </c>
      <c r="X9" s="97">
        <f>+'Tuition-4Yr'!X9+'State Appropriations-4Yr'!X9+'Local Appropriations-4Yr'!X9+'Fed Contracts Grnts-4Yr'!X9+'Other Contract Grnts-4Yr'!X9+'Investment Income-4Yr'!X9+'All Other E&amp;G-4Yr'!X9</f>
        <v>766201.353</v>
      </c>
      <c r="Y9" s="97">
        <f>+'Tuition-4Yr'!Y9+'State Appropriations-4Yr'!Y9+'Local Appropriations-4Yr'!Y9+'Fed Contracts Grnts-4Yr'!Y9+'Other Contract Grnts-4Yr'!Y9+'Investment Income-4Yr'!Y9+'All Other E&amp;G-4Yr'!Y9</f>
        <v>841688.4850000001</v>
      </c>
      <c r="Z9" s="97">
        <f>+'Tuition-4Yr'!Z9+'State Appropriations-4Yr'!Z9+'Local Appropriations-4Yr'!Z9+'Fed Contracts Grnts-4Yr'!Z9+'Other Contract Grnts-4Yr'!Z9+'Investment Income-4Yr'!Z9+'All Other E&amp;G-4Yr'!Z9</f>
        <v>604120.56599999999</v>
      </c>
      <c r="AA9" s="97">
        <f>+'Tuition-4Yr'!AA9+'State Appropriations-4Yr'!AA9+'Local Appropriations-4Yr'!AA9+'Fed Contracts Grnts-4Yr'!AA9+'Other Contract Grnts-4Yr'!AA9+'Investment Income-4Yr'!AA9+'All Other E&amp;G-4Yr'!AA9</f>
        <v>460230.48800000001</v>
      </c>
      <c r="AB9" s="97">
        <f>+'Tuition-4Yr'!AB9+'State Appropriations-4Yr'!AB9+'Local Appropriations-4Yr'!AB9+'Fed Contracts Grnts-4Yr'!AB9+'Other Contract Grnts-4Yr'!AB9+'Investment Income-4Yr'!AB9+'All Other E&amp;G-4Yr'!AB9</f>
        <v>935560.04499999993</v>
      </c>
      <c r="AC9" s="97">
        <f>+'Tuition-4Yr'!AC9+'State Appropriations-4Yr'!AC9+'Local Appropriations-4Yr'!AC9+'Fed Contracts Grnts-4Yr'!AC9+'Other Contract Grnts-4Yr'!AC9+'Investment Income-4Yr'!AC9+'All Other E&amp;G-4Yr'!AC9</f>
        <v>1164408</v>
      </c>
      <c r="AD9" s="97">
        <f>+'Tuition-4Yr'!AD9+'State Appropriations-4Yr'!AD9+'Local Appropriations-4Yr'!AD9+'Fed Contracts Grnts-4Yr'!AD9+'Other Contract Grnts-4Yr'!AD9+'Investment Income-4Yr'!AD9+'All Other E&amp;G-4Yr'!AD9</f>
        <v>908969.88</v>
      </c>
      <c r="AE9" s="97">
        <f>+'Tuition-4Yr'!AE9+'State Appropriations-4Yr'!AE9+'Local Appropriations-4Yr'!AE9+'Fed Contracts Grnts-4Yr'!AE9+'Other Contract Grnts-4Yr'!AE9+'Investment Income-4Yr'!AE9+'All Other E&amp;G-4Yr'!AE9</f>
        <v>1102134.0519999999</v>
      </c>
      <c r="AF9" s="97">
        <f>+'Tuition-4Yr'!AF9+'State Appropriations-4Yr'!AF9+'Local Appropriations-4Yr'!AF9+'Fed Contracts Grnts-4Yr'!AF9+'Other Contract Grnts-4Yr'!AF9+'Investment Income-4Yr'!AF9+'All Other E&amp;G-4Yr'!AF9</f>
        <v>1207280.7749999999</v>
      </c>
      <c r="AG9" s="97">
        <f>+'Tuition-4Yr'!AG9+'State Appropriations-4Yr'!AG9+'Local Appropriations-4Yr'!AG9+'Fed Contracts Grnts-4Yr'!AG9+'Other Contract Grnts-4Yr'!AG9+'Investment Income-4Yr'!AG9+'All Other E&amp;G-4Yr'!AG9</f>
        <v>1105540.9369999999</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row>
    <row r="10" spans="1:213" ht="12.75" customHeight="1">
      <c r="A10" s="14" t="s">
        <v>3</v>
      </c>
      <c r="B10" s="97">
        <f>+'Tuition-4Yr'!B10+'State Appropriations-4Yr'!B10+'Local Appropriations-4Yr'!B10+'Fed Contracts Grnts-4Yr'!B10+'Other Contract Grnts-4Yr'!B10+'Investment Income-4Yr'!B10+'All Other E&amp;G-4Yr'!B10</f>
        <v>941851</v>
      </c>
      <c r="C10" s="97">
        <f>+'Tuition-4Yr'!C10+'State Appropriations-4Yr'!C10+'Local Appropriations-4Yr'!C10+'Fed Contracts Grnts-4Yr'!C10+'Other Contract Grnts-4Yr'!C10+'Investment Income-4Yr'!C10+'All Other E&amp;G-4Yr'!C10</f>
        <v>1056295</v>
      </c>
      <c r="D10" s="97">
        <f>+'Tuition-4Yr'!D10+'State Appropriations-4Yr'!D10+'Local Appropriations-4Yr'!D10+'Fed Contracts Grnts-4Yr'!D10+'Other Contract Grnts-4Yr'!D10+'Investment Income-4Yr'!D10+'All Other E&amp;G-4Yr'!D10</f>
        <v>1161978</v>
      </c>
      <c r="E10" s="97">
        <f>+'Tuition-4Yr'!E10+'State Appropriations-4Yr'!E10+'Local Appropriations-4Yr'!E10+'Fed Contracts Grnts-4Yr'!E10+'Other Contract Grnts-4Yr'!E10+'Investment Income-4Yr'!E10+'All Other E&amp;G-4Yr'!E10</f>
        <v>0</v>
      </c>
      <c r="F10" s="97">
        <f>+'Tuition-4Yr'!F10+'State Appropriations-4Yr'!F10+'Local Appropriations-4Yr'!F10+'Fed Contracts Grnts-4Yr'!F10+'Other Contract Grnts-4Yr'!F10+'Investment Income-4Yr'!F10+'All Other E&amp;G-4Yr'!F10</f>
        <v>0</v>
      </c>
      <c r="G10" s="97">
        <f>+'Tuition-4Yr'!G10+'State Appropriations-4Yr'!G10+'Local Appropriations-4Yr'!G10+'Fed Contracts Grnts-4Yr'!G10+'Other Contract Grnts-4Yr'!G10+'Investment Income-4Yr'!G10+'All Other E&amp;G-4Yr'!G10</f>
        <v>0</v>
      </c>
      <c r="H10" s="97">
        <f>+'Tuition-4Yr'!H10+'State Appropriations-4Yr'!H10+'Local Appropriations-4Yr'!H10+'Fed Contracts Grnts-4Yr'!H10+'Other Contract Grnts-4Yr'!H10+'Investment Income-4Yr'!H10+'All Other E&amp;G-4Yr'!H10</f>
        <v>0</v>
      </c>
      <c r="I10" s="97">
        <f>+'Tuition-4Yr'!I10+'State Appropriations-4Yr'!I10+'Local Appropriations-4Yr'!I10+'Fed Contracts Grnts-4Yr'!I10+'Other Contract Grnts-4Yr'!I10+'Investment Income-4Yr'!I10+'All Other E&amp;G-4Yr'!I10</f>
        <v>1858192.0690000001</v>
      </c>
      <c r="J10" s="97">
        <f>+'Tuition-4Yr'!J10+'State Appropriations-4Yr'!J10+'Local Appropriations-4Yr'!J10+'Fed Contracts Grnts-4Yr'!J10+'Other Contract Grnts-4Yr'!J10+'Investment Income-4Yr'!J10+'All Other E&amp;G-4Yr'!J10</f>
        <v>1914793.4819999998</v>
      </c>
      <c r="K10" s="97">
        <f>+'Tuition-4Yr'!K10+'State Appropriations-4Yr'!K10+'Local Appropriations-4Yr'!K10+'Fed Contracts Grnts-4Yr'!K10+'Other Contract Grnts-4Yr'!K10+'Investment Income-4Yr'!K10+'All Other E&amp;G-4Yr'!K10</f>
        <v>2017521.4640000002</v>
      </c>
      <c r="L10" s="97">
        <f>+'Tuition-4Yr'!L10+'State Appropriations-4Yr'!L10+'Local Appropriations-4Yr'!L10+'Fed Contracts Grnts-4Yr'!L10+'Other Contract Grnts-4Yr'!L10+'Investment Income-4Yr'!L10+'All Other E&amp;G-4Yr'!L10</f>
        <v>2135692.7480000001</v>
      </c>
      <c r="M10" s="97">
        <f>+'Tuition-4Yr'!M10+'State Appropriations-4Yr'!M10+'Local Appropriations-4Yr'!M10+'Fed Contracts Grnts-4Yr'!M10+'Other Contract Grnts-4Yr'!M10+'Investment Income-4Yr'!M10+'All Other E&amp;G-4Yr'!M10</f>
        <v>2254558.622</v>
      </c>
      <c r="N10" s="97">
        <f>+'Tuition-4Yr'!N10+'State Appropriations-4Yr'!N10+'Local Appropriations-4Yr'!N10+'Fed Contracts Grnts-4Yr'!N10+'Other Contract Grnts-4Yr'!N10+'Investment Income-4Yr'!N10+'All Other E&amp;G-4Yr'!N10</f>
        <v>2411836.105</v>
      </c>
      <c r="O10" s="97">
        <f>+'Tuition-4Yr'!O10+'State Appropriations-4Yr'!O10+'Local Appropriations-4Yr'!O10+'Fed Contracts Grnts-4Yr'!O10+'Other Contract Grnts-4Yr'!O10+'Investment Income-4Yr'!O10+'All Other E&amp;G-4Yr'!O10</f>
        <v>2594549.9119999995</v>
      </c>
      <c r="P10" s="97">
        <f>+'Tuition-4Yr'!P10+'State Appropriations-4Yr'!P10+'Local Appropriations-4Yr'!P10+'Fed Contracts Grnts-4Yr'!P10+'Other Contract Grnts-4Yr'!P10+'Investment Income-4Yr'!P10+'All Other E&amp;G-4Yr'!P10</f>
        <v>0</v>
      </c>
      <c r="Q10" s="97">
        <f>+'Tuition-4Yr'!Q10+'State Appropriations-4Yr'!Q10+'Local Appropriations-4Yr'!Q10+'Fed Contracts Grnts-4Yr'!Q10+'Other Contract Grnts-4Yr'!Q10+'Investment Income-4Yr'!Q10+'All Other E&amp;G-4Yr'!Q10</f>
        <v>0</v>
      </c>
      <c r="R10" s="97">
        <f>+'Tuition-4Yr'!R10+'State Appropriations-4Yr'!R10+'Local Appropriations-4Yr'!R10+'Fed Contracts Grnts-4Yr'!R10+'Other Contract Grnts-4Yr'!R10+'Investment Income-4Yr'!R10+'All Other E&amp;G-4Yr'!R10</f>
        <v>3301030.7890000003</v>
      </c>
      <c r="S10" s="97">
        <f>+'Tuition-4Yr'!S10+'State Appropriations-4Yr'!S10+'Local Appropriations-4Yr'!S10+'Fed Contracts Grnts-4Yr'!S10+'Other Contract Grnts-4Yr'!S10+'Investment Income-4Yr'!S10+'All Other E&amp;G-4Yr'!S10</f>
        <v>3621955.3710000003</v>
      </c>
      <c r="T10" s="97">
        <f>+'Tuition-4Yr'!T10+'State Appropriations-4Yr'!T10+'Local Appropriations-4Yr'!T10+'Fed Contracts Grnts-4Yr'!T10+'Other Contract Grnts-4Yr'!T10+'Investment Income-4Yr'!T10+'All Other E&amp;G-4Yr'!T10</f>
        <v>4008259.9849999994</v>
      </c>
      <c r="U10" s="97">
        <f>+'Tuition-4Yr'!U10+'State Appropriations-4Yr'!U10+'Local Appropriations-4Yr'!U10+'Fed Contracts Grnts-4Yr'!U10+'Other Contract Grnts-4Yr'!U10+'Investment Income-4Yr'!U10+'All Other E&amp;G-4Yr'!U10</f>
        <v>4603982.1340000005</v>
      </c>
      <c r="V10" s="97">
        <f>+'Tuition-4Yr'!V10+'State Appropriations-4Yr'!V10+'Local Appropriations-4Yr'!V10+'Fed Contracts Grnts-4Yr'!V10+'Other Contract Grnts-4Yr'!V10+'Investment Income-4Yr'!V10+'All Other E&amp;G-4Yr'!V10</f>
        <v>4844659.87</v>
      </c>
      <c r="W10" s="97">
        <f>+'Tuition-4Yr'!W10+'State Appropriations-4Yr'!W10+'Local Appropriations-4Yr'!W10+'Fed Contracts Grnts-4Yr'!W10+'Other Contract Grnts-4Yr'!W10+'Investment Income-4Yr'!W10+'All Other E&amp;G-4Yr'!W10</f>
        <v>5930426.0369999995</v>
      </c>
      <c r="X10" s="97">
        <f>+'Tuition-4Yr'!X10+'State Appropriations-4Yr'!X10+'Local Appropriations-4Yr'!X10+'Fed Contracts Grnts-4Yr'!X10+'Other Contract Grnts-4Yr'!X10+'Investment Income-4Yr'!X10+'All Other E&amp;G-4Yr'!X10</f>
        <v>5596639.2930000005</v>
      </c>
      <c r="Y10" s="97">
        <f>+'Tuition-4Yr'!Y10+'State Appropriations-4Yr'!Y10+'Local Appropriations-4Yr'!Y10+'Fed Contracts Grnts-4Yr'!Y10+'Other Contract Grnts-4Yr'!Y10+'Investment Income-4Yr'!Y10+'All Other E&amp;G-4Yr'!Y10</f>
        <v>5965048.3130000001</v>
      </c>
      <c r="Z10" s="97">
        <f>+'Tuition-4Yr'!Z10+'State Appropriations-4Yr'!Z10+'Local Appropriations-4Yr'!Z10+'Fed Contracts Grnts-4Yr'!Z10+'Other Contract Grnts-4Yr'!Z10+'Investment Income-4Yr'!Z10+'All Other E&amp;G-4Yr'!Z10</f>
        <v>6145616.4519999996</v>
      </c>
      <c r="AA10" s="97">
        <f>+'Tuition-4Yr'!AA10+'State Appropriations-4Yr'!AA10+'Local Appropriations-4Yr'!AA10+'Fed Contracts Grnts-4Yr'!AA10+'Other Contract Grnts-4Yr'!AA10+'Investment Income-4Yr'!AA10+'All Other E&amp;G-4Yr'!AA10</f>
        <v>6441638.3040000005</v>
      </c>
      <c r="AB10" s="97">
        <f>+'Tuition-4Yr'!AB10+'State Appropriations-4Yr'!AB10+'Local Appropriations-4Yr'!AB10+'Fed Contracts Grnts-4Yr'!AB10+'Other Contract Grnts-4Yr'!AB10+'Investment Income-4Yr'!AB10+'All Other E&amp;G-4Yr'!AB10</f>
        <v>6851718.4009999996</v>
      </c>
      <c r="AC10" s="97">
        <f>+'Tuition-4Yr'!AC10+'State Appropriations-4Yr'!AC10+'Local Appropriations-4Yr'!AC10+'Fed Contracts Grnts-4Yr'!AC10+'Other Contract Grnts-4Yr'!AC10+'Investment Income-4Yr'!AC10+'All Other E&amp;G-4Yr'!AC10</f>
        <v>7352949</v>
      </c>
      <c r="AD10" s="97">
        <f>+'Tuition-4Yr'!AD10+'State Appropriations-4Yr'!AD10+'Local Appropriations-4Yr'!AD10+'Fed Contracts Grnts-4Yr'!AD10+'Other Contract Grnts-4Yr'!AD10+'Investment Income-4Yr'!AD10+'All Other E&amp;G-4Yr'!AD10</f>
        <v>7221777.6079999991</v>
      </c>
      <c r="AE10" s="97">
        <f>+'Tuition-4Yr'!AE10+'State Appropriations-4Yr'!AE10+'Local Appropriations-4Yr'!AE10+'Fed Contracts Grnts-4Yr'!AE10+'Other Contract Grnts-4Yr'!AE10+'Investment Income-4Yr'!AE10+'All Other E&amp;G-4Yr'!AE10</f>
        <v>7201722.635999999</v>
      </c>
      <c r="AF10" s="97">
        <f>+'Tuition-4Yr'!AF10+'State Appropriations-4Yr'!AF10+'Local Appropriations-4Yr'!AF10+'Fed Contracts Grnts-4Yr'!AF10+'Other Contract Grnts-4Yr'!AF10+'Investment Income-4Yr'!AF10+'All Other E&amp;G-4Yr'!AF10</f>
        <v>7927458.4860000005</v>
      </c>
      <c r="AG10" s="97">
        <f>+'Tuition-4Yr'!AG10+'State Appropriations-4Yr'!AG10+'Local Appropriations-4Yr'!AG10+'Fed Contracts Grnts-4Yr'!AG10+'Other Contract Grnts-4Yr'!AG10+'Investment Income-4Yr'!AG10+'All Other E&amp;G-4Yr'!AG10</f>
        <v>8435102.1559999995</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row>
    <row r="11" spans="1:213" ht="12.75" customHeight="1">
      <c r="A11" s="14" t="s">
        <v>4</v>
      </c>
      <c r="B11" s="97">
        <f>+'Tuition-4Yr'!B11+'State Appropriations-4Yr'!B11+'Local Appropriations-4Yr'!B11+'Fed Contracts Grnts-4Yr'!B11+'Other Contract Grnts-4Yr'!B11+'Investment Income-4Yr'!B11+'All Other E&amp;G-4Yr'!B11</f>
        <v>838231</v>
      </c>
      <c r="C11" s="97">
        <f>+'Tuition-4Yr'!C11+'State Appropriations-4Yr'!C11+'Local Appropriations-4Yr'!C11+'Fed Contracts Grnts-4Yr'!C11+'Other Contract Grnts-4Yr'!C11+'Investment Income-4Yr'!C11+'All Other E&amp;G-4Yr'!C11</f>
        <v>911952</v>
      </c>
      <c r="D11" s="97">
        <f>+'Tuition-4Yr'!D11+'State Appropriations-4Yr'!D11+'Local Appropriations-4Yr'!D11+'Fed Contracts Grnts-4Yr'!D11+'Other Contract Grnts-4Yr'!D11+'Investment Income-4Yr'!D11+'All Other E&amp;G-4Yr'!D11</f>
        <v>1004924</v>
      </c>
      <c r="E11" s="97">
        <f>+'Tuition-4Yr'!E11+'State Appropriations-4Yr'!E11+'Local Appropriations-4Yr'!E11+'Fed Contracts Grnts-4Yr'!E11+'Other Contract Grnts-4Yr'!E11+'Investment Income-4Yr'!E11+'All Other E&amp;G-4Yr'!E11</f>
        <v>0</v>
      </c>
      <c r="F11" s="97">
        <f>+'Tuition-4Yr'!F11+'State Appropriations-4Yr'!F11+'Local Appropriations-4Yr'!F11+'Fed Contracts Grnts-4Yr'!F11+'Other Contract Grnts-4Yr'!F11+'Investment Income-4Yr'!F11+'All Other E&amp;G-4Yr'!F11</f>
        <v>0</v>
      </c>
      <c r="G11" s="97">
        <f>+'Tuition-4Yr'!G11+'State Appropriations-4Yr'!G11+'Local Appropriations-4Yr'!G11+'Fed Contracts Grnts-4Yr'!G11+'Other Contract Grnts-4Yr'!G11+'Investment Income-4Yr'!G11+'All Other E&amp;G-4Yr'!G11</f>
        <v>0</v>
      </c>
      <c r="H11" s="97">
        <f>+'Tuition-4Yr'!H11+'State Appropriations-4Yr'!H11+'Local Appropriations-4Yr'!H11+'Fed Contracts Grnts-4Yr'!H11+'Other Contract Grnts-4Yr'!H11+'Investment Income-4Yr'!H11+'All Other E&amp;G-4Yr'!H11</f>
        <v>0</v>
      </c>
      <c r="I11" s="97">
        <f>+'Tuition-4Yr'!I11+'State Appropriations-4Yr'!I11+'Local Appropriations-4Yr'!I11+'Fed Contracts Grnts-4Yr'!I11+'Other Contract Grnts-4Yr'!I11+'Investment Income-4Yr'!I11+'All Other E&amp;G-4Yr'!I11</f>
        <v>1391776.287</v>
      </c>
      <c r="J11" s="97">
        <f>+'Tuition-4Yr'!J11+'State Appropriations-4Yr'!J11+'Local Appropriations-4Yr'!J11+'Fed Contracts Grnts-4Yr'!J11+'Other Contract Grnts-4Yr'!J11+'Investment Income-4Yr'!J11+'All Other E&amp;G-4Yr'!J11</f>
        <v>1415815.1240000001</v>
      </c>
      <c r="K11" s="97">
        <f>+'Tuition-4Yr'!K11+'State Appropriations-4Yr'!K11+'Local Appropriations-4Yr'!K11+'Fed Contracts Grnts-4Yr'!K11+'Other Contract Grnts-4Yr'!K11+'Investment Income-4Yr'!K11+'All Other E&amp;G-4Yr'!K11</f>
        <v>1560988.9300000002</v>
      </c>
      <c r="L11" s="97">
        <f>+'Tuition-4Yr'!L11+'State Appropriations-4Yr'!L11+'Local Appropriations-4Yr'!L11+'Fed Contracts Grnts-4Yr'!L11+'Other Contract Grnts-4Yr'!L11+'Investment Income-4Yr'!L11+'All Other E&amp;G-4Yr'!L11</f>
        <v>1713464.4129999999</v>
      </c>
      <c r="M11" s="97">
        <f>+'Tuition-4Yr'!M11+'State Appropriations-4Yr'!M11+'Local Appropriations-4Yr'!M11+'Fed Contracts Grnts-4Yr'!M11+'Other Contract Grnts-4Yr'!M11+'Investment Income-4Yr'!M11+'All Other E&amp;G-4Yr'!M11</f>
        <v>1899594.2849999999</v>
      </c>
      <c r="N11" s="97">
        <f>+'Tuition-4Yr'!N11+'State Appropriations-4Yr'!N11+'Local Appropriations-4Yr'!N11+'Fed Contracts Grnts-4Yr'!N11+'Other Contract Grnts-4Yr'!N11+'Investment Income-4Yr'!N11+'All Other E&amp;G-4Yr'!N11</f>
        <v>2069886.5790000001</v>
      </c>
      <c r="O11" s="97">
        <f>+'Tuition-4Yr'!O11+'State Appropriations-4Yr'!O11+'Local Appropriations-4Yr'!O11+'Fed Contracts Grnts-4Yr'!O11+'Other Contract Grnts-4Yr'!O11+'Investment Income-4Yr'!O11+'All Other E&amp;G-4Yr'!O11</f>
        <v>2304789.0870000003</v>
      </c>
      <c r="P11" s="97">
        <f>+'Tuition-4Yr'!P11+'State Appropriations-4Yr'!P11+'Local Appropriations-4Yr'!P11+'Fed Contracts Grnts-4Yr'!P11+'Other Contract Grnts-4Yr'!P11+'Investment Income-4Yr'!P11+'All Other E&amp;G-4Yr'!P11</f>
        <v>0</v>
      </c>
      <c r="Q11" s="97">
        <f>+'Tuition-4Yr'!Q11+'State Appropriations-4Yr'!Q11+'Local Appropriations-4Yr'!Q11+'Fed Contracts Grnts-4Yr'!Q11+'Other Contract Grnts-4Yr'!Q11+'Investment Income-4Yr'!Q11+'All Other E&amp;G-4Yr'!Q11</f>
        <v>0</v>
      </c>
      <c r="R11" s="97">
        <f>+'Tuition-4Yr'!R11+'State Appropriations-4Yr'!R11+'Local Appropriations-4Yr'!R11+'Fed Contracts Grnts-4Yr'!R11+'Other Contract Grnts-4Yr'!R11+'Investment Income-4Yr'!R11+'All Other E&amp;G-4Yr'!R11</f>
        <v>2897779.7780000004</v>
      </c>
      <c r="S11" s="97">
        <f>+'Tuition-4Yr'!S11+'State Appropriations-4Yr'!S11+'Local Appropriations-4Yr'!S11+'Fed Contracts Grnts-4Yr'!S11+'Other Contract Grnts-4Yr'!S11+'Investment Income-4Yr'!S11+'All Other E&amp;G-4Yr'!S11</f>
        <v>3176932.6040000003</v>
      </c>
      <c r="T11" s="97">
        <f>+'Tuition-4Yr'!T11+'State Appropriations-4Yr'!T11+'Local Appropriations-4Yr'!T11+'Fed Contracts Grnts-4Yr'!T11+'Other Contract Grnts-4Yr'!T11+'Investment Income-4Yr'!T11+'All Other E&amp;G-4Yr'!T11</f>
        <v>3121948.7730000005</v>
      </c>
      <c r="U11" s="97">
        <f>+'Tuition-4Yr'!U11+'State Appropriations-4Yr'!U11+'Local Appropriations-4Yr'!U11+'Fed Contracts Grnts-4Yr'!U11+'Other Contract Grnts-4Yr'!U11+'Investment Income-4Yr'!U11+'All Other E&amp;G-4Yr'!U11</f>
        <v>3235461.04</v>
      </c>
      <c r="V11" s="97">
        <f>+'Tuition-4Yr'!V11+'State Appropriations-4Yr'!V11+'Local Appropriations-4Yr'!V11+'Fed Contracts Grnts-4Yr'!V11+'Other Contract Grnts-4Yr'!V11+'Investment Income-4Yr'!V11+'All Other E&amp;G-4Yr'!V11</f>
        <v>3309401.2490000003</v>
      </c>
      <c r="W11" s="97">
        <f>+'Tuition-4Yr'!W11+'State Appropriations-4Yr'!W11+'Local Appropriations-4Yr'!W11+'Fed Contracts Grnts-4Yr'!W11+'Other Contract Grnts-4Yr'!W11+'Investment Income-4Yr'!W11+'All Other E&amp;G-4Yr'!W11</f>
        <v>3347322.9069999997</v>
      </c>
      <c r="X11" s="97">
        <f>+'Tuition-4Yr'!X11+'State Appropriations-4Yr'!X11+'Local Appropriations-4Yr'!X11+'Fed Contracts Grnts-4Yr'!X11+'Other Contract Grnts-4Yr'!X11+'Investment Income-4Yr'!X11+'All Other E&amp;G-4Yr'!X11</f>
        <v>3438574.6579999998</v>
      </c>
      <c r="Y11" s="97">
        <f>+'Tuition-4Yr'!Y11+'State Appropriations-4Yr'!Y11+'Local Appropriations-4Yr'!Y11+'Fed Contracts Grnts-4Yr'!Y11+'Other Contract Grnts-4Yr'!Y11+'Investment Income-4Yr'!Y11+'All Other E&amp;G-4Yr'!Y11</f>
        <v>3728850.4910000004</v>
      </c>
      <c r="Z11" s="97">
        <f>+'Tuition-4Yr'!Z11+'State Appropriations-4Yr'!Z11+'Local Appropriations-4Yr'!Z11+'Fed Contracts Grnts-4Yr'!Z11+'Other Contract Grnts-4Yr'!Z11+'Investment Income-4Yr'!Z11+'All Other E&amp;G-4Yr'!Z11</f>
        <v>4077522.8499999996</v>
      </c>
      <c r="AA11" s="97">
        <f>+'Tuition-4Yr'!AA11+'State Appropriations-4Yr'!AA11+'Local Appropriations-4Yr'!AA11+'Fed Contracts Grnts-4Yr'!AA11+'Other Contract Grnts-4Yr'!AA11+'Investment Income-4Yr'!AA11+'All Other E&amp;G-4Yr'!AA11</f>
        <v>3900669.5669999998</v>
      </c>
      <c r="AB11" s="97">
        <f>+'Tuition-4Yr'!AB11+'State Appropriations-4Yr'!AB11+'Local Appropriations-4Yr'!AB11+'Fed Contracts Grnts-4Yr'!AB11+'Other Contract Grnts-4Yr'!AB11+'Investment Income-4Yr'!AB11+'All Other E&amp;G-4Yr'!AB11</f>
        <v>4714337.6329999994</v>
      </c>
      <c r="AC11" s="97">
        <f>+'Tuition-4Yr'!AC11+'State Appropriations-4Yr'!AC11+'Local Appropriations-4Yr'!AC11+'Fed Contracts Grnts-4Yr'!AC11+'Other Contract Grnts-4Yr'!AC11+'Investment Income-4Yr'!AC11+'All Other E&amp;G-4Yr'!AC11</f>
        <v>5025488</v>
      </c>
      <c r="AD11" s="97">
        <f>+'Tuition-4Yr'!AD11+'State Appropriations-4Yr'!AD11+'Local Appropriations-4Yr'!AD11+'Fed Contracts Grnts-4Yr'!AD11+'Other Contract Grnts-4Yr'!AD11+'Investment Income-4Yr'!AD11+'All Other E&amp;G-4Yr'!AD11</f>
        <v>5259176.2290000003</v>
      </c>
      <c r="AE11" s="97">
        <f>+'Tuition-4Yr'!AE11+'State Appropriations-4Yr'!AE11+'Local Appropriations-4Yr'!AE11+'Fed Contracts Grnts-4Yr'!AE11+'Other Contract Grnts-4Yr'!AE11+'Investment Income-4Yr'!AE11+'All Other E&amp;G-4Yr'!AE11</f>
        <v>5726556.3510000007</v>
      </c>
      <c r="AF11" s="97">
        <f>+'Tuition-4Yr'!AF11+'State Appropriations-4Yr'!AF11+'Local Appropriations-4Yr'!AF11+'Fed Contracts Grnts-4Yr'!AF11+'Other Contract Grnts-4Yr'!AF11+'Investment Income-4Yr'!AF11+'All Other E&amp;G-4Yr'!AF11</f>
        <v>5673008.0030000005</v>
      </c>
      <c r="AG11" s="97">
        <f>+'Tuition-4Yr'!AG11+'State Appropriations-4Yr'!AG11+'Local Appropriations-4Yr'!AG11+'Fed Contracts Grnts-4Yr'!AG11+'Other Contract Grnts-4Yr'!AG11+'Investment Income-4Yr'!AG11+'All Other E&amp;G-4Yr'!AG11</f>
        <v>6091713.8420000002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row>
    <row r="12" spans="1:213" ht="12.75" customHeight="1">
      <c r="A12" s="14" t="s">
        <v>5</v>
      </c>
      <c r="B12" s="97">
        <f>+'Tuition-4Yr'!B12+'State Appropriations-4Yr'!B12+'Local Appropriations-4Yr'!B12+'Fed Contracts Grnts-4Yr'!B12+'Other Contract Grnts-4Yr'!B12+'Investment Income-4Yr'!B12+'All Other E&amp;G-4Yr'!B12</f>
        <v>658360</v>
      </c>
      <c r="C12" s="97">
        <f>+'Tuition-4Yr'!C12+'State Appropriations-4Yr'!C12+'Local Appropriations-4Yr'!C12+'Fed Contracts Grnts-4Yr'!C12+'Other Contract Grnts-4Yr'!C12+'Investment Income-4Yr'!C12+'All Other E&amp;G-4Yr'!C12</f>
        <v>696203</v>
      </c>
      <c r="D12" s="97">
        <f>+'Tuition-4Yr'!D12+'State Appropriations-4Yr'!D12+'Local Appropriations-4Yr'!D12+'Fed Contracts Grnts-4Yr'!D12+'Other Contract Grnts-4Yr'!D12+'Investment Income-4Yr'!D12+'All Other E&amp;G-4Yr'!D12</f>
        <v>743327</v>
      </c>
      <c r="E12" s="97">
        <f>+'Tuition-4Yr'!E12+'State Appropriations-4Yr'!E12+'Local Appropriations-4Yr'!E12+'Fed Contracts Grnts-4Yr'!E12+'Other Contract Grnts-4Yr'!E12+'Investment Income-4Yr'!E12+'All Other E&amp;G-4Yr'!E12</f>
        <v>0</v>
      </c>
      <c r="F12" s="97">
        <f>+'Tuition-4Yr'!F12+'State Appropriations-4Yr'!F12+'Local Appropriations-4Yr'!F12+'Fed Contracts Grnts-4Yr'!F12+'Other Contract Grnts-4Yr'!F12+'Investment Income-4Yr'!F12+'All Other E&amp;G-4Yr'!F12</f>
        <v>0</v>
      </c>
      <c r="G12" s="97">
        <f>+'Tuition-4Yr'!G12+'State Appropriations-4Yr'!G12+'Local Appropriations-4Yr'!G12+'Fed Contracts Grnts-4Yr'!G12+'Other Contract Grnts-4Yr'!G12+'Investment Income-4Yr'!G12+'All Other E&amp;G-4Yr'!G12</f>
        <v>0</v>
      </c>
      <c r="H12" s="97">
        <f>+'Tuition-4Yr'!H12+'State Appropriations-4Yr'!H12+'Local Appropriations-4Yr'!H12+'Fed Contracts Grnts-4Yr'!H12+'Other Contract Grnts-4Yr'!H12+'Investment Income-4Yr'!H12+'All Other E&amp;G-4Yr'!H12</f>
        <v>0</v>
      </c>
      <c r="I12" s="97">
        <f>+'Tuition-4Yr'!I12+'State Appropriations-4Yr'!I12+'Local Appropriations-4Yr'!I12+'Fed Contracts Grnts-4Yr'!I12+'Other Contract Grnts-4Yr'!I12+'Investment Income-4Yr'!I12+'All Other E&amp;G-4Yr'!I12</f>
        <v>1074630.94</v>
      </c>
      <c r="J12" s="97">
        <f>+'Tuition-4Yr'!J12+'State Appropriations-4Yr'!J12+'Local Appropriations-4Yr'!J12+'Fed Contracts Grnts-4Yr'!J12+'Other Contract Grnts-4Yr'!J12+'Investment Income-4Yr'!J12+'All Other E&amp;G-4Yr'!J12</f>
        <v>1149012.3860000002</v>
      </c>
      <c r="K12" s="97">
        <f>+'Tuition-4Yr'!K12+'State Appropriations-4Yr'!K12+'Local Appropriations-4Yr'!K12+'Fed Contracts Grnts-4Yr'!K12+'Other Contract Grnts-4Yr'!K12+'Investment Income-4Yr'!K12+'All Other E&amp;G-4Yr'!K12</f>
        <v>1160101.287</v>
      </c>
      <c r="L12" s="97">
        <f>+'Tuition-4Yr'!L12+'State Appropriations-4Yr'!L12+'Local Appropriations-4Yr'!L12+'Fed Contracts Grnts-4Yr'!L12+'Other Contract Grnts-4Yr'!L12+'Investment Income-4Yr'!L12+'All Other E&amp;G-4Yr'!L12</f>
        <v>1206443.29</v>
      </c>
      <c r="M12" s="97">
        <f>+'Tuition-4Yr'!M12+'State Appropriations-4Yr'!M12+'Local Appropriations-4Yr'!M12+'Fed Contracts Grnts-4Yr'!M12+'Other Contract Grnts-4Yr'!M12+'Investment Income-4Yr'!M12+'All Other E&amp;G-4Yr'!M12</f>
        <v>1293938.2860000003</v>
      </c>
      <c r="N12" s="97">
        <f>+'Tuition-4Yr'!N12+'State Appropriations-4Yr'!N12+'Local Appropriations-4Yr'!N12+'Fed Contracts Grnts-4Yr'!N12+'Other Contract Grnts-4Yr'!N12+'Investment Income-4Yr'!N12+'All Other E&amp;G-4Yr'!N12</f>
        <v>1388954.6359999999</v>
      </c>
      <c r="O12" s="97">
        <f>+'Tuition-4Yr'!O12+'State Appropriations-4Yr'!O12+'Local Appropriations-4Yr'!O12+'Fed Contracts Grnts-4Yr'!O12+'Other Contract Grnts-4Yr'!O12+'Investment Income-4Yr'!O12+'All Other E&amp;G-4Yr'!O12</f>
        <v>1532753.7310000001</v>
      </c>
      <c r="P12" s="97">
        <f>+'Tuition-4Yr'!P12+'State Appropriations-4Yr'!P12+'Local Appropriations-4Yr'!P12+'Fed Contracts Grnts-4Yr'!P12+'Other Contract Grnts-4Yr'!P12+'Investment Income-4Yr'!P12+'All Other E&amp;G-4Yr'!P12</f>
        <v>0</v>
      </c>
      <c r="Q12" s="97">
        <f>+'Tuition-4Yr'!Q12+'State Appropriations-4Yr'!Q12+'Local Appropriations-4Yr'!Q12+'Fed Contracts Grnts-4Yr'!Q12+'Other Contract Grnts-4Yr'!Q12+'Investment Income-4Yr'!Q12+'All Other E&amp;G-4Yr'!Q12</f>
        <v>0</v>
      </c>
      <c r="R12" s="97">
        <f>+'Tuition-4Yr'!R12+'State Appropriations-4Yr'!R12+'Local Appropriations-4Yr'!R12+'Fed Contracts Grnts-4Yr'!R12+'Other Contract Grnts-4Yr'!R12+'Investment Income-4Yr'!R12+'All Other E&amp;G-4Yr'!R12</f>
        <v>1826546.3309999998</v>
      </c>
      <c r="S12" s="97">
        <f>+'Tuition-4Yr'!S12+'State Appropriations-4Yr'!S12+'Local Appropriations-4Yr'!S12+'Fed Contracts Grnts-4Yr'!S12+'Other Contract Grnts-4Yr'!S12+'Investment Income-4Yr'!S12+'All Other E&amp;G-4Yr'!S12</f>
        <v>1966020.8630000001</v>
      </c>
      <c r="T12" s="97">
        <f>+'Tuition-4Yr'!T12+'State Appropriations-4Yr'!T12+'Local Appropriations-4Yr'!T12+'Fed Contracts Grnts-4Yr'!T12+'Other Contract Grnts-4Yr'!T12+'Investment Income-4Yr'!T12+'All Other E&amp;G-4Yr'!T12</f>
        <v>1912517.436</v>
      </c>
      <c r="U12" s="97">
        <f>+'Tuition-4Yr'!U12+'State Appropriations-4Yr'!U12+'Local Appropriations-4Yr'!U12+'Fed Contracts Grnts-4Yr'!U12+'Other Contract Grnts-4Yr'!U12+'Investment Income-4Yr'!U12+'All Other E&amp;G-4Yr'!U12</f>
        <v>1908886.4070000001</v>
      </c>
      <c r="V12" s="97">
        <f>+'Tuition-4Yr'!V12+'State Appropriations-4Yr'!V12+'Local Appropriations-4Yr'!V12+'Fed Contracts Grnts-4Yr'!V12+'Other Contract Grnts-4Yr'!V12+'Investment Income-4Yr'!V12+'All Other E&amp;G-4Yr'!V12</f>
        <v>2009676.2109999997</v>
      </c>
      <c r="W12" s="97">
        <f>+'Tuition-4Yr'!W12+'State Appropriations-4Yr'!W12+'Local Appropriations-4Yr'!W12+'Fed Contracts Grnts-4Yr'!W12+'Other Contract Grnts-4Yr'!W12+'Investment Income-4Yr'!W12+'All Other E&amp;G-4Yr'!W12</f>
        <v>2305980.8470000001</v>
      </c>
      <c r="X12" s="97">
        <f>+'Tuition-4Yr'!X12+'State Appropriations-4Yr'!X12+'Local Appropriations-4Yr'!X12+'Fed Contracts Grnts-4Yr'!X12+'Other Contract Grnts-4Yr'!X12+'Investment Income-4Yr'!X12+'All Other E&amp;G-4Yr'!X12</f>
        <v>2397729.8319999999</v>
      </c>
      <c r="Y12" s="97">
        <f>+'Tuition-4Yr'!Y12+'State Appropriations-4Yr'!Y12+'Local Appropriations-4Yr'!Y12+'Fed Contracts Grnts-4Yr'!Y12+'Other Contract Grnts-4Yr'!Y12+'Investment Income-4Yr'!Y12+'All Other E&amp;G-4Yr'!Y12</f>
        <v>2582088.1979999999</v>
      </c>
      <c r="Z12" s="97">
        <f>+'Tuition-4Yr'!Z12+'State Appropriations-4Yr'!Z12+'Local Appropriations-4Yr'!Z12+'Fed Contracts Grnts-4Yr'!Z12+'Other Contract Grnts-4Yr'!Z12+'Investment Income-4Yr'!Z12+'All Other E&amp;G-4Yr'!Z12</f>
        <v>2498095.8960000002</v>
      </c>
      <c r="AA12" s="97">
        <f>+'Tuition-4Yr'!AA12+'State Appropriations-4Yr'!AA12+'Local Appropriations-4Yr'!AA12+'Fed Contracts Grnts-4Yr'!AA12+'Other Contract Grnts-4Yr'!AA12+'Investment Income-4Yr'!AA12+'All Other E&amp;G-4Yr'!AA12</f>
        <v>2632064.7650000001</v>
      </c>
      <c r="AB12" s="97">
        <f>+'Tuition-4Yr'!AB12+'State Appropriations-4Yr'!AB12+'Local Appropriations-4Yr'!AB12+'Fed Contracts Grnts-4Yr'!AB12+'Other Contract Grnts-4Yr'!AB12+'Investment Income-4Yr'!AB12+'All Other E&amp;G-4Yr'!AB12</f>
        <v>3257958.4539999999</v>
      </c>
      <c r="AC12" s="97">
        <f>+'Tuition-4Yr'!AC12+'State Appropriations-4Yr'!AC12+'Local Appropriations-4Yr'!AC12+'Fed Contracts Grnts-4Yr'!AC12+'Other Contract Grnts-4Yr'!AC12+'Investment Income-4Yr'!AC12+'All Other E&amp;G-4Yr'!AC12</f>
        <v>3499926</v>
      </c>
      <c r="AD12" s="97">
        <f>+'Tuition-4Yr'!AD12+'State Appropriations-4Yr'!AD12+'Local Appropriations-4Yr'!AD12+'Fed Contracts Grnts-4Yr'!AD12+'Other Contract Grnts-4Yr'!AD12+'Investment Income-4Yr'!AD12+'All Other E&amp;G-4Yr'!AD12</f>
        <v>3340573.9819999998</v>
      </c>
      <c r="AE12" s="97">
        <f>+'Tuition-4Yr'!AE12+'State Appropriations-4Yr'!AE12+'Local Appropriations-4Yr'!AE12+'Fed Contracts Grnts-4Yr'!AE12+'Other Contract Grnts-4Yr'!AE12+'Investment Income-4Yr'!AE12+'All Other E&amp;G-4Yr'!AE12</f>
        <v>3452864.9580000001</v>
      </c>
      <c r="AF12" s="97">
        <f>+'Tuition-4Yr'!AF12+'State Appropriations-4Yr'!AF12+'Local Appropriations-4Yr'!AF12+'Fed Contracts Grnts-4Yr'!AF12+'Other Contract Grnts-4Yr'!AF12+'Investment Income-4Yr'!AF12+'All Other E&amp;G-4Yr'!AF12</f>
        <v>3226574.875</v>
      </c>
      <c r="AG12" s="97">
        <f>+'Tuition-4Yr'!AG12+'State Appropriations-4Yr'!AG12+'Local Appropriations-4Yr'!AG12+'Fed Contracts Grnts-4Yr'!AG12+'Other Contract Grnts-4Yr'!AG12+'Investment Income-4Yr'!AG12+'All Other E&amp;G-4Yr'!AG12</f>
        <v>3620421.1100000003</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row>
    <row r="13" spans="1:213" ht="12.75" customHeight="1">
      <c r="A13" s="14" t="s">
        <v>6</v>
      </c>
      <c r="B13" s="97">
        <f>+'Tuition-4Yr'!B13+'State Appropriations-4Yr'!B13+'Local Appropriations-4Yr'!B13+'Fed Contracts Grnts-4Yr'!B13+'Other Contract Grnts-4Yr'!B13+'Investment Income-4Yr'!B13+'All Other E&amp;G-4Yr'!B13</f>
        <v>765743</v>
      </c>
      <c r="C13" s="97">
        <f>+'Tuition-4Yr'!C13+'State Appropriations-4Yr'!C13+'Local Appropriations-4Yr'!C13+'Fed Contracts Grnts-4Yr'!C13+'Other Contract Grnts-4Yr'!C13+'Investment Income-4Yr'!C13+'All Other E&amp;G-4Yr'!C13</f>
        <v>837406</v>
      </c>
      <c r="D13" s="97">
        <f>+'Tuition-4Yr'!D13+'State Appropriations-4Yr'!D13+'Local Appropriations-4Yr'!D13+'Fed Contracts Grnts-4Yr'!D13+'Other Contract Grnts-4Yr'!D13+'Investment Income-4Yr'!D13+'All Other E&amp;G-4Yr'!D13</f>
        <v>874946</v>
      </c>
      <c r="E13" s="97">
        <f>+'Tuition-4Yr'!E13+'State Appropriations-4Yr'!E13+'Local Appropriations-4Yr'!E13+'Fed Contracts Grnts-4Yr'!E13+'Other Contract Grnts-4Yr'!E13+'Investment Income-4Yr'!E13+'All Other E&amp;G-4Yr'!E13</f>
        <v>0</v>
      </c>
      <c r="F13" s="97">
        <f>+'Tuition-4Yr'!F13+'State Appropriations-4Yr'!F13+'Local Appropriations-4Yr'!F13+'Fed Contracts Grnts-4Yr'!F13+'Other Contract Grnts-4Yr'!F13+'Investment Income-4Yr'!F13+'All Other E&amp;G-4Yr'!F13</f>
        <v>0</v>
      </c>
      <c r="G13" s="97">
        <f>+'Tuition-4Yr'!G13+'State Appropriations-4Yr'!G13+'Local Appropriations-4Yr'!G13+'Fed Contracts Grnts-4Yr'!G13+'Other Contract Grnts-4Yr'!G13+'Investment Income-4Yr'!G13+'All Other E&amp;G-4Yr'!G13</f>
        <v>0</v>
      </c>
      <c r="H13" s="97">
        <f>+'Tuition-4Yr'!H13+'State Appropriations-4Yr'!H13+'Local Appropriations-4Yr'!H13+'Fed Contracts Grnts-4Yr'!H13+'Other Contract Grnts-4Yr'!H13+'Investment Income-4Yr'!H13+'All Other E&amp;G-4Yr'!H13</f>
        <v>0</v>
      </c>
      <c r="I13" s="97">
        <f>+'Tuition-4Yr'!I13+'State Appropriations-4Yr'!I13+'Local Appropriations-4Yr'!I13+'Fed Contracts Grnts-4Yr'!I13+'Other Contract Grnts-4Yr'!I13+'Investment Income-4Yr'!I13+'All Other E&amp;G-4Yr'!I13</f>
        <v>1160775.1600000001</v>
      </c>
      <c r="J13" s="97">
        <f>+'Tuition-4Yr'!J13+'State Appropriations-4Yr'!J13+'Local Appropriations-4Yr'!J13+'Fed Contracts Grnts-4Yr'!J13+'Other Contract Grnts-4Yr'!J13+'Investment Income-4Yr'!J13+'All Other E&amp;G-4Yr'!J13</f>
        <v>1239676.851</v>
      </c>
      <c r="K13" s="97">
        <f>+'Tuition-4Yr'!K13+'State Appropriations-4Yr'!K13+'Local Appropriations-4Yr'!K13+'Fed Contracts Grnts-4Yr'!K13+'Other Contract Grnts-4Yr'!K13+'Investment Income-4Yr'!K13+'All Other E&amp;G-4Yr'!K13</f>
        <v>1323208.845</v>
      </c>
      <c r="L13" s="97">
        <f>+'Tuition-4Yr'!L13+'State Appropriations-4Yr'!L13+'Local Appropriations-4Yr'!L13+'Fed Contracts Grnts-4Yr'!L13+'Other Contract Grnts-4Yr'!L13+'Investment Income-4Yr'!L13+'All Other E&amp;G-4Yr'!L13</f>
        <v>1364583.3439999998</v>
      </c>
      <c r="M13" s="97">
        <f>+'Tuition-4Yr'!M13+'State Appropriations-4Yr'!M13+'Local Appropriations-4Yr'!M13+'Fed Contracts Grnts-4Yr'!M13+'Other Contract Grnts-4Yr'!M13+'Investment Income-4Yr'!M13+'All Other E&amp;G-4Yr'!M13</f>
        <v>1500955.2289999998</v>
      </c>
      <c r="N13" s="97">
        <f>+'Tuition-4Yr'!N13+'State Appropriations-4Yr'!N13+'Local Appropriations-4Yr'!N13+'Fed Contracts Grnts-4Yr'!N13+'Other Contract Grnts-4Yr'!N13+'Investment Income-4Yr'!N13+'All Other E&amp;G-4Yr'!N13</f>
        <v>1545880.183</v>
      </c>
      <c r="O13" s="97">
        <f>+'Tuition-4Yr'!O13+'State Appropriations-4Yr'!O13+'Local Appropriations-4Yr'!O13+'Fed Contracts Grnts-4Yr'!O13+'Other Contract Grnts-4Yr'!O13+'Investment Income-4Yr'!O13+'All Other E&amp;G-4Yr'!O13</f>
        <v>1622611.1579999998</v>
      </c>
      <c r="P13" s="97">
        <f>+'Tuition-4Yr'!P13+'State Appropriations-4Yr'!P13+'Local Appropriations-4Yr'!P13+'Fed Contracts Grnts-4Yr'!P13+'Other Contract Grnts-4Yr'!P13+'Investment Income-4Yr'!P13+'All Other E&amp;G-4Yr'!P13</f>
        <v>0</v>
      </c>
      <c r="Q13" s="97">
        <f>+'Tuition-4Yr'!Q13+'State Appropriations-4Yr'!Q13+'Local Appropriations-4Yr'!Q13+'Fed Contracts Grnts-4Yr'!Q13+'Other Contract Grnts-4Yr'!Q13+'Investment Income-4Yr'!Q13+'All Other E&amp;G-4Yr'!Q13</f>
        <v>0</v>
      </c>
      <c r="R13" s="97">
        <f>+'Tuition-4Yr'!R13+'State Appropriations-4Yr'!R13+'Local Appropriations-4Yr'!R13+'Fed Contracts Grnts-4Yr'!R13+'Other Contract Grnts-4Yr'!R13+'Investment Income-4Yr'!R13+'All Other E&amp;G-4Yr'!R13</f>
        <v>1902359.2459999998</v>
      </c>
      <c r="S13" s="97">
        <f>+'Tuition-4Yr'!S13+'State Appropriations-4Yr'!S13+'Local Appropriations-4Yr'!S13+'Fed Contracts Grnts-4Yr'!S13+'Other Contract Grnts-4Yr'!S13+'Investment Income-4Yr'!S13+'All Other E&amp;G-4Yr'!S13</f>
        <v>1977576.4790000003</v>
      </c>
      <c r="T13" s="97">
        <f>+'Tuition-4Yr'!T13+'State Appropriations-4Yr'!T13+'Local Appropriations-4Yr'!T13+'Fed Contracts Grnts-4Yr'!T13+'Other Contract Grnts-4Yr'!T13+'Investment Income-4Yr'!T13+'All Other E&amp;G-4Yr'!T13</f>
        <v>2109623.6640000003</v>
      </c>
      <c r="U13" s="97">
        <f>+'Tuition-4Yr'!U13+'State Appropriations-4Yr'!U13+'Local Appropriations-4Yr'!U13+'Fed Contracts Grnts-4Yr'!U13+'Other Contract Grnts-4Yr'!U13+'Investment Income-4Yr'!U13+'All Other E&amp;G-4Yr'!U13</f>
        <v>2117428.0549999997</v>
      </c>
      <c r="V13" s="97">
        <f>+'Tuition-4Yr'!V13+'State Appropriations-4Yr'!V13+'Local Appropriations-4Yr'!V13+'Fed Contracts Grnts-4Yr'!V13+'Other Contract Grnts-4Yr'!V13+'Investment Income-4Yr'!V13+'All Other E&amp;G-4Yr'!V13</f>
        <v>2272972.932</v>
      </c>
      <c r="W13" s="97">
        <f>+'Tuition-4Yr'!W13+'State Appropriations-4Yr'!W13+'Local Appropriations-4Yr'!W13+'Fed Contracts Grnts-4Yr'!W13+'Other Contract Grnts-4Yr'!W13+'Investment Income-4Yr'!W13+'All Other E&amp;G-4Yr'!W13</f>
        <v>2484522.3530000001</v>
      </c>
      <c r="X13" s="97">
        <f>+'Tuition-4Yr'!X13+'State Appropriations-4Yr'!X13+'Local Appropriations-4Yr'!X13+'Fed Contracts Grnts-4Yr'!X13+'Other Contract Grnts-4Yr'!X13+'Investment Income-4Yr'!X13+'All Other E&amp;G-4Yr'!X13</f>
        <v>2407517.3160000001</v>
      </c>
      <c r="Y13" s="97">
        <f>+'Tuition-4Yr'!Y13+'State Appropriations-4Yr'!Y13+'Local Appropriations-4Yr'!Y13+'Fed Contracts Grnts-4Yr'!Y13+'Other Contract Grnts-4Yr'!Y13+'Investment Income-4Yr'!Y13+'All Other E&amp;G-4Yr'!Y13</f>
        <v>2514060.0799999996</v>
      </c>
      <c r="Z13" s="97">
        <f>+'Tuition-4Yr'!Z13+'State Appropriations-4Yr'!Z13+'Local Appropriations-4Yr'!Z13+'Fed Contracts Grnts-4Yr'!Z13+'Other Contract Grnts-4Yr'!Z13+'Investment Income-4Yr'!Z13+'All Other E&amp;G-4Yr'!Z13</f>
        <v>2715592.0180000002</v>
      </c>
      <c r="AA13" s="97">
        <f>+'Tuition-4Yr'!AA13+'State Appropriations-4Yr'!AA13+'Local Appropriations-4Yr'!AA13+'Fed Contracts Grnts-4Yr'!AA13+'Other Contract Grnts-4Yr'!AA13+'Investment Income-4Yr'!AA13+'All Other E&amp;G-4Yr'!AA13</f>
        <v>2306088.4589999998</v>
      </c>
      <c r="AB13" s="97">
        <f>+'Tuition-4Yr'!AB13+'State Appropriations-4Yr'!AB13+'Local Appropriations-4Yr'!AB13+'Fed Contracts Grnts-4Yr'!AB13+'Other Contract Grnts-4Yr'!AB13+'Investment Income-4Yr'!AB13+'All Other E&amp;G-4Yr'!AB13</f>
        <v>2999910.7879999997</v>
      </c>
      <c r="AC13" s="97">
        <f>+'Tuition-4Yr'!AC13+'State Appropriations-4Yr'!AC13+'Local Appropriations-4Yr'!AC13+'Fed Contracts Grnts-4Yr'!AC13+'Other Contract Grnts-4Yr'!AC13+'Investment Income-4Yr'!AC13+'All Other E&amp;G-4Yr'!AC13</f>
        <v>3183769</v>
      </c>
      <c r="AD13" s="97">
        <f>+'Tuition-4Yr'!AD13+'State Appropriations-4Yr'!AD13+'Local Appropriations-4Yr'!AD13+'Fed Contracts Grnts-4Yr'!AD13+'Other Contract Grnts-4Yr'!AD13+'Investment Income-4Yr'!AD13+'All Other E&amp;G-4Yr'!AD13</f>
        <v>2925469.9539999999</v>
      </c>
      <c r="AE13" s="97">
        <f>+'Tuition-4Yr'!AE13+'State Appropriations-4Yr'!AE13+'Local Appropriations-4Yr'!AE13+'Fed Contracts Grnts-4Yr'!AE13+'Other Contract Grnts-4Yr'!AE13+'Investment Income-4Yr'!AE13+'All Other E&amp;G-4Yr'!AE13</f>
        <v>2911151.727</v>
      </c>
      <c r="AF13" s="97">
        <f>+'Tuition-4Yr'!AF13+'State Appropriations-4Yr'!AF13+'Local Appropriations-4Yr'!AF13+'Fed Contracts Grnts-4Yr'!AF13+'Other Contract Grnts-4Yr'!AF13+'Investment Income-4Yr'!AF13+'All Other E&amp;G-4Yr'!AF13</f>
        <v>2925814.4190000002</v>
      </c>
      <c r="AG13" s="97">
        <f>+'Tuition-4Yr'!AG13+'State Appropriations-4Yr'!AG13+'Local Appropriations-4Yr'!AG13+'Fed Contracts Grnts-4Yr'!AG13+'Other Contract Grnts-4Yr'!AG13+'Investment Income-4Yr'!AG13+'All Other E&amp;G-4Yr'!AG13</f>
        <v>3126400.2980000004</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row>
    <row r="14" spans="1:213" ht="12.75" customHeight="1">
      <c r="A14" s="14" t="s">
        <v>7</v>
      </c>
      <c r="B14" s="97">
        <f>+'Tuition-4Yr'!B14+'State Appropriations-4Yr'!B14+'Local Appropriations-4Yr'!B14+'Fed Contracts Grnts-4Yr'!B14+'Other Contract Grnts-4Yr'!B14+'Investment Income-4Yr'!B14+'All Other E&amp;G-4Yr'!B14</f>
        <v>633276</v>
      </c>
      <c r="C14" s="97">
        <f>+'Tuition-4Yr'!C14+'State Appropriations-4Yr'!C14+'Local Appropriations-4Yr'!C14+'Fed Contracts Grnts-4Yr'!C14+'Other Contract Grnts-4Yr'!C14+'Investment Income-4Yr'!C14+'All Other E&amp;G-4Yr'!C14</f>
        <v>735112</v>
      </c>
      <c r="D14" s="97">
        <f>+'Tuition-4Yr'!D14+'State Appropriations-4Yr'!D14+'Local Appropriations-4Yr'!D14+'Fed Contracts Grnts-4Yr'!D14+'Other Contract Grnts-4Yr'!D14+'Investment Income-4Yr'!D14+'All Other E&amp;G-4Yr'!D14</f>
        <v>790815</v>
      </c>
      <c r="E14" s="97">
        <f>+'Tuition-4Yr'!E14+'State Appropriations-4Yr'!E14+'Local Appropriations-4Yr'!E14+'Fed Contracts Grnts-4Yr'!E14+'Other Contract Grnts-4Yr'!E14+'Investment Income-4Yr'!E14+'All Other E&amp;G-4Yr'!E14</f>
        <v>0</v>
      </c>
      <c r="F14" s="97">
        <f>+'Tuition-4Yr'!F14+'State Appropriations-4Yr'!F14+'Local Appropriations-4Yr'!F14+'Fed Contracts Grnts-4Yr'!F14+'Other Contract Grnts-4Yr'!F14+'Investment Income-4Yr'!F14+'All Other E&amp;G-4Yr'!F14</f>
        <v>0</v>
      </c>
      <c r="G14" s="97">
        <f>+'Tuition-4Yr'!G14+'State Appropriations-4Yr'!G14+'Local Appropriations-4Yr'!G14+'Fed Contracts Grnts-4Yr'!G14+'Other Contract Grnts-4Yr'!G14+'Investment Income-4Yr'!G14+'All Other E&amp;G-4Yr'!G14</f>
        <v>0</v>
      </c>
      <c r="H14" s="97">
        <f>+'Tuition-4Yr'!H14+'State Appropriations-4Yr'!H14+'Local Appropriations-4Yr'!H14+'Fed Contracts Grnts-4Yr'!H14+'Other Contract Grnts-4Yr'!H14+'Investment Income-4Yr'!H14+'All Other E&amp;G-4Yr'!H14</f>
        <v>0</v>
      </c>
      <c r="I14" s="97">
        <f>+'Tuition-4Yr'!I14+'State Appropriations-4Yr'!I14+'Local Appropriations-4Yr'!I14+'Fed Contracts Grnts-4Yr'!I14+'Other Contract Grnts-4Yr'!I14+'Investment Income-4Yr'!I14+'All Other E&amp;G-4Yr'!I14</f>
        <v>1246993.4049999998</v>
      </c>
      <c r="J14" s="97">
        <f>+'Tuition-4Yr'!J14+'State Appropriations-4Yr'!J14+'Local Appropriations-4Yr'!J14+'Fed Contracts Grnts-4Yr'!J14+'Other Contract Grnts-4Yr'!J14+'Investment Income-4Yr'!J14+'All Other E&amp;G-4Yr'!J14</f>
        <v>1182522.0620000002</v>
      </c>
      <c r="K14" s="97">
        <f>+'Tuition-4Yr'!K14+'State Appropriations-4Yr'!K14+'Local Appropriations-4Yr'!K14+'Fed Contracts Grnts-4Yr'!K14+'Other Contract Grnts-4Yr'!K14+'Investment Income-4Yr'!K14+'All Other E&amp;G-4Yr'!K14</f>
        <v>1323222.003</v>
      </c>
      <c r="L14" s="97">
        <f>+'Tuition-4Yr'!L14+'State Appropriations-4Yr'!L14+'Local Appropriations-4Yr'!L14+'Fed Contracts Grnts-4Yr'!L14+'Other Contract Grnts-4Yr'!L14+'Investment Income-4Yr'!L14+'All Other E&amp;G-4Yr'!L14</f>
        <v>1371517.0469999998</v>
      </c>
      <c r="M14" s="97">
        <f>+'Tuition-4Yr'!M14+'State Appropriations-4Yr'!M14+'Local Appropriations-4Yr'!M14+'Fed Contracts Grnts-4Yr'!M14+'Other Contract Grnts-4Yr'!M14+'Investment Income-4Yr'!M14+'All Other E&amp;G-4Yr'!M14</f>
        <v>1420194.693</v>
      </c>
      <c r="N14" s="97">
        <f>+'Tuition-4Yr'!N14+'State Appropriations-4Yr'!N14+'Local Appropriations-4Yr'!N14+'Fed Contracts Grnts-4Yr'!N14+'Other Contract Grnts-4Yr'!N14+'Investment Income-4Yr'!N14+'All Other E&amp;G-4Yr'!N14</f>
        <v>1542256.263</v>
      </c>
      <c r="O14" s="97">
        <f>+'Tuition-4Yr'!O14+'State Appropriations-4Yr'!O14+'Local Appropriations-4Yr'!O14+'Fed Contracts Grnts-4Yr'!O14+'Other Contract Grnts-4Yr'!O14+'Investment Income-4Yr'!O14+'All Other E&amp;G-4Yr'!O14</f>
        <v>1711560.40879</v>
      </c>
      <c r="P14" s="97">
        <f>+'Tuition-4Yr'!P14+'State Appropriations-4Yr'!P14+'Local Appropriations-4Yr'!P14+'Fed Contracts Grnts-4Yr'!P14+'Other Contract Grnts-4Yr'!P14+'Investment Income-4Yr'!P14+'All Other E&amp;G-4Yr'!P14</f>
        <v>0</v>
      </c>
      <c r="Q14" s="97">
        <f>+'Tuition-4Yr'!Q14+'State Appropriations-4Yr'!Q14+'Local Appropriations-4Yr'!Q14+'Fed Contracts Grnts-4Yr'!Q14+'Other Contract Grnts-4Yr'!Q14+'Investment Income-4Yr'!Q14+'All Other E&amp;G-4Yr'!Q14</f>
        <v>0</v>
      </c>
      <c r="R14" s="97">
        <f>+'Tuition-4Yr'!R14+'State Appropriations-4Yr'!R14+'Local Appropriations-4Yr'!R14+'Fed Contracts Grnts-4Yr'!R14+'Other Contract Grnts-4Yr'!R14+'Investment Income-4Yr'!R14+'All Other E&amp;G-4Yr'!R14</f>
        <v>2154437.1740000001</v>
      </c>
      <c r="S14" s="97">
        <f>+'Tuition-4Yr'!S14+'State Appropriations-4Yr'!S14+'Local Appropriations-4Yr'!S14+'Fed Contracts Grnts-4Yr'!S14+'Other Contract Grnts-4Yr'!S14+'Investment Income-4Yr'!S14+'All Other E&amp;G-4Yr'!S14</f>
        <v>2271713.7749999994</v>
      </c>
      <c r="T14" s="97">
        <f>+'Tuition-4Yr'!T14+'State Appropriations-4Yr'!T14+'Local Appropriations-4Yr'!T14+'Fed Contracts Grnts-4Yr'!T14+'Other Contract Grnts-4Yr'!T14+'Investment Income-4Yr'!T14+'All Other E&amp;G-4Yr'!T14</f>
        <v>2616208.3390000002</v>
      </c>
      <c r="U14" s="97">
        <f>+'Tuition-4Yr'!U14+'State Appropriations-4Yr'!U14+'Local Appropriations-4Yr'!U14+'Fed Contracts Grnts-4Yr'!U14+'Other Contract Grnts-4Yr'!U14+'Investment Income-4Yr'!U14+'All Other E&amp;G-4Yr'!U14</f>
        <v>2573256.5959999999</v>
      </c>
      <c r="V14" s="97">
        <f>+'Tuition-4Yr'!V14+'State Appropriations-4Yr'!V14+'Local Appropriations-4Yr'!V14+'Fed Contracts Grnts-4Yr'!V14+'Other Contract Grnts-4Yr'!V14+'Investment Income-4Yr'!V14+'All Other E&amp;G-4Yr'!V14</f>
        <v>2652291.13</v>
      </c>
      <c r="W14" s="97">
        <f>+'Tuition-4Yr'!W14+'State Appropriations-4Yr'!W14+'Local Appropriations-4Yr'!W14+'Fed Contracts Grnts-4Yr'!W14+'Other Contract Grnts-4Yr'!W14+'Investment Income-4Yr'!W14+'All Other E&amp;G-4Yr'!W14</f>
        <v>3410155.699</v>
      </c>
      <c r="X14" s="97">
        <f>+'Tuition-4Yr'!X14+'State Appropriations-4Yr'!X14+'Local Appropriations-4Yr'!X14+'Fed Contracts Grnts-4Yr'!X14+'Other Contract Grnts-4Yr'!X14+'Investment Income-4Yr'!X14+'All Other E&amp;G-4Yr'!X14</f>
        <v>3054981.0719999997</v>
      </c>
      <c r="Y14" s="97">
        <f>+'Tuition-4Yr'!Y14+'State Appropriations-4Yr'!Y14+'Local Appropriations-4Yr'!Y14+'Fed Contracts Grnts-4Yr'!Y14+'Other Contract Grnts-4Yr'!Y14+'Investment Income-4Yr'!Y14+'All Other E&amp;G-4Yr'!Y14</f>
        <v>3334217.9</v>
      </c>
      <c r="Z14" s="97">
        <f>+'Tuition-4Yr'!Z14+'State Appropriations-4Yr'!Z14+'Local Appropriations-4Yr'!Z14+'Fed Contracts Grnts-4Yr'!Z14+'Other Contract Grnts-4Yr'!Z14+'Investment Income-4Yr'!Z14+'All Other E&amp;G-4Yr'!Z14</f>
        <v>3498965.4339999999</v>
      </c>
      <c r="AA14" s="97">
        <f>+'Tuition-4Yr'!AA14+'State Appropriations-4Yr'!AA14+'Local Appropriations-4Yr'!AA14+'Fed Contracts Grnts-4Yr'!AA14+'Other Contract Grnts-4Yr'!AA14+'Investment Income-4Yr'!AA14+'All Other E&amp;G-4Yr'!AA14</f>
        <v>2784252.3170000003</v>
      </c>
      <c r="AB14" s="97">
        <f>+'Tuition-4Yr'!AB14+'State Appropriations-4Yr'!AB14+'Local Appropriations-4Yr'!AB14+'Fed Contracts Grnts-4Yr'!AB14+'Other Contract Grnts-4Yr'!AB14+'Investment Income-4Yr'!AB14+'All Other E&amp;G-4Yr'!AB14</f>
        <v>3962057.7719999999</v>
      </c>
      <c r="AC14" s="97">
        <f>+'Tuition-4Yr'!AC14+'State Appropriations-4Yr'!AC14+'Local Appropriations-4Yr'!AC14+'Fed Contracts Grnts-4Yr'!AC14+'Other Contract Grnts-4Yr'!AC14+'Investment Income-4Yr'!AC14+'All Other E&amp;G-4Yr'!AC14</f>
        <v>4202939</v>
      </c>
      <c r="AD14" s="97">
        <f>+'Tuition-4Yr'!AD14+'State Appropriations-4Yr'!AD14+'Local Appropriations-4Yr'!AD14+'Fed Contracts Grnts-4Yr'!AD14+'Other Contract Grnts-4Yr'!AD14+'Investment Income-4Yr'!AD14+'All Other E&amp;G-4Yr'!AD14</f>
        <v>4272612.3339999998</v>
      </c>
      <c r="AE14" s="97">
        <f>+'Tuition-4Yr'!AE14+'State Appropriations-4Yr'!AE14+'Local Appropriations-4Yr'!AE14+'Fed Contracts Grnts-4Yr'!AE14+'Other Contract Grnts-4Yr'!AE14+'Investment Income-4Yr'!AE14+'All Other E&amp;G-4Yr'!AE14</f>
        <v>4368569.9000000004</v>
      </c>
      <c r="AF14" s="97">
        <f>+'Tuition-4Yr'!AF14+'State Appropriations-4Yr'!AF14+'Local Appropriations-4Yr'!AF14+'Fed Contracts Grnts-4Yr'!AF14+'Other Contract Grnts-4Yr'!AF14+'Investment Income-4Yr'!AF14+'All Other E&amp;G-4Yr'!AF14</f>
        <v>4049476.6129999999</v>
      </c>
      <c r="AG14" s="97">
        <f>+'Tuition-4Yr'!AG14+'State Appropriations-4Yr'!AG14+'Local Appropriations-4Yr'!AG14+'Fed Contracts Grnts-4Yr'!AG14+'Other Contract Grnts-4Yr'!AG14+'Investment Income-4Yr'!AG14+'All Other E&amp;G-4Yr'!AG14</f>
        <v>4568685.5549999997</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row>
    <row r="15" spans="1:213" ht="12.75" customHeight="1">
      <c r="A15" s="14" t="s">
        <v>8</v>
      </c>
      <c r="B15" s="97">
        <f>+'Tuition-4Yr'!B15+'State Appropriations-4Yr'!B15+'Local Appropriations-4Yr'!B15+'Fed Contracts Grnts-4Yr'!B15+'Other Contract Grnts-4Yr'!B15+'Investment Income-4Yr'!B15+'All Other E&amp;G-4Yr'!B15</f>
        <v>421164</v>
      </c>
      <c r="C15" s="97">
        <f>+'Tuition-4Yr'!C15+'State Appropriations-4Yr'!C15+'Local Appropriations-4Yr'!C15+'Fed Contracts Grnts-4Yr'!C15+'Other Contract Grnts-4Yr'!C15+'Investment Income-4Yr'!C15+'All Other E&amp;G-4Yr'!C15</f>
        <v>435796</v>
      </c>
      <c r="D15" s="97">
        <f>+'Tuition-4Yr'!D15+'State Appropriations-4Yr'!D15+'Local Appropriations-4Yr'!D15+'Fed Contracts Grnts-4Yr'!D15+'Other Contract Grnts-4Yr'!D15+'Investment Income-4Yr'!D15+'All Other E&amp;G-4Yr'!D15</f>
        <v>473633</v>
      </c>
      <c r="E15" s="97">
        <f>+'Tuition-4Yr'!E15+'State Appropriations-4Yr'!E15+'Local Appropriations-4Yr'!E15+'Fed Contracts Grnts-4Yr'!E15+'Other Contract Grnts-4Yr'!E15+'Investment Income-4Yr'!E15+'All Other E&amp;G-4Yr'!E15</f>
        <v>0</v>
      </c>
      <c r="F15" s="97">
        <f>+'Tuition-4Yr'!F15+'State Appropriations-4Yr'!F15+'Local Appropriations-4Yr'!F15+'Fed Contracts Grnts-4Yr'!F15+'Other Contract Grnts-4Yr'!F15+'Investment Income-4Yr'!F15+'All Other E&amp;G-4Yr'!F15</f>
        <v>0</v>
      </c>
      <c r="G15" s="97">
        <f>+'Tuition-4Yr'!G15+'State Appropriations-4Yr'!G15+'Local Appropriations-4Yr'!G15+'Fed Contracts Grnts-4Yr'!G15+'Other Contract Grnts-4Yr'!G15+'Investment Income-4Yr'!G15+'All Other E&amp;G-4Yr'!G15</f>
        <v>0</v>
      </c>
      <c r="H15" s="97">
        <f>+'Tuition-4Yr'!H15+'State Appropriations-4Yr'!H15+'Local Appropriations-4Yr'!H15+'Fed Contracts Grnts-4Yr'!H15+'Other Contract Grnts-4Yr'!H15+'Investment Income-4Yr'!H15+'All Other E&amp;G-4Yr'!H15</f>
        <v>0</v>
      </c>
      <c r="I15" s="97">
        <f>+'Tuition-4Yr'!I15+'State Appropriations-4Yr'!I15+'Local Appropriations-4Yr'!I15+'Fed Contracts Grnts-4Yr'!I15+'Other Contract Grnts-4Yr'!I15+'Investment Income-4Yr'!I15+'All Other E&amp;G-4Yr'!I15</f>
        <v>628239.39800000016</v>
      </c>
      <c r="J15" s="97">
        <f>+'Tuition-4Yr'!J15+'State Appropriations-4Yr'!J15+'Local Appropriations-4Yr'!J15+'Fed Contracts Grnts-4Yr'!J15+'Other Contract Grnts-4Yr'!J15+'Investment Income-4Yr'!J15+'All Other E&amp;G-4Yr'!J15</f>
        <v>641802.92700000014</v>
      </c>
      <c r="K15" s="97">
        <f>+'Tuition-4Yr'!K15+'State Appropriations-4Yr'!K15+'Local Appropriations-4Yr'!K15+'Fed Contracts Grnts-4Yr'!K15+'Other Contract Grnts-4Yr'!K15+'Investment Income-4Yr'!K15+'All Other E&amp;G-4Yr'!K15</f>
        <v>696913.4</v>
      </c>
      <c r="L15" s="97">
        <f>+'Tuition-4Yr'!L15+'State Appropriations-4Yr'!L15+'Local Appropriations-4Yr'!L15+'Fed Contracts Grnts-4Yr'!L15+'Other Contract Grnts-4Yr'!L15+'Investment Income-4Yr'!L15+'All Other E&amp;G-4Yr'!L15</f>
        <v>731312.84400000004</v>
      </c>
      <c r="M15" s="97">
        <f>+'Tuition-4Yr'!M15+'State Appropriations-4Yr'!M15+'Local Appropriations-4Yr'!M15+'Fed Contracts Grnts-4Yr'!M15+'Other Contract Grnts-4Yr'!M15+'Investment Income-4Yr'!M15+'All Other E&amp;G-4Yr'!M15</f>
        <v>843816.5</v>
      </c>
      <c r="N15" s="97">
        <f>+'Tuition-4Yr'!N15+'State Appropriations-4Yr'!N15+'Local Appropriations-4Yr'!N15+'Fed Contracts Grnts-4Yr'!N15+'Other Contract Grnts-4Yr'!N15+'Investment Income-4Yr'!N15+'All Other E&amp;G-4Yr'!N15</f>
        <v>881047.83030000003</v>
      </c>
      <c r="O15" s="97">
        <f>+'Tuition-4Yr'!O15+'State Appropriations-4Yr'!O15+'Local Appropriations-4Yr'!O15+'Fed Contracts Grnts-4Yr'!O15+'Other Contract Grnts-4Yr'!O15+'Investment Income-4Yr'!O15+'All Other E&amp;G-4Yr'!O15</f>
        <v>894797.32000000007</v>
      </c>
      <c r="P15" s="97">
        <f>+'Tuition-4Yr'!P15+'State Appropriations-4Yr'!P15+'Local Appropriations-4Yr'!P15+'Fed Contracts Grnts-4Yr'!P15+'Other Contract Grnts-4Yr'!P15+'Investment Income-4Yr'!P15+'All Other E&amp;G-4Yr'!P15</f>
        <v>0</v>
      </c>
      <c r="Q15" s="97">
        <f>+'Tuition-4Yr'!Q15+'State Appropriations-4Yr'!Q15+'Local Appropriations-4Yr'!Q15+'Fed Contracts Grnts-4Yr'!Q15+'Other Contract Grnts-4Yr'!Q15+'Investment Income-4Yr'!Q15+'All Other E&amp;G-4Yr'!Q15</f>
        <v>0</v>
      </c>
      <c r="R15" s="97">
        <f>+'Tuition-4Yr'!R15+'State Appropriations-4Yr'!R15+'Local Appropriations-4Yr'!R15+'Fed Contracts Grnts-4Yr'!R15+'Other Contract Grnts-4Yr'!R15+'Investment Income-4Yr'!R15+'All Other E&amp;G-4Yr'!R15</f>
        <v>1197805.2609999999</v>
      </c>
      <c r="S15" s="97">
        <f>+'Tuition-4Yr'!S15+'State Appropriations-4Yr'!S15+'Local Appropriations-4Yr'!S15+'Fed Contracts Grnts-4Yr'!S15+'Other Contract Grnts-4Yr'!S15+'Investment Income-4Yr'!S15+'All Other E&amp;G-4Yr'!S15</f>
        <v>1262639.388</v>
      </c>
      <c r="T15" s="97">
        <f>+'Tuition-4Yr'!T15+'State Appropriations-4Yr'!T15+'Local Appropriations-4Yr'!T15+'Fed Contracts Grnts-4Yr'!T15+'Other Contract Grnts-4Yr'!T15+'Investment Income-4Yr'!T15+'All Other E&amp;G-4Yr'!T15</f>
        <v>1420608.8979999998</v>
      </c>
      <c r="U15" s="97">
        <f>+'Tuition-4Yr'!U15+'State Appropriations-4Yr'!U15+'Local Appropriations-4Yr'!U15+'Fed Contracts Grnts-4Yr'!U15+'Other Contract Grnts-4Yr'!U15+'Investment Income-4Yr'!U15+'All Other E&amp;G-4Yr'!U15</f>
        <v>1418025.824</v>
      </c>
      <c r="V15" s="97">
        <f>+'Tuition-4Yr'!V15+'State Appropriations-4Yr'!V15+'Local Appropriations-4Yr'!V15+'Fed Contracts Grnts-4Yr'!V15+'Other Contract Grnts-4Yr'!V15+'Investment Income-4Yr'!V15+'All Other E&amp;G-4Yr'!V15</f>
        <v>1473137.9350000001</v>
      </c>
      <c r="W15" s="97">
        <f>+'Tuition-4Yr'!W15+'State Appropriations-4Yr'!W15+'Local Appropriations-4Yr'!W15+'Fed Contracts Grnts-4Yr'!W15+'Other Contract Grnts-4Yr'!W15+'Investment Income-4Yr'!W15+'All Other E&amp;G-4Yr'!W15</f>
        <v>1631897.6639999999</v>
      </c>
      <c r="X15" s="97">
        <f>+'Tuition-4Yr'!X15+'State Appropriations-4Yr'!X15+'Local Appropriations-4Yr'!X15+'Fed Contracts Grnts-4Yr'!X15+'Other Contract Grnts-4Yr'!X15+'Investment Income-4Yr'!X15+'All Other E&amp;G-4Yr'!X15</f>
        <v>1593423.781</v>
      </c>
      <c r="Y15" s="97">
        <f>+'Tuition-4Yr'!Y15+'State Appropriations-4Yr'!Y15+'Local Appropriations-4Yr'!Y15+'Fed Contracts Grnts-4Yr'!Y15+'Other Contract Grnts-4Yr'!Y15+'Investment Income-4Yr'!Y15+'All Other E&amp;G-4Yr'!Y15</f>
        <v>1787955.8219999999</v>
      </c>
      <c r="Z15" s="97">
        <f>+'Tuition-4Yr'!Z15+'State Appropriations-4Yr'!Z15+'Local Appropriations-4Yr'!Z15+'Fed Contracts Grnts-4Yr'!Z15+'Other Contract Grnts-4Yr'!Z15+'Investment Income-4Yr'!Z15+'All Other E&amp;G-4Yr'!Z15</f>
        <v>1841643.7779999999</v>
      </c>
      <c r="AA15" s="97">
        <f>+'Tuition-4Yr'!AA15+'State Appropriations-4Yr'!AA15+'Local Appropriations-4Yr'!AA15+'Fed Contracts Grnts-4Yr'!AA15+'Other Contract Grnts-4Yr'!AA15+'Investment Income-4Yr'!AA15+'All Other E&amp;G-4Yr'!AA15</f>
        <v>1595652.2589999998</v>
      </c>
      <c r="AB15" s="97">
        <f>+'Tuition-4Yr'!AB15+'State Appropriations-4Yr'!AB15+'Local Appropriations-4Yr'!AB15+'Fed Contracts Grnts-4Yr'!AB15+'Other Contract Grnts-4Yr'!AB15+'Investment Income-4Yr'!AB15+'All Other E&amp;G-4Yr'!AB15</f>
        <v>1992244.3800000004</v>
      </c>
      <c r="AC15" s="97">
        <f>+'Tuition-4Yr'!AC15+'State Appropriations-4Yr'!AC15+'Local Appropriations-4Yr'!AC15+'Fed Contracts Grnts-4Yr'!AC15+'Other Contract Grnts-4Yr'!AC15+'Investment Income-4Yr'!AC15+'All Other E&amp;G-4Yr'!AC15</f>
        <v>2077197</v>
      </c>
      <c r="AD15" s="97">
        <f>+'Tuition-4Yr'!AD15+'State Appropriations-4Yr'!AD15+'Local Appropriations-4Yr'!AD15+'Fed Contracts Grnts-4Yr'!AD15+'Other Contract Grnts-4Yr'!AD15+'Investment Income-4Yr'!AD15+'All Other E&amp;G-4Yr'!AD15</f>
        <v>2140759.3159999996</v>
      </c>
      <c r="AE15" s="97">
        <f>+'Tuition-4Yr'!AE15+'State Appropriations-4Yr'!AE15+'Local Appropriations-4Yr'!AE15+'Fed Contracts Grnts-4Yr'!AE15+'Other Contract Grnts-4Yr'!AE15+'Investment Income-4Yr'!AE15+'All Other E&amp;G-4Yr'!AE15</f>
        <v>2110145.1380000003</v>
      </c>
      <c r="AF15" s="97">
        <f>+'Tuition-4Yr'!AF15+'State Appropriations-4Yr'!AF15+'Local Appropriations-4Yr'!AF15+'Fed Contracts Grnts-4Yr'!AF15+'Other Contract Grnts-4Yr'!AF15+'Investment Income-4Yr'!AF15+'All Other E&amp;G-4Yr'!AF15</f>
        <v>2148922.105</v>
      </c>
      <c r="AG15" s="97">
        <f>+'Tuition-4Yr'!AG15+'State Appropriations-4Yr'!AG15+'Local Appropriations-4Yr'!AG15+'Fed Contracts Grnts-4Yr'!AG15+'Other Contract Grnts-4Yr'!AG15+'Investment Income-4Yr'!AG15+'All Other E&amp;G-4Yr'!AG15</f>
        <v>2264837.3649999998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row>
    <row r="16" spans="1:213" s="65" customFormat="1" ht="12.75" customHeight="1">
      <c r="A16" s="14" t="s">
        <v>9</v>
      </c>
      <c r="B16" s="102">
        <f>+'Tuition-4Yr'!B16+'State Appropriations-4Yr'!B16+'Local Appropriations-4Yr'!B16+'Fed Contracts Grnts-4Yr'!B16+'Other Contract Grnts-4Yr'!B16+'Investment Income-4Yr'!B16+'All Other E&amp;G-4Yr'!B16</f>
        <v>1023932</v>
      </c>
      <c r="C16" s="102">
        <f>+'Tuition-4Yr'!C16+'State Appropriations-4Yr'!C16+'Local Appropriations-4Yr'!C16+'Fed Contracts Grnts-4Yr'!C16+'Other Contract Grnts-4Yr'!C16+'Investment Income-4Yr'!C16+'All Other E&amp;G-4Yr'!C16</f>
        <v>1159166</v>
      </c>
      <c r="D16" s="102">
        <f>+'Tuition-4Yr'!D16+'State Appropriations-4Yr'!D16+'Local Appropriations-4Yr'!D16+'Fed Contracts Grnts-4Yr'!D16+'Other Contract Grnts-4Yr'!D16+'Investment Income-4Yr'!D16+'All Other E&amp;G-4Yr'!D16</f>
        <v>1291115</v>
      </c>
      <c r="E16" s="102">
        <f>+'Tuition-4Yr'!E16+'State Appropriations-4Yr'!E16+'Local Appropriations-4Yr'!E16+'Fed Contracts Grnts-4Yr'!E16+'Other Contract Grnts-4Yr'!E16+'Investment Income-4Yr'!E16+'All Other E&amp;G-4Yr'!E16</f>
        <v>0</v>
      </c>
      <c r="F16" s="102">
        <f>+'Tuition-4Yr'!F16+'State Appropriations-4Yr'!F16+'Local Appropriations-4Yr'!F16+'Fed Contracts Grnts-4Yr'!F16+'Other Contract Grnts-4Yr'!F16+'Investment Income-4Yr'!F16+'All Other E&amp;G-4Yr'!F16</f>
        <v>0</v>
      </c>
      <c r="G16" s="102">
        <f>+'Tuition-4Yr'!G16+'State Appropriations-4Yr'!G16+'Local Appropriations-4Yr'!G16+'Fed Contracts Grnts-4Yr'!G16+'Other Contract Grnts-4Yr'!G16+'Investment Income-4Yr'!G16+'All Other E&amp;G-4Yr'!G16</f>
        <v>0</v>
      </c>
      <c r="H16" s="102">
        <f>+'Tuition-4Yr'!H16+'State Appropriations-4Yr'!H16+'Local Appropriations-4Yr'!H16+'Fed Contracts Grnts-4Yr'!H16+'Other Contract Grnts-4Yr'!H16+'Investment Income-4Yr'!H16+'All Other E&amp;G-4Yr'!H16</f>
        <v>0</v>
      </c>
      <c r="I16" s="102">
        <f>+'Tuition-4Yr'!I16+'State Appropriations-4Yr'!I16+'Local Appropriations-4Yr'!I16+'Fed Contracts Grnts-4Yr'!I16+'Other Contract Grnts-4Yr'!I16+'Investment Income-4Yr'!I16+'All Other E&amp;G-4Yr'!I16</f>
        <v>1812457.5729999999</v>
      </c>
      <c r="J16" s="102">
        <f>+'Tuition-4Yr'!J16+'State Appropriations-4Yr'!J16+'Local Appropriations-4Yr'!J16+'Fed Contracts Grnts-4Yr'!J16+'Other Contract Grnts-4Yr'!J16+'Investment Income-4Yr'!J16+'All Other E&amp;G-4Yr'!J16</f>
        <v>1925189.9579999999</v>
      </c>
      <c r="K16" s="102">
        <f>+'Tuition-4Yr'!K16+'State Appropriations-4Yr'!K16+'Local Appropriations-4Yr'!K16+'Fed Contracts Grnts-4Yr'!K16+'Other Contract Grnts-4Yr'!K16+'Investment Income-4Yr'!K16+'All Other E&amp;G-4Yr'!K16</f>
        <v>2171675.2009999999</v>
      </c>
      <c r="L16" s="102">
        <f>+'Tuition-4Yr'!L16+'State Appropriations-4Yr'!L16+'Local Appropriations-4Yr'!L16+'Fed Contracts Grnts-4Yr'!L16+'Other Contract Grnts-4Yr'!L16+'Investment Income-4Yr'!L16+'All Other E&amp;G-4Yr'!L16</f>
        <v>2193552.3769999999</v>
      </c>
      <c r="M16" s="102">
        <f>+'Tuition-4Yr'!M16+'State Appropriations-4Yr'!M16+'Local Appropriations-4Yr'!M16+'Fed Contracts Grnts-4Yr'!M16+'Other Contract Grnts-4Yr'!M16+'Investment Income-4Yr'!M16+'All Other E&amp;G-4Yr'!M16</f>
        <v>2236307.33</v>
      </c>
      <c r="N16" s="102">
        <f>+'Tuition-4Yr'!N16+'State Appropriations-4Yr'!N16+'Local Appropriations-4Yr'!N16+'Fed Contracts Grnts-4Yr'!N16+'Other Contract Grnts-4Yr'!N16+'Investment Income-4Yr'!N16+'All Other E&amp;G-4Yr'!N16</f>
        <v>2349895.7339999997</v>
      </c>
      <c r="O16" s="102">
        <f>+'Tuition-4Yr'!O16+'State Appropriations-4Yr'!O16+'Local Appropriations-4Yr'!O16+'Fed Contracts Grnts-4Yr'!O16+'Other Contract Grnts-4Yr'!O16+'Investment Income-4Yr'!O16+'All Other E&amp;G-4Yr'!O16</f>
        <v>2537413.1320000002</v>
      </c>
      <c r="P16" s="102">
        <f>+'Tuition-4Yr'!P16+'State Appropriations-4Yr'!P16+'Local Appropriations-4Yr'!P16+'Fed Contracts Grnts-4Yr'!P16+'Other Contract Grnts-4Yr'!P16+'Investment Income-4Yr'!P16+'All Other E&amp;G-4Yr'!P16</f>
        <v>0</v>
      </c>
      <c r="Q16" s="102">
        <f>+'Tuition-4Yr'!Q16+'State Appropriations-4Yr'!Q16+'Local Appropriations-4Yr'!Q16+'Fed Contracts Grnts-4Yr'!Q16+'Other Contract Grnts-4Yr'!Q16+'Investment Income-4Yr'!Q16+'All Other E&amp;G-4Yr'!Q16</f>
        <v>0</v>
      </c>
      <c r="R16" s="102">
        <f>+'Tuition-4Yr'!R16+'State Appropriations-4Yr'!R16+'Local Appropriations-4Yr'!R16+'Fed Contracts Grnts-4Yr'!R16+'Other Contract Grnts-4Yr'!R16+'Investment Income-4Yr'!R16+'All Other E&amp;G-4Yr'!R16</f>
        <v>2981320.8029999998</v>
      </c>
      <c r="S16" s="102">
        <f>+'Tuition-4Yr'!S16+'State Appropriations-4Yr'!S16+'Local Appropriations-4Yr'!S16+'Fed Contracts Grnts-4Yr'!S16+'Other Contract Grnts-4Yr'!S16+'Investment Income-4Yr'!S16+'All Other E&amp;G-4Yr'!S16</f>
        <v>3255717.4449999998</v>
      </c>
      <c r="T16" s="102">
        <f>+'Tuition-4Yr'!T16+'State Appropriations-4Yr'!T16+'Local Appropriations-4Yr'!T16+'Fed Contracts Grnts-4Yr'!T16+'Other Contract Grnts-4Yr'!T16+'Investment Income-4Yr'!T16+'All Other E&amp;G-4Yr'!T16</f>
        <v>3204331.2439999995</v>
      </c>
      <c r="U16" s="102">
        <f>+'Tuition-4Yr'!U16+'State Appropriations-4Yr'!U16+'Local Appropriations-4Yr'!U16+'Fed Contracts Grnts-4Yr'!U16+'Other Contract Grnts-4Yr'!U16+'Investment Income-4Yr'!U16+'All Other E&amp;G-4Yr'!U16</f>
        <v>3368001.1289999997</v>
      </c>
      <c r="V16" s="102">
        <f>+'Tuition-4Yr'!V16+'State Appropriations-4Yr'!V16+'Local Appropriations-4Yr'!V16+'Fed Contracts Grnts-4Yr'!V16+'Other Contract Grnts-4Yr'!V16+'Investment Income-4Yr'!V16+'All Other E&amp;G-4Yr'!V16</f>
        <v>3769084.0619999999</v>
      </c>
      <c r="W16" s="102">
        <f>+'Tuition-4Yr'!W16+'State Appropriations-4Yr'!W16+'Local Appropriations-4Yr'!W16+'Fed Contracts Grnts-4Yr'!W16+'Other Contract Grnts-4Yr'!W16+'Investment Income-4Yr'!W16+'All Other E&amp;G-4Yr'!W16</f>
        <v>4249344.5240000002</v>
      </c>
      <c r="X16" s="102">
        <f>+'Tuition-4Yr'!X16+'State Appropriations-4Yr'!X16+'Local Appropriations-4Yr'!X16+'Fed Contracts Grnts-4Yr'!X16+'Other Contract Grnts-4Yr'!X16+'Investment Income-4Yr'!X16+'All Other E&amp;G-4Yr'!X16</f>
        <v>4481190.3429999994</v>
      </c>
      <c r="Y16" s="102">
        <f>+'Tuition-4Yr'!Y16+'State Appropriations-4Yr'!Y16+'Local Appropriations-4Yr'!Y16+'Fed Contracts Grnts-4Yr'!Y16+'Other Contract Grnts-4Yr'!Y16+'Investment Income-4Yr'!Y16+'All Other E&amp;G-4Yr'!Y16</f>
        <v>5078407.8880000012</v>
      </c>
      <c r="Z16" s="102">
        <f>+'Tuition-4Yr'!Z16+'State Appropriations-4Yr'!Z16+'Local Appropriations-4Yr'!Z16+'Fed Contracts Grnts-4Yr'!Z16+'Other Contract Grnts-4Yr'!Z16+'Investment Income-4Yr'!Z16+'All Other E&amp;G-4Yr'!Z16</f>
        <v>5291130.3190000001</v>
      </c>
      <c r="AA16" s="102">
        <f>+'Tuition-4Yr'!AA16+'State Appropriations-4Yr'!AA16+'Local Appropriations-4Yr'!AA16+'Fed Contracts Grnts-4Yr'!AA16+'Other Contract Grnts-4Yr'!AA16+'Investment Income-4Yr'!AA16+'All Other E&amp;G-4Yr'!AA16</f>
        <v>4929332.4979999997</v>
      </c>
      <c r="AB16" s="102">
        <f>+'Tuition-4Yr'!AB16+'State Appropriations-4Yr'!AB16+'Local Appropriations-4Yr'!AB16+'Fed Contracts Grnts-4Yr'!AB16+'Other Contract Grnts-4Yr'!AB16+'Investment Income-4Yr'!AB16+'All Other E&amp;G-4Yr'!AB16</f>
        <v>6034126.8250000002</v>
      </c>
      <c r="AC16" s="102">
        <f>+'Tuition-4Yr'!AC16+'State Appropriations-4Yr'!AC16+'Local Appropriations-4Yr'!AC16+'Fed Contracts Grnts-4Yr'!AC16+'Other Contract Grnts-4Yr'!AC16+'Investment Income-4Yr'!AC16+'All Other E&amp;G-4Yr'!AC16</f>
        <v>6675800</v>
      </c>
      <c r="AD16" s="102">
        <f>+'Tuition-4Yr'!AD16+'State Appropriations-4Yr'!AD16+'Local Appropriations-4Yr'!AD16+'Fed Contracts Grnts-4Yr'!AD16+'Other Contract Grnts-4Yr'!AD16+'Investment Income-4Yr'!AD16+'All Other E&amp;G-4Yr'!AD16</f>
        <v>6287103.7719999999</v>
      </c>
      <c r="AE16" s="102">
        <f>+'Tuition-4Yr'!AE16+'State Appropriations-4Yr'!AE16+'Local Appropriations-4Yr'!AE16+'Fed Contracts Grnts-4Yr'!AE16+'Other Contract Grnts-4Yr'!AE16+'Investment Income-4Yr'!AE16+'All Other E&amp;G-4Yr'!AE16</f>
        <v>6748752.4030000009</v>
      </c>
      <c r="AF16" s="102">
        <f>+'Tuition-4Yr'!AF16+'State Appropriations-4Yr'!AF16+'Local Appropriations-4Yr'!AF16+'Fed Contracts Grnts-4Yr'!AF16+'Other Contract Grnts-4Yr'!AF16+'Investment Income-4Yr'!AF16+'All Other E&amp;G-4Yr'!AF16</f>
        <v>6780056.3439999996</v>
      </c>
      <c r="AG16" s="102">
        <f>+'Tuition-4Yr'!AG16+'State Appropriations-4Yr'!AG16+'Local Appropriations-4Yr'!AG16+'Fed Contracts Grnts-4Yr'!AG16+'Other Contract Grnts-4Yr'!AG16+'Investment Income-4Yr'!AG16+'All Other E&amp;G-4Yr'!AG16</f>
        <v>7057194.9479999999</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row>
    <row r="17" spans="1:213" s="65" customFormat="1" ht="12.75" customHeight="1">
      <c r="A17" s="14" t="s">
        <v>10</v>
      </c>
      <c r="B17" s="102">
        <f>+'Tuition-4Yr'!B17+'State Appropriations-4Yr'!B17+'Local Appropriations-4Yr'!B17+'Fed Contracts Grnts-4Yr'!B17+'Other Contract Grnts-4Yr'!B17+'Investment Income-4Yr'!B17+'All Other E&amp;G-4Yr'!B17</f>
        <v>443316</v>
      </c>
      <c r="C17" s="102">
        <f>+'Tuition-4Yr'!C17+'State Appropriations-4Yr'!C17+'Local Appropriations-4Yr'!C17+'Fed Contracts Grnts-4Yr'!C17+'Other Contract Grnts-4Yr'!C17+'Investment Income-4Yr'!C17+'All Other E&amp;G-4Yr'!C17</f>
        <v>454257</v>
      </c>
      <c r="D17" s="102">
        <f>+'Tuition-4Yr'!D17+'State Appropriations-4Yr'!D17+'Local Appropriations-4Yr'!D17+'Fed Contracts Grnts-4Yr'!D17+'Other Contract Grnts-4Yr'!D17+'Investment Income-4Yr'!D17+'All Other E&amp;G-4Yr'!D17</f>
        <v>526177</v>
      </c>
      <c r="E17" s="102">
        <f>+'Tuition-4Yr'!E17+'State Appropriations-4Yr'!E17+'Local Appropriations-4Yr'!E17+'Fed Contracts Grnts-4Yr'!E17+'Other Contract Grnts-4Yr'!E17+'Investment Income-4Yr'!E17+'All Other E&amp;G-4Yr'!E17</f>
        <v>0</v>
      </c>
      <c r="F17" s="102">
        <f>+'Tuition-4Yr'!F17+'State Appropriations-4Yr'!F17+'Local Appropriations-4Yr'!F17+'Fed Contracts Grnts-4Yr'!F17+'Other Contract Grnts-4Yr'!F17+'Investment Income-4Yr'!F17+'All Other E&amp;G-4Yr'!F17</f>
        <v>0</v>
      </c>
      <c r="G17" s="102">
        <f>+'Tuition-4Yr'!G17+'State Appropriations-4Yr'!G17+'Local Appropriations-4Yr'!G17+'Fed Contracts Grnts-4Yr'!G17+'Other Contract Grnts-4Yr'!G17+'Investment Income-4Yr'!G17+'All Other E&amp;G-4Yr'!G17</f>
        <v>0</v>
      </c>
      <c r="H17" s="102">
        <f>+'Tuition-4Yr'!H17+'State Appropriations-4Yr'!H17+'Local Appropriations-4Yr'!H17+'Fed Contracts Grnts-4Yr'!H17+'Other Contract Grnts-4Yr'!H17+'Investment Income-4Yr'!H17+'All Other E&amp;G-4Yr'!H17</f>
        <v>0</v>
      </c>
      <c r="I17" s="102">
        <f>+'Tuition-4Yr'!I17+'State Appropriations-4Yr'!I17+'Local Appropriations-4Yr'!I17+'Fed Contracts Grnts-4Yr'!I17+'Other Contract Grnts-4Yr'!I17+'Investment Income-4Yr'!I17+'All Other E&amp;G-4Yr'!I17</f>
        <v>785474.71499999997</v>
      </c>
      <c r="J17" s="102">
        <f>+'Tuition-4Yr'!J17+'State Appropriations-4Yr'!J17+'Local Appropriations-4Yr'!J17+'Fed Contracts Grnts-4Yr'!J17+'Other Contract Grnts-4Yr'!J17+'Investment Income-4Yr'!J17+'All Other E&amp;G-4Yr'!J17</f>
        <v>874153.60000000009</v>
      </c>
      <c r="K17" s="102">
        <f>+'Tuition-4Yr'!K17+'State Appropriations-4Yr'!K17+'Local Appropriations-4Yr'!K17+'Fed Contracts Grnts-4Yr'!K17+'Other Contract Grnts-4Yr'!K17+'Investment Income-4Yr'!K17+'All Other E&amp;G-4Yr'!K17</f>
        <v>894955.99200000009</v>
      </c>
      <c r="L17" s="102">
        <f>+'Tuition-4Yr'!L17+'State Appropriations-4Yr'!L17+'Local Appropriations-4Yr'!L17+'Fed Contracts Grnts-4Yr'!L17+'Other Contract Grnts-4Yr'!L17+'Investment Income-4Yr'!L17+'All Other E&amp;G-4Yr'!L17</f>
        <v>925398.92700000003</v>
      </c>
      <c r="M17" s="102">
        <f>+'Tuition-4Yr'!M17+'State Appropriations-4Yr'!M17+'Local Appropriations-4Yr'!M17+'Fed Contracts Grnts-4Yr'!M17+'Other Contract Grnts-4Yr'!M17+'Investment Income-4Yr'!M17+'All Other E&amp;G-4Yr'!M17</f>
        <v>894437.09800000011</v>
      </c>
      <c r="N17" s="102">
        <f>+'Tuition-4Yr'!N17+'State Appropriations-4Yr'!N17+'Local Appropriations-4Yr'!N17+'Fed Contracts Grnts-4Yr'!N17+'Other Contract Grnts-4Yr'!N17+'Investment Income-4Yr'!N17+'All Other E&amp;G-4Yr'!N17</f>
        <v>1018370.689</v>
      </c>
      <c r="O17" s="102">
        <f>+'Tuition-4Yr'!O17+'State Appropriations-4Yr'!O17+'Local Appropriations-4Yr'!O17+'Fed Contracts Grnts-4Yr'!O17+'Other Contract Grnts-4Yr'!O17+'Investment Income-4Yr'!O17+'All Other E&amp;G-4Yr'!O17</f>
        <v>1103395.9932300001</v>
      </c>
      <c r="P17" s="102">
        <f>+'Tuition-4Yr'!P17+'State Appropriations-4Yr'!P17+'Local Appropriations-4Yr'!P17+'Fed Contracts Grnts-4Yr'!P17+'Other Contract Grnts-4Yr'!P17+'Investment Income-4Yr'!P17+'All Other E&amp;G-4Yr'!P17</f>
        <v>0</v>
      </c>
      <c r="Q17" s="102">
        <f>+'Tuition-4Yr'!Q17+'State Appropriations-4Yr'!Q17+'Local Appropriations-4Yr'!Q17+'Fed Contracts Grnts-4Yr'!Q17+'Other Contract Grnts-4Yr'!Q17+'Investment Income-4Yr'!Q17+'All Other E&amp;G-4Yr'!Q17</f>
        <v>0</v>
      </c>
      <c r="R17" s="102">
        <f>+'Tuition-4Yr'!R17+'State Appropriations-4Yr'!R17+'Local Appropriations-4Yr'!R17+'Fed Contracts Grnts-4Yr'!R17+'Other Contract Grnts-4Yr'!R17+'Investment Income-4Yr'!R17+'All Other E&amp;G-4Yr'!R17</f>
        <v>1493121.6290000002</v>
      </c>
      <c r="S17" s="102">
        <f>+'Tuition-4Yr'!S17+'State Appropriations-4Yr'!S17+'Local Appropriations-4Yr'!S17+'Fed Contracts Grnts-4Yr'!S17+'Other Contract Grnts-4Yr'!S17+'Investment Income-4Yr'!S17+'All Other E&amp;G-4Yr'!S17</f>
        <v>1351505.8129999998</v>
      </c>
      <c r="T17" s="102">
        <f>+'Tuition-4Yr'!T17+'State Appropriations-4Yr'!T17+'Local Appropriations-4Yr'!T17+'Fed Contracts Grnts-4Yr'!T17+'Other Contract Grnts-4Yr'!T17+'Investment Income-4Yr'!T17+'All Other E&amp;G-4Yr'!T17</f>
        <v>1497111.345</v>
      </c>
      <c r="U17" s="102">
        <f>+'Tuition-4Yr'!U17+'State Appropriations-4Yr'!U17+'Local Appropriations-4Yr'!U17+'Fed Contracts Grnts-4Yr'!U17+'Other Contract Grnts-4Yr'!U17+'Investment Income-4Yr'!U17+'All Other E&amp;G-4Yr'!U17</f>
        <v>1512325.426</v>
      </c>
      <c r="V17" s="102">
        <f>+'Tuition-4Yr'!V17+'State Appropriations-4Yr'!V17+'Local Appropriations-4Yr'!V17+'Fed Contracts Grnts-4Yr'!V17+'Other Contract Grnts-4Yr'!V17+'Investment Income-4Yr'!V17+'All Other E&amp;G-4Yr'!V17</f>
        <v>1668289.777</v>
      </c>
      <c r="W17" s="102">
        <f>+'Tuition-4Yr'!W17+'State Appropriations-4Yr'!W17+'Local Appropriations-4Yr'!W17+'Fed Contracts Grnts-4Yr'!W17+'Other Contract Grnts-4Yr'!W17+'Investment Income-4Yr'!W17+'All Other E&amp;G-4Yr'!W17</f>
        <v>1850708.7169999999</v>
      </c>
      <c r="X17" s="102">
        <f>+'Tuition-4Yr'!X17+'State Appropriations-4Yr'!X17+'Local Appropriations-4Yr'!X17+'Fed Contracts Grnts-4Yr'!X17+'Other Contract Grnts-4Yr'!X17+'Investment Income-4Yr'!X17+'All Other E&amp;G-4Yr'!X17</f>
        <v>1919796.0749999997</v>
      </c>
      <c r="Y17" s="102">
        <f>+'Tuition-4Yr'!Y17+'State Appropriations-4Yr'!Y17+'Local Appropriations-4Yr'!Y17+'Fed Contracts Grnts-4Yr'!Y17+'Other Contract Grnts-4Yr'!Y17+'Investment Income-4Yr'!Y17+'All Other E&amp;G-4Yr'!Y17</f>
        <v>2151526.1940000001</v>
      </c>
      <c r="Z17" s="102">
        <f>+'Tuition-4Yr'!Z17+'State Appropriations-4Yr'!Z17+'Local Appropriations-4Yr'!Z17+'Fed Contracts Grnts-4Yr'!Z17+'Other Contract Grnts-4Yr'!Z17+'Investment Income-4Yr'!Z17+'All Other E&amp;G-4Yr'!Z17</f>
        <v>2259281.298</v>
      </c>
      <c r="AA17" s="102">
        <f>+'Tuition-4Yr'!AA17+'State Appropriations-4Yr'!AA17+'Local Appropriations-4Yr'!AA17+'Fed Contracts Grnts-4Yr'!AA17+'Other Contract Grnts-4Yr'!AA17+'Investment Income-4Yr'!AA17+'All Other E&amp;G-4Yr'!AA17</f>
        <v>1864701.0150000001</v>
      </c>
      <c r="AB17" s="102">
        <f>+'Tuition-4Yr'!AB17+'State Appropriations-4Yr'!AB17+'Local Appropriations-4Yr'!AB17+'Fed Contracts Grnts-4Yr'!AB17+'Other Contract Grnts-4Yr'!AB17+'Investment Income-4Yr'!AB17+'All Other E&amp;G-4Yr'!AB17</f>
        <v>2537614.3539999998</v>
      </c>
      <c r="AC17" s="102">
        <f>+'Tuition-4Yr'!AC17+'State Appropriations-4Yr'!AC17+'Local Appropriations-4Yr'!AC17+'Fed Contracts Grnts-4Yr'!AC17+'Other Contract Grnts-4Yr'!AC17+'Investment Income-4Yr'!AC17+'All Other E&amp;G-4Yr'!AC17</f>
        <v>2667596</v>
      </c>
      <c r="AD17" s="102">
        <f>+'Tuition-4Yr'!AD17+'State Appropriations-4Yr'!AD17+'Local Appropriations-4Yr'!AD17+'Fed Contracts Grnts-4Yr'!AD17+'Other Contract Grnts-4Yr'!AD17+'Investment Income-4Yr'!AD17+'All Other E&amp;G-4Yr'!AD17</f>
        <v>2692157.4139999999</v>
      </c>
      <c r="AE17" s="102">
        <f>+'Tuition-4Yr'!AE17+'State Appropriations-4Yr'!AE17+'Local Appropriations-4Yr'!AE17+'Fed Contracts Grnts-4Yr'!AE17+'Other Contract Grnts-4Yr'!AE17+'Investment Income-4Yr'!AE17+'All Other E&amp;G-4Yr'!AE17</f>
        <v>2790372.0860000001</v>
      </c>
      <c r="AF17" s="102">
        <f>+'Tuition-4Yr'!AF17+'State Appropriations-4Yr'!AF17+'Local Appropriations-4Yr'!AF17+'Fed Contracts Grnts-4Yr'!AF17+'Other Contract Grnts-4Yr'!AF17+'Investment Income-4Yr'!AF17+'All Other E&amp;G-4Yr'!AF17</f>
        <v>2818860.1509999991</v>
      </c>
      <c r="AG17" s="102">
        <f>+'Tuition-4Yr'!AG17+'State Appropriations-4Yr'!AG17+'Local Appropriations-4Yr'!AG17+'Fed Contracts Grnts-4Yr'!AG17+'Other Contract Grnts-4Yr'!AG17+'Investment Income-4Yr'!AG17+'All Other E&amp;G-4Yr'!AG17</f>
        <v>2957409.1040000003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row>
    <row r="18" spans="1:213" s="65" customFormat="1" ht="12.75" customHeight="1">
      <c r="A18" s="14" t="s">
        <v>11</v>
      </c>
      <c r="B18" s="102">
        <f>+'Tuition-4Yr'!B18+'State Appropriations-4Yr'!B18+'Local Appropriations-4Yr'!B18+'Fed Contracts Grnts-4Yr'!B18+'Other Contract Grnts-4Yr'!B18+'Investment Income-4Yr'!B18+'All Other E&amp;G-4Yr'!B18</f>
        <v>496236</v>
      </c>
      <c r="C18" s="102">
        <f>+'Tuition-4Yr'!C18+'State Appropriations-4Yr'!C18+'Local Appropriations-4Yr'!C18+'Fed Contracts Grnts-4Yr'!C18+'Other Contract Grnts-4Yr'!C18+'Investment Income-4Yr'!C18+'All Other E&amp;G-4Yr'!C18</f>
        <v>576484</v>
      </c>
      <c r="D18" s="102">
        <f>+'Tuition-4Yr'!D18+'State Appropriations-4Yr'!D18+'Local Appropriations-4Yr'!D18+'Fed Contracts Grnts-4Yr'!D18+'Other Contract Grnts-4Yr'!D18+'Investment Income-4Yr'!D18+'All Other E&amp;G-4Yr'!D18</f>
        <v>634948</v>
      </c>
      <c r="E18" s="102">
        <f>+'Tuition-4Yr'!E18+'State Appropriations-4Yr'!E18+'Local Appropriations-4Yr'!E18+'Fed Contracts Grnts-4Yr'!E18+'Other Contract Grnts-4Yr'!E18+'Investment Income-4Yr'!E18+'All Other E&amp;G-4Yr'!E18</f>
        <v>0</v>
      </c>
      <c r="F18" s="102">
        <f>+'Tuition-4Yr'!F18+'State Appropriations-4Yr'!F18+'Local Appropriations-4Yr'!F18+'Fed Contracts Grnts-4Yr'!F18+'Other Contract Grnts-4Yr'!F18+'Investment Income-4Yr'!F18+'All Other E&amp;G-4Yr'!F18</f>
        <v>0</v>
      </c>
      <c r="G18" s="102">
        <f>+'Tuition-4Yr'!G18+'State Appropriations-4Yr'!G18+'Local Appropriations-4Yr'!G18+'Fed Contracts Grnts-4Yr'!G18+'Other Contract Grnts-4Yr'!G18+'Investment Income-4Yr'!G18+'All Other E&amp;G-4Yr'!G18</f>
        <v>0</v>
      </c>
      <c r="H18" s="102">
        <f>+'Tuition-4Yr'!H18+'State Appropriations-4Yr'!H18+'Local Appropriations-4Yr'!H18+'Fed Contracts Grnts-4Yr'!H18+'Other Contract Grnts-4Yr'!H18+'Investment Income-4Yr'!H18+'All Other E&amp;G-4Yr'!H18</f>
        <v>0</v>
      </c>
      <c r="I18" s="102">
        <f>+'Tuition-4Yr'!I18+'State Appropriations-4Yr'!I18+'Local Appropriations-4Yr'!I18+'Fed Contracts Grnts-4Yr'!I18+'Other Contract Grnts-4Yr'!I18+'Investment Income-4Yr'!I18+'All Other E&amp;G-4Yr'!I18</f>
        <v>902140.25799999991</v>
      </c>
      <c r="J18" s="102">
        <f>+'Tuition-4Yr'!J18+'State Appropriations-4Yr'!J18+'Local Appropriations-4Yr'!J18+'Fed Contracts Grnts-4Yr'!J18+'Other Contract Grnts-4Yr'!J18+'Investment Income-4Yr'!J18+'All Other E&amp;G-4Yr'!J18</f>
        <v>931729.777</v>
      </c>
      <c r="K18" s="102">
        <f>+'Tuition-4Yr'!K18+'State Appropriations-4Yr'!K18+'Local Appropriations-4Yr'!K18+'Fed Contracts Grnts-4Yr'!K18+'Other Contract Grnts-4Yr'!K18+'Investment Income-4Yr'!K18+'All Other E&amp;G-4Yr'!K18</f>
        <v>992286.31099999999</v>
      </c>
      <c r="L18" s="102">
        <f>+'Tuition-4Yr'!L18+'State Appropriations-4Yr'!L18+'Local Appropriations-4Yr'!L18+'Fed Contracts Grnts-4Yr'!L18+'Other Contract Grnts-4Yr'!L18+'Investment Income-4Yr'!L18+'All Other E&amp;G-4Yr'!L18</f>
        <v>1040584.297</v>
      </c>
      <c r="M18" s="102">
        <f>+'Tuition-4Yr'!M18+'State Appropriations-4Yr'!M18+'Local Appropriations-4Yr'!M18+'Fed Contracts Grnts-4Yr'!M18+'Other Contract Grnts-4Yr'!M18+'Investment Income-4Yr'!M18+'All Other E&amp;G-4Yr'!M18</f>
        <v>1098759.804</v>
      </c>
      <c r="N18" s="102">
        <f>+'Tuition-4Yr'!N18+'State Appropriations-4Yr'!N18+'Local Appropriations-4Yr'!N18+'Fed Contracts Grnts-4Yr'!N18+'Other Contract Grnts-4Yr'!N18+'Investment Income-4Yr'!N18+'All Other E&amp;G-4Yr'!N18</f>
        <v>1133599.5523000001</v>
      </c>
      <c r="O18" s="102">
        <f>+'Tuition-4Yr'!O18+'State Appropriations-4Yr'!O18+'Local Appropriations-4Yr'!O18+'Fed Contracts Grnts-4Yr'!O18+'Other Contract Grnts-4Yr'!O18+'Investment Income-4Yr'!O18+'All Other E&amp;G-4Yr'!O18</f>
        <v>1221293.426</v>
      </c>
      <c r="P18" s="102">
        <f>+'Tuition-4Yr'!P18+'State Appropriations-4Yr'!P18+'Local Appropriations-4Yr'!P18+'Fed Contracts Grnts-4Yr'!P18+'Other Contract Grnts-4Yr'!P18+'Investment Income-4Yr'!P18+'All Other E&amp;G-4Yr'!P18</f>
        <v>0</v>
      </c>
      <c r="Q18" s="102">
        <f>+'Tuition-4Yr'!Q18+'State Appropriations-4Yr'!Q18+'Local Appropriations-4Yr'!Q18+'Fed Contracts Grnts-4Yr'!Q18+'Other Contract Grnts-4Yr'!Q18+'Investment Income-4Yr'!Q18+'All Other E&amp;G-4Yr'!Q18</f>
        <v>0</v>
      </c>
      <c r="R18" s="102">
        <f>+'Tuition-4Yr'!R18+'State Appropriations-4Yr'!R18+'Local Appropriations-4Yr'!R18+'Fed Contracts Grnts-4Yr'!R18+'Other Contract Grnts-4Yr'!R18+'Investment Income-4Yr'!R18+'All Other E&amp;G-4Yr'!R18</f>
        <v>1466145.5420000004</v>
      </c>
      <c r="S18" s="102">
        <f>+'Tuition-4Yr'!S18+'State Appropriations-4Yr'!S18+'Local Appropriations-4Yr'!S18+'Fed Contracts Grnts-4Yr'!S18+'Other Contract Grnts-4Yr'!S18+'Investment Income-4Yr'!S18+'All Other E&amp;G-4Yr'!S18</f>
        <v>1651908.2179999999</v>
      </c>
      <c r="T18" s="102">
        <f>+'Tuition-4Yr'!T18+'State Appropriations-4Yr'!T18+'Local Appropriations-4Yr'!T18+'Fed Contracts Grnts-4Yr'!T18+'Other Contract Grnts-4Yr'!T18+'Investment Income-4Yr'!T18+'All Other E&amp;G-4Yr'!T18</f>
        <v>1770247.0889999997</v>
      </c>
      <c r="U18" s="102">
        <f>+'Tuition-4Yr'!U18+'State Appropriations-4Yr'!U18+'Local Appropriations-4Yr'!U18+'Fed Contracts Grnts-4Yr'!U18+'Other Contract Grnts-4Yr'!U18+'Investment Income-4Yr'!U18+'All Other E&amp;G-4Yr'!U18</f>
        <v>1797479.9920000001</v>
      </c>
      <c r="V18" s="102">
        <f>+'Tuition-4Yr'!V18+'State Appropriations-4Yr'!V18+'Local Appropriations-4Yr'!V18+'Fed Contracts Grnts-4Yr'!V18+'Other Contract Grnts-4Yr'!V18+'Investment Income-4Yr'!V18+'All Other E&amp;G-4Yr'!V18</f>
        <v>1883549.9699999997</v>
      </c>
      <c r="W18" s="102">
        <f>+'Tuition-4Yr'!W18+'State Appropriations-4Yr'!W18+'Local Appropriations-4Yr'!W18+'Fed Contracts Grnts-4Yr'!W18+'Other Contract Grnts-4Yr'!W18+'Investment Income-4Yr'!W18+'All Other E&amp;G-4Yr'!W18</f>
        <v>2185642.9389999998</v>
      </c>
      <c r="X18" s="102">
        <f>+'Tuition-4Yr'!X18+'State Appropriations-4Yr'!X18+'Local Appropriations-4Yr'!X18+'Fed Contracts Grnts-4Yr'!X18+'Other Contract Grnts-4Yr'!X18+'Investment Income-4Yr'!X18+'All Other E&amp;G-4Yr'!X18</f>
        <v>2165712.35</v>
      </c>
      <c r="Y18" s="102">
        <f>+'Tuition-4Yr'!Y18+'State Appropriations-4Yr'!Y18+'Local Appropriations-4Yr'!Y18+'Fed Contracts Grnts-4Yr'!Y18+'Other Contract Grnts-4Yr'!Y18+'Investment Income-4Yr'!Y18+'All Other E&amp;G-4Yr'!Y18</f>
        <v>2389336.145</v>
      </c>
      <c r="Z18" s="102">
        <f>+'Tuition-4Yr'!Z18+'State Appropriations-4Yr'!Z18+'Local Appropriations-4Yr'!Z18+'Fed Contracts Grnts-4Yr'!Z18+'Other Contract Grnts-4Yr'!Z18+'Investment Income-4Yr'!Z18+'All Other E&amp;G-4Yr'!Z18</f>
        <v>2510506.4709999994</v>
      </c>
      <c r="AA18" s="102">
        <f>+'Tuition-4Yr'!AA18+'State Appropriations-4Yr'!AA18+'Local Appropriations-4Yr'!AA18+'Fed Contracts Grnts-4Yr'!AA18+'Other Contract Grnts-4Yr'!AA18+'Investment Income-4Yr'!AA18+'All Other E&amp;G-4Yr'!AA18</f>
        <v>2235188.7179999999</v>
      </c>
      <c r="AB18" s="102">
        <f>+'Tuition-4Yr'!AB18+'State Appropriations-4Yr'!AB18+'Local Appropriations-4Yr'!AB18+'Fed Contracts Grnts-4Yr'!AB18+'Other Contract Grnts-4Yr'!AB18+'Investment Income-4Yr'!AB18+'All Other E&amp;G-4Yr'!AB18</f>
        <v>3020706.0440000002</v>
      </c>
      <c r="AC18" s="102">
        <f>+'Tuition-4Yr'!AC18+'State Appropriations-4Yr'!AC18+'Local Appropriations-4Yr'!AC18+'Fed Contracts Grnts-4Yr'!AC18+'Other Contract Grnts-4Yr'!AC18+'Investment Income-4Yr'!AC18+'All Other E&amp;G-4Yr'!AC18</f>
        <v>3144503</v>
      </c>
      <c r="AD18" s="102">
        <f>+'Tuition-4Yr'!AD18+'State Appropriations-4Yr'!AD18+'Local Appropriations-4Yr'!AD18+'Fed Contracts Grnts-4Yr'!AD18+'Other Contract Grnts-4Yr'!AD18+'Investment Income-4Yr'!AD18+'All Other E&amp;G-4Yr'!AD18</f>
        <v>3114595.6040000003</v>
      </c>
      <c r="AE18" s="102">
        <f>+'Tuition-4Yr'!AE18+'State Appropriations-4Yr'!AE18+'Local Appropriations-4Yr'!AE18+'Fed Contracts Grnts-4Yr'!AE18+'Other Contract Grnts-4Yr'!AE18+'Investment Income-4Yr'!AE18+'All Other E&amp;G-4Yr'!AE18</f>
        <v>3260519.6430000006</v>
      </c>
      <c r="AF18" s="102">
        <f>+'Tuition-4Yr'!AF18+'State Appropriations-4Yr'!AF18+'Local Appropriations-4Yr'!AF18+'Fed Contracts Grnts-4Yr'!AF18+'Other Contract Grnts-4Yr'!AF18+'Investment Income-4Yr'!AF18+'All Other E&amp;G-4Yr'!AF18</f>
        <v>3296151.7930000005</v>
      </c>
      <c r="AG18" s="102">
        <f>+'Tuition-4Yr'!AG18+'State Appropriations-4Yr'!AG18+'Local Appropriations-4Yr'!AG18+'Fed Contracts Grnts-4Yr'!AG18+'Other Contract Grnts-4Yr'!AG18+'Investment Income-4Yr'!AG18+'All Other E&amp;G-4Yr'!AG18</f>
        <v>3568696.4130000002</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row>
    <row r="19" spans="1:213" s="65" customFormat="1" ht="12.75" customHeight="1">
      <c r="A19" s="14" t="s">
        <v>12</v>
      </c>
      <c r="B19" s="102">
        <f>+'Tuition-4Yr'!B19+'State Appropriations-4Yr'!B19+'Local Appropriations-4Yr'!B19+'Fed Contracts Grnts-4Yr'!B19+'Other Contract Grnts-4Yr'!B19+'Investment Income-4Yr'!B19+'All Other E&amp;G-4Yr'!B19</f>
        <v>558263</v>
      </c>
      <c r="C19" s="102">
        <f>+'Tuition-4Yr'!C19+'State Appropriations-4Yr'!C19+'Local Appropriations-4Yr'!C19+'Fed Contracts Grnts-4Yr'!C19+'Other Contract Grnts-4Yr'!C19+'Investment Income-4Yr'!C19+'All Other E&amp;G-4Yr'!C19</f>
        <v>645385</v>
      </c>
      <c r="D19" s="102">
        <f>+'Tuition-4Yr'!D19+'State Appropriations-4Yr'!D19+'Local Appropriations-4Yr'!D19+'Fed Contracts Grnts-4Yr'!D19+'Other Contract Grnts-4Yr'!D19+'Investment Income-4Yr'!D19+'All Other E&amp;G-4Yr'!D19</f>
        <v>747495</v>
      </c>
      <c r="E19" s="102">
        <f>+'Tuition-4Yr'!E19+'State Appropriations-4Yr'!E19+'Local Appropriations-4Yr'!E19+'Fed Contracts Grnts-4Yr'!E19+'Other Contract Grnts-4Yr'!E19+'Investment Income-4Yr'!E19+'All Other E&amp;G-4Yr'!E19</f>
        <v>0</v>
      </c>
      <c r="F19" s="102">
        <f>+'Tuition-4Yr'!F19+'State Appropriations-4Yr'!F19+'Local Appropriations-4Yr'!F19+'Fed Contracts Grnts-4Yr'!F19+'Other Contract Grnts-4Yr'!F19+'Investment Income-4Yr'!F19+'All Other E&amp;G-4Yr'!F19</f>
        <v>0</v>
      </c>
      <c r="G19" s="102">
        <f>+'Tuition-4Yr'!G19+'State Appropriations-4Yr'!G19+'Local Appropriations-4Yr'!G19+'Fed Contracts Grnts-4Yr'!G19+'Other Contract Grnts-4Yr'!G19+'Investment Income-4Yr'!G19+'All Other E&amp;G-4Yr'!G19</f>
        <v>0</v>
      </c>
      <c r="H19" s="102">
        <f>+'Tuition-4Yr'!H19+'State Appropriations-4Yr'!H19+'Local Appropriations-4Yr'!H19+'Fed Contracts Grnts-4Yr'!H19+'Other Contract Grnts-4Yr'!H19+'Investment Income-4Yr'!H19+'All Other E&amp;G-4Yr'!H19</f>
        <v>0</v>
      </c>
      <c r="I19" s="102">
        <f>+'Tuition-4Yr'!I19+'State Appropriations-4Yr'!I19+'Local Appropriations-4Yr'!I19+'Fed Contracts Grnts-4Yr'!I19+'Other Contract Grnts-4Yr'!I19+'Investment Income-4Yr'!I19+'All Other E&amp;G-4Yr'!I19</f>
        <v>1073402.5490000001</v>
      </c>
      <c r="J19" s="102">
        <f>+'Tuition-4Yr'!J19+'State Appropriations-4Yr'!J19+'Local Appropriations-4Yr'!J19+'Fed Contracts Grnts-4Yr'!J19+'Other Contract Grnts-4Yr'!J19+'Investment Income-4Yr'!J19+'All Other E&amp;G-4Yr'!J19</f>
        <v>1066566.7720000001</v>
      </c>
      <c r="K19" s="102">
        <f>+'Tuition-4Yr'!K19+'State Appropriations-4Yr'!K19+'Local Appropriations-4Yr'!K19+'Fed Contracts Grnts-4Yr'!K19+'Other Contract Grnts-4Yr'!K19+'Investment Income-4Yr'!K19+'All Other E&amp;G-4Yr'!K19</f>
        <v>1195756.3629999999</v>
      </c>
      <c r="L19" s="102">
        <f>+'Tuition-4Yr'!L19+'State Appropriations-4Yr'!L19+'Local Appropriations-4Yr'!L19+'Fed Contracts Grnts-4Yr'!L19+'Other Contract Grnts-4Yr'!L19+'Investment Income-4Yr'!L19+'All Other E&amp;G-4Yr'!L19</f>
        <v>1272771.3420000002</v>
      </c>
      <c r="M19" s="102">
        <f>+'Tuition-4Yr'!M19+'State Appropriations-4Yr'!M19+'Local Appropriations-4Yr'!M19+'Fed Contracts Grnts-4Yr'!M19+'Other Contract Grnts-4Yr'!M19+'Investment Income-4Yr'!M19+'All Other E&amp;G-4Yr'!M19</f>
        <v>1312656.497</v>
      </c>
      <c r="N19" s="102">
        <f>+'Tuition-4Yr'!N19+'State Appropriations-4Yr'!N19+'Local Appropriations-4Yr'!N19+'Fed Contracts Grnts-4Yr'!N19+'Other Contract Grnts-4Yr'!N19+'Investment Income-4Yr'!N19+'All Other E&amp;G-4Yr'!N19</f>
        <v>1393825.5719999999</v>
      </c>
      <c r="O19" s="102">
        <f>+'Tuition-4Yr'!O19+'State Appropriations-4Yr'!O19+'Local Appropriations-4Yr'!O19+'Fed Contracts Grnts-4Yr'!O19+'Other Contract Grnts-4Yr'!O19+'Investment Income-4Yr'!O19+'All Other E&amp;G-4Yr'!O19</f>
        <v>1445985.047</v>
      </c>
      <c r="P19" s="102">
        <f>+'Tuition-4Yr'!P19+'State Appropriations-4Yr'!P19+'Local Appropriations-4Yr'!P19+'Fed Contracts Grnts-4Yr'!P19+'Other Contract Grnts-4Yr'!P19+'Investment Income-4Yr'!P19+'All Other E&amp;G-4Yr'!P19</f>
        <v>0</v>
      </c>
      <c r="Q19" s="102">
        <f>+'Tuition-4Yr'!Q19+'State Appropriations-4Yr'!Q19+'Local Appropriations-4Yr'!Q19+'Fed Contracts Grnts-4Yr'!Q19+'Other Contract Grnts-4Yr'!Q19+'Investment Income-4Yr'!Q19+'All Other E&amp;G-4Yr'!Q19</f>
        <v>0</v>
      </c>
      <c r="R19" s="102">
        <f>+'Tuition-4Yr'!R19+'State Appropriations-4Yr'!R19+'Local Appropriations-4Yr'!R19+'Fed Contracts Grnts-4Yr'!R19+'Other Contract Grnts-4Yr'!R19+'Investment Income-4Yr'!R19+'All Other E&amp;G-4Yr'!R19</f>
        <v>1768231.898</v>
      </c>
      <c r="S19" s="102">
        <f>+'Tuition-4Yr'!S19+'State Appropriations-4Yr'!S19+'Local Appropriations-4Yr'!S19+'Fed Contracts Grnts-4Yr'!S19+'Other Contract Grnts-4Yr'!S19+'Investment Income-4Yr'!S19+'All Other E&amp;G-4Yr'!S19</f>
        <v>1908867.824</v>
      </c>
      <c r="T19" s="102">
        <f>+'Tuition-4Yr'!T19+'State Appropriations-4Yr'!T19+'Local Appropriations-4Yr'!T19+'Fed Contracts Grnts-4Yr'!T19+'Other Contract Grnts-4Yr'!T19+'Investment Income-4Yr'!T19+'All Other E&amp;G-4Yr'!T19</f>
        <v>2015328.1070000001</v>
      </c>
      <c r="U19" s="102">
        <f>+'Tuition-4Yr'!U19+'State Appropriations-4Yr'!U19+'Local Appropriations-4Yr'!U19+'Fed Contracts Grnts-4Yr'!U19+'Other Contract Grnts-4Yr'!U19+'Investment Income-4Yr'!U19+'All Other E&amp;G-4Yr'!U19</f>
        <v>2053652.32</v>
      </c>
      <c r="V19" s="102">
        <f>+'Tuition-4Yr'!V19+'State Appropriations-4Yr'!V19+'Local Appropriations-4Yr'!V19+'Fed Contracts Grnts-4Yr'!V19+'Other Contract Grnts-4Yr'!V19+'Investment Income-4Yr'!V19+'All Other E&amp;G-4Yr'!V19</f>
        <v>2230563.2520000003</v>
      </c>
      <c r="W19" s="102">
        <f>+'Tuition-4Yr'!W19+'State Appropriations-4Yr'!W19+'Local Appropriations-4Yr'!W19+'Fed Contracts Grnts-4Yr'!W19+'Other Contract Grnts-4Yr'!W19+'Investment Income-4Yr'!W19+'All Other E&amp;G-4Yr'!W19</f>
        <v>2487607.9959999998</v>
      </c>
      <c r="X19" s="102">
        <f>+'Tuition-4Yr'!X19+'State Appropriations-4Yr'!X19+'Local Appropriations-4Yr'!X19+'Fed Contracts Grnts-4Yr'!X19+'Other Contract Grnts-4Yr'!X19+'Investment Income-4Yr'!X19+'All Other E&amp;G-4Yr'!X19</f>
        <v>2498351.1239999998</v>
      </c>
      <c r="Y19" s="102">
        <f>+'Tuition-4Yr'!Y19+'State Appropriations-4Yr'!Y19+'Local Appropriations-4Yr'!Y19+'Fed Contracts Grnts-4Yr'!Y19+'Other Contract Grnts-4Yr'!Y19+'Investment Income-4Yr'!Y19+'All Other E&amp;G-4Yr'!Y19</f>
        <v>2741713.7749999999</v>
      </c>
      <c r="Z19" s="102">
        <f>+'Tuition-4Yr'!Z19+'State Appropriations-4Yr'!Z19+'Local Appropriations-4Yr'!Z19+'Fed Contracts Grnts-4Yr'!Z19+'Other Contract Grnts-4Yr'!Z19+'Investment Income-4Yr'!Z19+'All Other E&amp;G-4Yr'!Z19</f>
        <v>2697176.5120000001</v>
      </c>
      <c r="AA19" s="102">
        <f>+'Tuition-4Yr'!AA19+'State Appropriations-4Yr'!AA19+'Local Appropriations-4Yr'!AA19+'Fed Contracts Grnts-4Yr'!AA19+'Other Contract Grnts-4Yr'!AA19+'Investment Income-4Yr'!AA19+'All Other E&amp;G-4Yr'!AA19</f>
        <v>2865680.5509999995</v>
      </c>
      <c r="AB19" s="102">
        <f>+'Tuition-4Yr'!AB19+'State Appropriations-4Yr'!AB19+'Local Appropriations-4Yr'!AB19+'Fed Contracts Grnts-4Yr'!AB19+'Other Contract Grnts-4Yr'!AB19+'Investment Income-4Yr'!AB19+'All Other E&amp;G-4Yr'!AB19</f>
        <v>3276243.3470000001</v>
      </c>
      <c r="AC19" s="102">
        <f>+'Tuition-4Yr'!AC19+'State Appropriations-4Yr'!AC19+'Local Appropriations-4Yr'!AC19+'Fed Contracts Grnts-4Yr'!AC19+'Other Contract Grnts-4Yr'!AC19+'Investment Income-4Yr'!AC19+'All Other E&amp;G-4Yr'!AC19</f>
        <v>3612624</v>
      </c>
      <c r="AD19" s="102">
        <f>+'Tuition-4Yr'!AD19+'State Appropriations-4Yr'!AD19+'Local Appropriations-4Yr'!AD19+'Fed Contracts Grnts-4Yr'!AD19+'Other Contract Grnts-4Yr'!AD19+'Investment Income-4Yr'!AD19+'All Other E&amp;G-4Yr'!AD19</f>
        <v>3369332.5379999997</v>
      </c>
      <c r="AE19" s="102">
        <f>+'Tuition-4Yr'!AE19+'State Appropriations-4Yr'!AE19+'Local Appropriations-4Yr'!AE19+'Fed Contracts Grnts-4Yr'!AE19+'Other Contract Grnts-4Yr'!AE19+'Investment Income-4Yr'!AE19+'All Other E&amp;G-4Yr'!AE19</f>
        <v>3489328.4380000001</v>
      </c>
      <c r="AF19" s="102">
        <f>+'Tuition-4Yr'!AF19+'State Appropriations-4Yr'!AF19+'Local Appropriations-4Yr'!AF19+'Fed Contracts Grnts-4Yr'!AF19+'Other Contract Grnts-4Yr'!AF19+'Investment Income-4Yr'!AF19+'All Other E&amp;G-4Yr'!AF19</f>
        <v>3541595.5090000005</v>
      </c>
      <c r="AG19" s="102">
        <f>+'Tuition-4Yr'!AG19+'State Appropriations-4Yr'!AG19+'Local Appropriations-4Yr'!AG19+'Fed Contracts Grnts-4Yr'!AG19+'Other Contract Grnts-4Yr'!AG19+'Investment Income-4Yr'!AG19+'All Other E&amp;G-4Yr'!AG19</f>
        <v>3653479.2779999999</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row>
    <row r="20" spans="1:213" s="65" customFormat="1" ht="12.75" customHeight="1">
      <c r="A20" s="14" t="s">
        <v>13</v>
      </c>
      <c r="B20" s="102">
        <f>+'Tuition-4Yr'!B20+'State Appropriations-4Yr'!B20+'Local Appropriations-4Yr'!B20+'Fed Contracts Grnts-4Yr'!B20+'Other Contract Grnts-4Yr'!B20+'Investment Income-4Yr'!B20+'All Other E&amp;G-4Yr'!B20</f>
        <v>2855354</v>
      </c>
      <c r="C20" s="102">
        <f>+'Tuition-4Yr'!C20+'State Appropriations-4Yr'!C20+'Local Appropriations-4Yr'!C20+'Fed Contracts Grnts-4Yr'!C20+'Other Contract Grnts-4Yr'!C20+'Investment Income-4Yr'!C20+'All Other E&amp;G-4Yr'!C20</f>
        <v>3040766</v>
      </c>
      <c r="D20" s="102">
        <f>+'Tuition-4Yr'!D20+'State Appropriations-4Yr'!D20+'Local Appropriations-4Yr'!D20+'Fed Contracts Grnts-4Yr'!D20+'Other Contract Grnts-4Yr'!D20+'Investment Income-4Yr'!D20+'All Other E&amp;G-4Yr'!D20</f>
        <v>3269696</v>
      </c>
      <c r="E20" s="102">
        <f>+'Tuition-4Yr'!E20+'State Appropriations-4Yr'!E20+'Local Appropriations-4Yr'!E20+'Fed Contracts Grnts-4Yr'!E20+'Other Contract Grnts-4Yr'!E20+'Investment Income-4Yr'!E20+'All Other E&amp;G-4Yr'!E20</f>
        <v>0</v>
      </c>
      <c r="F20" s="102">
        <f>+'Tuition-4Yr'!F20+'State Appropriations-4Yr'!F20+'Local Appropriations-4Yr'!F20+'Fed Contracts Grnts-4Yr'!F20+'Other Contract Grnts-4Yr'!F20+'Investment Income-4Yr'!F20+'All Other E&amp;G-4Yr'!F20</f>
        <v>0</v>
      </c>
      <c r="G20" s="102">
        <f>+'Tuition-4Yr'!G20+'State Appropriations-4Yr'!G20+'Local Appropriations-4Yr'!G20+'Fed Contracts Grnts-4Yr'!G20+'Other Contract Grnts-4Yr'!G20+'Investment Income-4Yr'!G20+'All Other E&amp;G-4Yr'!G20</f>
        <v>0</v>
      </c>
      <c r="H20" s="102">
        <f>+'Tuition-4Yr'!H20+'State Appropriations-4Yr'!H20+'Local Appropriations-4Yr'!H20+'Fed Contracts Grnts-4Yr'!H20+'Other Contract Grnts-4Yr'!H20+'Investment Income-4Yr'!H20+'All Other E&amp;G-4Yr'!H20</f>
        <v>0</v>
      </c>
      <c r="I20" s="102">
        <f>+'Tuition-4Yr'!I20+'State Appropriations-4Yr'!I20+'Local Appropriations-4Yr'!I20+'Fed Contracts Grnts-4Yr'!I20+'Other Contract Grnts-4Yr'!I20+'Investment Income-4Yr'!I20+'All Other E&amp;G-4Yr'!I20</f>
        <v>4208654.3260000004</v>
      </c>
      <c r="J20" s="102">
        <f>+'Tuition-4Yr'!J20+'State Appropriations-4Yr'!J20+'Local Appropriations-4Yr'!J20+'Fed Contracts Grnts-4Yr'!J20+'Other Contract Grnts-4Yr'!J20+'Investment Income-4Yr'!J20+'All Other E&amp;G-4Yr'!J20</f>
        <v>4696564.4870000007</v>
      </c>
      <c r="K20" s="102">
        <f>+'Tuition-4Yr'!K20+'State Appropriations-4Yr'!K20+'Local Appropriations-4Yr'!K20+'Fed Contracts Grnts-4Yr'!K20+'Other Contract Grnts-4Yr'!K20+'Investment Income-4Yr'!K20+'All Other E&amp;G-4Yr'!K20</f>
        <v>5162226.0109999999</v>
      </c>
      <c r="L20" s="102">
        <f>+'Tuition-4Yr'!L20+'State Appropriations-4Yr'!L20+'Local Appropriations-4Yr'!L20+'Fed Contracts Grnts-4Yr'!L20+'Other Contract Grnts-4Yr'!L20+'Investment Income-4Yr'!L20+'All Other E&amp;G-4Yr'!L20</f>
        <v>5525359.0989999995</v>
      </c>
      <c r="M20" s="102">
        <f>+'Tuition-4Yr'!M20+'State Appropriations-4Yr'!M20+'Local Appropriations-4Yr'!M20+'Fed Contracts Grnts-4Yr'!M20+'Other Contract Grnts-4Yr'!M20+'Investment Income-4Yr'!M20+'All Other E&amp;G-4Yr'!M20</f>
        <v>5776011.6170000006</v>
      </c>
      <c r="N20" s="102">
        <f>+'Tuition-4Yr'!N20+'State Appropriations-4Yr'!N20+'Local Appropriations-4Yr'!N20+'Fed Contracts Grnts-4Yr'!N20+'Other Contract Grnts-4Yr'!N20+'Investment Income-4Yr'!N20+'All Other E&amp;G-4Yr'!N20</f>
        <v>6469432.5069999993</v>
      </c>
      <c r="O20" s="102">
        <f>+'Tuition-4Yr'!O20+'State Appropriations-4Yr'!O20+'Local Appropriations-4Yr'!O20+'Fed Contracts Grnts-4Yr'!O20+'Other Contract Grnts-4Yr'!O20+'Investment Income-4Yr'!O20+'All Other E&amp;G-4Yr'!O20</f>
        <v>6733292.7989999996</v>
      </c>
      <c r="P20" s="102">
        <f>+'Tuition-4Yr'!P20+'State Appropriations-4Yr'!P20+'Local Appropriations-4Yr'!P20+'Fed Contracts Grnts-4Yr'!P20+'Other Contract Grnts-4Yr'!P20+'Investment Income-4Yr'!P20+'All Other E&amp;G-4Yr'!P20</f>
        <v>0</v>
      </c>
      <c r="Q20" s="102">
        <f>+'Tuition-4Yr'!Q20+'State Appropriations-4Yr'!Q20+'Local Appropriations-4Yr'!Q20+'Fed Contracts Grnts-4Yr'!Q20+'Other Contract Grnts-4Yr'!Q20+'Investment Income-4Yr'!Q20+'All Other E&amp;G-4Yr'!Q20</f>
        <v>0</v>
      </c>
      <c r="R20" s="102">
        <f>+'Tuition-4Yr'!R20+'State Appropriations-4Yr'!R20+'Local Appropriations-4Yr'!R20+'Fed Contracts Grnts-4Yr'!R20+'Other Contract Grnts-4Yr'!R20+'Investment Income-4Yr'!R20+'All Other E&amp;G-4Yr'!R20</f>
        <v>7944428.3909999998</v>
      </c>
      <c r="S20" s="102">
        <f>+'Tuition-4Yr'!S20+'State Appropriations-4Yr'!S20+'Local Appropriations-4Yr'!S20+'Fed Contracts Grnts-4Yr'!S20+'Other Contract Grnts-4Yr'!S20+'Investment Income-4Yr'!S20+'All Other E&amp;G-4Yr'!S20</f>
        <v>8760716.3550000004</v>
      </c>
      <c r="T20" s="102">
        <f>+'Tuition-4Yr'!T20+'State Appropriations-4Yr'!T20+'Local Appropriations-4Yr'!T20+'Fed Contracts Grnts-4Yr'!T20+'Other Contract Grnts-4Yr'!T20+'Investment Income-4Yr'!T20+'All Other E&amp;G-4Yr'!T20</f>
        <v>10709200.309999999</v>
      </c>
      <c r="U20" s="102">
        <f>+'Tuition-4Yr'!U20+'State Appropriations-4Yr'!U20+'Local Appropriations-4Yr'!U20+'Fed Contracts Grnts-4Yr'!U20+'Other Contract Grnts-4Yr'!U20+'Investment Income-4Yr'!U20+'All Other E&amp;G-4Yr'!U20</f>
        <v>11355153.380000001</v>
      </c>
      <c r="V20" s="102">
        <f>+'Tuition-4Yr'!V20+'State Appropriations-4Yr'!V20+'Local Appropriations-4Yr'!V20+'Fed Contracts Grnts-4Yr'!V20+'Other Contract Grnts-4Yr'!V20+'Investment Income-4Yr'!V20+'All Other E&amp;G-4Yr'!V20</f>
        <v>11971042.774999999</v>
      </c>
      <c r="W20" s="102">
        <f>+'Tuition-4Yr'!W20+'State Appropriations-4Yr'!W20+'Local Appropriations-4Yr'!W20+'Fed Contracts Grnts-4Yr'!W20+'Other Contract Grnts-4Yr'!W20+'Investment Income-4Yr'!W20+'All Other E&amp;G-4Yr'!W20</f>
        <v>13673741.325999999</v>
      </c>
      <c r="X20" s="102">
        <f>+'Tuition-4Yr'!X20+'State Appropriations-4Yr'!X20+'Local Appropriations-4Yr'!X20+'Fed Contracts Grnts-4Yr'!X20+'Other Contract Grnts-4Yr'!X20+'Investment Income-4Yr'!X20+'All Other E&amp;G-4Yr'!X20</f>
        <v>12906029.742000001</v>
      </c>
      <c r="Y20" s="102">
        <f>+'Tuition-4Yr'!Y20+'State Appropriations-4Yr'!Y20+'Local Appropriations-4Yr'!Y20+'Fed Contracts Grnts-4Yr'!Y20+'Other Contract Grnts-4Yr'!Y20+'Investment Income-4Yr'!Y20+'All Other E&amp;G-4Yr'!Y20</f>
        <v>14463335.293</v>
      </c>
      <c r="Z20" s="102">
        <f>+'Tuition-4Yr'!Z20+'State Appropriations-4Yr'!Z20+'Local Appropriations-4Yr'!Z20+'Fed Contracts Grnts-4Yr'!Z20+'Other Contract Grnts-4Yr'!Z20+'Investment Income-4Yr'!Z20+'All Other E&amp;G-4Yr'!Z20</f>
        <v>14268530.936000001</v>
      </c>
      <c r="AA20" s="102">
        <f>+'Tuition-4Yr'!AA20+'State Appropriations-4Yr'!AA20+'Local Appropriations-4Yr'!AA20+'Fed Contracts Grnts-4Yr'!AA20+'Other Contract Grnts-4Yr'!AA20+'Investment Income-4Yr'!AA20+'All Other E&amp;G-4Yr'!AA20</f>
        <v>10385411.127</v>
      </c>
      <c r="AB20" s="102">
        <f>+'Tuition-4Yr'!AB20+'State Appropriations-4Yr'!AB20+'Local Appropriations-4Yr'!AB20+'Fed Contracts Grnts-4Yr'!AB20+'Other Contract Grnts-4Yr'!AB20+'Investment Income-4Yr'!AB20+'All Other E&amp;G-4Yr'!AB20</f>
        <v>17808978.030999999</v>
      </c>
      <c r="AC20" s="102">
        <f>+'Tuition-4Yr'!AC20+'State Appropriations-4Yr'!AC20+'Local Appropriations-4Yr'!AC20+'Fed Contracts Grnts-4Yr'!AC20+'Other Contract Grnts-4Yr'!AC20+'Investment Income-4Yr'!AC20+'All Other E&amp;G-4Yr'!AC20</f>
        <v>18535745</v>
      </c>
      <c r="AD20" s="102">
        <f>+'Tuition-4Yr'!AD20+'State Appropriations-4Yr'!AD20+'Local Appropriations-4Yr'!AD20+'Fed Contracts Grnts-4Yr'!AD20+'Other Contract Grnts-4Yr'!AD20+'Investment Income-4Yr'!AD20+'All Other E&amp;G-4Yr'!AD20</f>
        <v>17697132.737</v>
      </c>
      <c r="AE20" s="102">
        <f>+'Tuition-4Yr'!AE20+'State Appropriations-4Yr'!AE20+'Local Appropriations-4Yr'!AE20+'Fed Contracts Grnts-4Yr'!AE20+'Other Contract Grnts-4Yr'!AE20+'Investment Income-4Yr'!AE20+'All Other E&amp;G-4Yr'!AE20</f>
        <v>13653906.197999999</v>
      </c>
      <c r="AF20" s="102">
        <f>+'Tuition-4Yr'!AF20+'State Appropriations-4Yr'!AF20+'Local Appropriations-4Yr'!AF20+'Fed Contracts Grnts-4Yr'!AF20+'Other Contract Grnts-4Yr'!AF20+'Investment Income-4Yr'!AF20+'All Other E&amp;G-4Yr'!AF20</f>
        <v>15012754.888</v>
      </c>
      <c r="AG20" s="102">
        <f>+'Tuition-4Yr'!AG20+'State Appropriations-4Yr'!AG20+'Local Appropriations-4Yr'!AG20+'Fed Contracts Grnts-4Yr'!AG20+'Other Contract Grnts-4Yr'!AG20+'Investment Income-4Yr'!AG20+'All Other E&amp;G-4Yr'!AG20</f>
        <v>15354502.934000002</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row>
    <row r="21" spans="1:213" s="65" customFormat="1" ht="12.75" customHeight="1">
      <c r="A21" s="14" t="s">
        <v>14</v>
      </c>
      <c r="B21" s="102">
        <f>+'Tuition-4Yr'!B21+'State Appropriations-4Yr'!B21+'Local Appropriations-4Yr'!B21+'Fed Contracts Grnts-4Yr'!B21+'Other Contract Grnts-4Yr'!B21+'Investment Income-4Yr'!B21+'All Other E&amp;G-4Yr'!B21</f>
        <v>850489</v>
      </c>
      <c r="C21" s="102">
        <f>+'Tuition-4Yr'!C21+'State Appropriations-4Yr'!C21+'Local Appropriations-4Yr'!C21+'Fed Contracts Grnts-4Yr'!C21+'Other Contract Grnts-4Yr'!C21+'Investment Income-4Yr'!C21+'All Other E&amp;G-4Yr'!C21</f>
        <v>1103420</v>
      </c>
      <c r="D21" s="102">
        <f>+'Tuition-4Yr'!D21+'State Appropriations-4Yr'!D21+'Local Appropriations-4Yr'!D21+'Fed Contracts Grnts-4Yr'!D21+'Other Contract Grnts-4Yr'!D21+'Investment Income-4Yr'!D21+'All Other E&amp;G-4Yr'!D21</f>
        <v>1230511</v>
      </c>
      <c r="E21" s="102">
        <f>+'Tuition-4Yr'!E21+'State Appropriations-4Yr'!E21+'Local Appropriations-4Yr'!E21+'Fed Contracts Grnts-4Yr'!E21+'Other Contract Grnts-4Yr'!E21+'Investment Income-4Yr'!E21+'All Other E&amp;G-4Yr'!E21</f>
        <v>0</v>
      </c>
      <c r="F21" s="102">
        <f>+'Tuition-4Yr'!F21+'State Appropriations-4Yr'!F21+'Local Appropriations-4Yr'!F21+'Fed Contracts Grnts-4Yr'!F21+'Other Contract Grnts-4Yr'!F21+'Investment Income-4Yr'!F21+'All Other E&amp;G-4Yr'!F21</f>
        <v>0</v>
      </c>
      <c r="G21" s="102">
        <f>+'Tuition-4Yr'!G21+'State Appropriations-4Yr'!G21+'Local Appropriations-4Yr'!G21+'Fed Contracts Grnts-4Yr'!G21+'Other Contract Grnts-4Yr'!G21+'Investment Income-4Yr'!G21+'All Other E&amp;G-4Yr'!G21</f>
        <v>0</v>
      </c>
      <c r="H21" s="102">
        <f>+'Tuition-4Yr'!H21+'State Appropriations-4Yr'!H21+'Local Appropriations-4Yr'!H21+'Fed Contracts Grnts-4Yr'!H21+'Other Contract Grnts-4Yr'!H21+'Investment Income-4Yr'!H21+'All Other E&amp;G-4Yr'!H21</f>
        <v>0</v>
      </c>
      <c r="I21" s="102">
        <f>+'Tuition-4Yr'!I21+'State Appropriations-4Yr'!I21+'Local Appropriations-4Yr'!I21+'Fed Contracts Grnts-4Yr'!I21+'Other Contract Grnts-4Yr'!I21+'Investment Income-4Yr'!I21+'All Other E&amp;G-4Yr'!I21</f>
        <v>1648121.933</v>
      </c>
      <c r="J21" s="102">
        <f>+'Tuition-4Yr'!J21+'State Appropriations-4Yr'!J21+'Local Appropriations-4Yr'!J21+'Fed Contracts Grnts-4Yr'!J21+'Other Contract Grnts-4Yr'!J21+'Investment Income-4Yr'!J21+'All Other E&amp;G-4Yr'!J21</f>
        <v>1672080.1730000004</v>
      </c>
      <c r="K21" s="102">
        <f>+'Tuition-4Yr'!K21+'State Appropriations-4Yr'!K21+'Local Appropriations-4Yr'!K21+'Fed Contracts Grnts-4Yr'!K21+'Other Contract Grnts-4Yr'!K21+'Investment Income-4Yr'!K21+'All Other E&amp;G-4Yr'!K21</f>
        <v>1737403.0619999997</v>
      </c>
      <c r="L21" s="102">
        <f>+'Tuition-4Yr'!L21+'State Appropriations-4Yr'!L21+'Local Appropriations-4Yr'!L21+'Fed Contracts Grnts-4Yr'!L21+'Other Contract Grnts-4Yr'!L21+'Investment Income-4Yr'!L21+'All Other E&amp;G-4Yr'!L21</f>
        <v>1835120.1820000003</v>
      </c>
      <c r="M21" s="102">
        <f>+'Tuition-4Yr'!M21+'State Appropriations-4Yr'!M21+'Local Appropriations-4Yr'!M21+'Fed Contracts Grnts-4Yr'!M21+'Other Contract Grnts-4Yr'!M21+'Investment Income-4Yr'!M21+'All Other E&amp;G-4Yr'!M21</f>
        <v>1974502.7690000001</v>
      </c>
      <c r="N21" s="102">
        <f>+'Tuition-4Yr'!N21+'State Appropriations-4Yr'!N21+'Local Appropriations-4Yr'!N21+'Fed Contracts Grnts-4Yr'!N21+'Other Contract Grnts-4Yr'!N21+'Investment Income-4Yr'!N21+'All Other E&amp;G-4Yr'!N21</f>
        <v>2011317.2259999998</v>
      </c>
      <c r="O21" s="102">
        <f>+'Tuition-4Yr'!O21+'State Appropriations-4Yr'!O21+'Local Appropriations-4Yr'!O21+'Fed Contracts Grnts-4Yr'!O21+'Other Contract Grnts-4Yr'!O21+'Investment Income-4Yr'!O21+'All Other E&amp;G-4Yr'!O21</f>
        <v>2160095.7800000003</v>
      </c>
      <c r="P21" s="102">
        <f>+'Tuition-4Yr'!P21+'State Appropriations-4Yr'!P21+'Local Appropriations-4Yr'!P21+'Fed Contracts Grnts-4Yr'!P21+'Other Contract Grnts-4Yr'!P21+'Investment Income-4Yr'!P21+'All Other E&amp;G-4Yr'!P21</f>
        <v>0</v>
      </c>
      <c r="Q21" s="102">
        <f>+'Tuition-4Yr'!Q21+'State Appropriations-4Yr'!Q21+'Local Appropriations-4Yr'!Q21+'Fed Contracts Grnts-4Yr'!Q21+'Other Contract Grnts-4Yr'!Q21+'Investment Income-4Yr'!Q21+'All Other E&amp;G-4Yr'!Q21</f>
        <v>0</v>
      </c>
      <c r="R21" s="102">
        <f>+'Tuition-4Yr'!R21+'State Appropriations-4Yr'!R21+'Local Appropriations-4Yr'!R21+'Fed Contracts Grnts-4Yr'!R21+'Other Contract Grnts-4Yr'!R21+'Investment Income-4Yr'!R21+'All Other E&amp;G-4Yr'!R21</f>
        <v>2610188.5920000002</v>
      </c>
      <c r="S21" s="102">
        <f>+'Tuition-4Yr'!S21+'State Appropriations-4Yr'!S21+'Local Appropriations-4Yr'!S21+'Fed Contracts Grnts-4Yr'!S21+'Other Contract Grnts-4Yr'!S21+'Investment Income-4Yr'!S21+'All Other E&amp;G-4Yr'!S21</f>
        <v>2852831.4869999997</v>
      </c>
      <c r="T21" s="102">
        <f>+'Tuition-4Yr'!T21+'State Appropriations-4Yr'!T21+'Local Appropriations-4Yr'!T21+'Fed Contracts Grnts-4Yr'!T21+'Other Contract Grnts-4Yr'!T21+'Investment Income-4Yr'!T21+'All Other E&amp;G-4Yr'!T21</f>
        <v>3007812.6450000005</v>
      </c>
      <c r="U21" s="102">
        <f>+'Tuition-4Yr'!U21+'State Appropriations-4Yr'!U21+'Local Appropriations-4Yr'!U21+'Fed Contracts Grnts-4Yr'!U21+'Other Contract Grnts-4Yr'!U21+'Investment Income-4Yr'!U21+'All Other E&amp;G-4Yr'!U21</f>
        <v>3131783.8659999999</v>
      </c>
      <c r="V21" s="102">
        <f>+'Tuition-4Yr'!V21+'State Appropriations-4Yr'!V21+'Local Appropriations-4Yr'!V21+'Fed Contracts Grnts-4Yr'!V21+'Other Contract Grnts-4Yr'!V21+'Investment Income-4Yr'!V21+'All Other E&amp;G-4Yr'!V21</f>
        <v>3333353.284</v>
      </c>
      <c r="W21" s="102">
        <f>+'Tuition-4Yr'!W21+'State Appropriations-4Yr'!W21+'Local Appropriations-4Yr'!W21+'Fed Contracts Grnts-4Yr'!W21+'Other Contract Grnts-4Yr'!W21+'Investment Income-4Yr'!W21+'All Other E&amp;G-4Yr'!W21</f>
        <v>3863963.3709999998</v>
      </c>
      <c r="X21" s="102">
        <f>+'Tuition-4Yr'!X21+'State Appropriations-4Yr'!X21+'Local Appropriations-4Yr'!X21+'Fed Contracts Grnts-4Yr'!X21+'Other Contract Grnts-4Yr'!X21+'Investment Income-4Yr'!X21+'All Other E&amp;G-4Yr'!X21</f>
        <v>3967673.9350000005</v>
      </c>
      <c r="Y21" s="102">
        <f>+'Tuition-4Yr'!Y21+'State Appropriations-4Yr'!Y21+'Local Appropriations-4Yr'!Y21+'Fed Contracts Grnts-4Yr'!Y21+'Other Contract Grnts-4Yr'!Y21+'Investment Income-4Yr'!Y21+'All Other E&amp;G-4Yr'!Y21</f>
        <v>4659183.1189999999</v>
      </c>
      <c r="Z21" s="102">
        <f>+'Tuition-4Yr'!Z21+'State Appropriations-4Yr'!Z21+'Local Appropriations-4Yr'!Z21+'Fed Contracts Grnts-4Yr'!Z21+'Other Contract Grnts-4Yr'!Z21+'Investment Income-4Yr'!Z21+'All Other E&amp;G-4Yr'!Z21</f>
        <v>4387659.9350000005</v>
      </c>
      <c r="AA21" s="102">
        <f>+'Tuition-4Yr'!AA21+'State Appropriations-4Yr'!AA21+'Local Appropriations-4Yr'!AA21+'Fed Contracts Grnts-4Yr'!AA21+'Other Contract Grnts-4Yr'!AA21+'Investment Income-4Yr'!AA21+'All Other E&amp;G-4Yr'!AA21</f>
        <v>3625720.4989999994</v>
      </c>
      <c r="AB21" s="102">
        <f>+'Tuition-4Yr'!AB21+'State Appropriations-4Yr'!AB21+'Local Appropriations-4Yr'!AB21+'Fed Contracts Grnts-4Yr'!AB21+'Other Contract Grnts-4Yr'!AB21+'Investment Income-4Yr'!AB21+'All Other E&amp;G-4Yr'!AB21</f>
        <v>5111979.0520000011</v>
      </c>
      <c r="AC21" s="102">
        <f>+'Tuition-4Yr'!AC21+'State Appropriations-4Yr'!AC21+'Local Appropriations-4Yr'!AC21+'Fed Contracts Grnts-4Yr'!AC21+'Other Contract Grnts-4Yr'!AC21+'Investment Income-4Yr'!AC21+'All Other E&amp;G-4Yr'!AC21</f>
        <v>5935586</v>
      </c>
      <c r="AD21" s="102">
        <f>+'Tuition-4Yr'!AD21+'State Appropriations-4Yr'!AD21+'Local Appropriations-4Yr'!AD21+'Fed Contracts Grnts-4Yr'!AD21+'Other Contract Grnts-4Yr'!AD21+'Investment Income-4Yr'!AD21+'All Other E&amp;G-4Yr'!AD21</f>
        <v>5338529.7220000001</v>
      </c>
      <c r="AE21" s="102">
        <f>+'Tuition-4Yr'!AE21+'State Appropriations-4Yr'!AE21+'Local Appropriations-4Yr'!AE21+'Fed Contracts Grnts-4Yr'!AE21+'Other Contract Grnts-4Yr'!AE21+'Investment Income-4Yr'!AE21+'All Other E&amp;G-4Yr'!AE21</f>
        <v>5892547.4369999999</v>
      </c>
      <c r="AF21" s="102">
        <f>+'Tuition-4Yr'!AF21+'State Appropriations-4Yr'!AF21+'Local Appropriations-4Yr'!AF21+'Fed Contracts Grnts-4Yr'!AF21+'Other Contract Grnts-4Yr'!AF21+'Investment Income-4Yr'!AF21+'All Other E&amp;G-4Yr'!AF21</f>
        <v>6390379.0719999997</v>
      </c>
      <c r="AG21" s="102">
        <f>+'Tuition-4Yr'!AG21+'State Appropriations-4Yr'!AG21+'Local Appropriations-4Yr'!AG21+'Fed Contracts Grnts-4Yr'!AG21+'Other Contract Grnts-4Yr'!AG21+'Investment Income-4Yr'!AG21+'All Other E&amp;G-4Yr'!AG21</f>
        <v>6194111.057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row>
    <row r="22" spans="1:213" s="65" customFormat="1" ht="12.75" customHeight="1">
      <c r="A22" s="93" t="s">
        <v>15</v>
      </c>
      <c r="B22" s="103">
        <f>+'Tuition-4Yr'!B22+'State Appropriations-4Yr'!B22+'Local Appropriations-4Yr'!B22+'Fed Contracts Grnts-4Yr'!B22+'Other Contract Grnts-4Yr'!B22+'Investment Income-4Yr'!B22+'All Other E&amp;G-4Yr'!B22</f>
        <v>297837</v>
      </c>
      <c r="C22" s="103">
        <f>+'Tuition-4Yr'!C22+'State Appropriations-4Yr'!C22+'Local Appropriations-4Yr'!C22+'Fed Contracts Grnts-4Yr'!C22+'Other Contract Grnts-4Yr'!C22+'Investment Income-4Yr'!C22+'All Other E&amp;G-4Yr'!C22</f>
        <v>298051</v>
      </c>
      <c r="D22" s="103">
        <f>+'Tuition-4Yr'!D22+'State Appropriations-4Yr'!D22+'Local Appropriations-4Yr'!D22+'Fed Contracts Grnts-4Yr'!D22+'Other Contract Grnts-4Yr'!D22+'Investment Income-4Yr'!D22+'All Other E&amp;G-4Yr'!D22</f>
        <v>321711</v>
      </c>
      <c r="E22" s="103">
        <f>+'Tuition-4Yr'!E22+'State Appropriations-4Yr'!E22+'Local Appropriations-4Yr'!E22+'Fed Contracts Grnts-4Yr'!E22+'Other Contract Grnts-4Yr'!E22+'Investment Income-4Yr'!E22+'All Other E&amp;G-4Yr'!E22</f>
        <v>0</v>
      </c>
      <c r="F22" s="103">
        <f>+'Tuition-4Yr'!F22+'State Appropriations-4Yr'!F22+'Local Appropriations-4Yr'!F22+'Fed Contracts Grnts-4Yr'!F22+'Other Contract Grnts-4Yr'!F22+'Investment Income-4Yr'!F22+'All Other E&amp;G-4Yr'!F22</f>
        <v>0</v>
      </c>
      <c r="G22" s="103">
        <f>+'Tuition-4Yr'!G22+'State Appropriations-4Yr'!G22+'Local Appropriations-4Yr'!G22+'Fed Contracts Grnts-4Yr'!G22+'Other Contract Grnts-4Yr'!G22+'Investment Income-4Yr'!G22+'All Other E&amp;G-4Yr'!G22</f>
        <v>0</v>
      </c>
      <c r="H22" s="103">
        <f>+'Tuition-4Yr'!H22+'State Appropriations-4Yr'!H22+'Local Appropriations-4Yr'!H22+'Fed Contracts Grnts-4Yr'!H22+'Other Contract Grnts-4Yr'!H22+'Investment Income-4Yr'!H22+'All Other E&amp;G-4Yr'!H22</f>
        <v>0</v>
      </c>
      <c r="I22" s="103">
        <f>+'Tuition-4Yr'!I22+'State Appropriations-4Yr'!I22+'Local Appropriations-4Yr'!I22+'Fed Contracts Grnts-4Yr'!I22+'Other Contract Grnts-4Yr'!I22+'Investment Income-4Yr'!I22+'All Other E&amp;G-4Yr'!I22</f>
        <v>487143.79000000004</v>
      </c>
      <c r="J22" s="103">
        <f>+'Tuition-4Yr'!J22+'State Appropriations-4Yr'!J22+'Local Appropriations-4Yr'!J22+'Fed Contracts Grnts-4Yr'!J22+'Other Contract Grnts-4Yr'!J22+'Investment Income-4Yr'!J22+'All Other E&amp;G-4Yr'!J22</f>
        <v>529810.41999999993</v>
      </c>
      <c r="K22" s="103">
        <f>+'Tuition-4Yr'!K22+'State Appropriations-4Yr'!K22+'Local Appropriations-4Yr'!K22+'Fed Contracts Grnts-4Yr'!K22+'Other Contract Grnts-4Yr'!K22+'Investment Income-4Yr'!K22+'All Other E&amp;G-4Yr'!K22</f>
        <v>556836.26300000004</v>
      </c>
      <c r="L22" s="103">
        <f>+'Tuition-4Yr'!L22+'State Appropriations-4Yr'!L22+'Local Appropriations-4Yr'!L22+'Fed Contracts Grnts-4Yr'!L22+'Other Contract Grnts-4Yr'!L22+'Investment Income-4Yr'!L22+'All Other E&amp;G-4Yr'!L22</f>
        <v>586547.174</v>
      </c>
      <c r="M22" s="103">
        <f>+'Tuition-4Yr'!M22+'State Appropriations-4Yr'!M22+'Local Appropriations-4Yr'!M22+'Fed Contracts Grnts-4Yr'!M22+'Other Contract Grnts-4Yr'!M22+'Investment Income-4Yr'!M22+'All Other E&amp;G-4Yr'!M22</f>
        <v>609006.13600000006</v>
      </c>
      <c r="N22" s="103">
        <f>+'Tuition-4Yr'!N22+'State Appropriations-4Yr'!N22+'Local Appropriations-4Yr'!N22+'Fed Contracts Grnts-4Yr'!N22+'Other Contract Grnts-4Yr'!N22+'Investment Income-4Yr'!N22+'All Other E&amp;G-4Yr'!N22</f>
        <v>648522.02100000007</v>
      </c>
      <c r="O22" s="103">
        <f>+'Tuition-4Yr'!O22+'State Appropriations-4Yr'!O22+'Local Appropriations-4Yr'!O22+'Fed Contracts Grnts-4Yr'!O22+'Other Contract Grnts-4Yr'!O22+'Investment Income-4Yr'!O22+'All Other E&amp;G-4Yr'!O22</f>
        <v>672088.25170000002</v>
      </c>
      <c r="P22" s="103">
        <f>+'Tuition-4Yr'!P22+'State Appropriations-4Yr'!P22+'Local Appropriations-4Yr'!P22+'Fed Contracts Grnts-4Yr'!P22+'Other Contract Grnts-4Yr'!P22+'Investment Income-4Yr'!P22+'All Other E&amp;G-4Yr'!P22</f>
        <v>0</v>
      </c>
      <c r="Q22" s="103">
        <f>+'Tuition-4Yr'!Q22+'State Appropriations-4Yr'!Q22+'Local Appropriations-4Yr'!Q22+'Fed Contracts Grnts-4Yr'!Q22+'Other Contract Grnts-4Yr'!Q22+'Investment Income-4Yr'!Q22+'All Other E&amp;G-4Yr'!Q22</f>
        <v>0</v>
      </c>
      <c r="R22" s="103">
        <f>+'Tuition-4Yr'!R22+'State Appropriations-4Yr'!R22+'Local Appropriations-4Yr'!R22+'Fed Contracts Grnts-4Yr'!R22+'Other Contract Grnts-4Yr'!R22+'Investment Income-4Yr'!R22+'All Other E&amp;G-4Yr'!R22</f>
        <v>769700.04099999997</v>
      </c>
      <c r="S22" s="103">
        <f>+'Tuition-4Yr'!S22+'State Appropriations-4Yr'!S22+'Local Appropriations-4Yr'!S22+'Fed Contracts Grnts-4Yr'!S22+'Other Contract Grnts-4Yr'!S22+'Investment Income-4Yr'!S22+'All Other E&amp;G-4Yr'!S22</f>
        <v>834571.99800000014</v>
      </c>
      <c r="T22" s="103">
        <f>+'Tuition-4Yr'!T22+'State Appropriations-4Yr'!T22+'Local Appropriations-4Yr'!T22+'Fed Contracts Grnts-4Yr'!T22+'Other Contract Grnts-4Yr'!T22+'Investment Income-4Yr'!T22+'All Other E&amp;G-4Yr'!T22</f>
        <v>940098.31099999999</v>
      </c>
      <c r="U22" s="103">
        <f>+'Tuition-4Yr'!U22+'State Appropriations-4Yr'!U22+'Local Appropriations-4Yr'!U22+'Fed Contracts Grnts-4Yr'!U22+'Other Contract Grnts-4Yr'!U22+'Investment Income-4Yr'!U22+'All Other E&amp;G-4Yr'!U22</f>
        <v>910607.28700000001</v>
      </c>
      <c r="V22" s="103">
        <f>+'Tuition-4Yr'!V22+'State Appropriations-4Yr'!V22+'Local Appropriations-4Yr'!V22+'Fed Contracts Grnts-4Yr'!V22+'Other Contract Grnts-4Yr'!V22+'Investment Income-4Yr'!V22+'All Other E&amp;G-4Yr'!V22</f>
        <v>934651.32300000009</v>
      </c>
      <c r="W22" s="103">
        <f>+'Tuition-4Yr'!W22+'State Appropriations-4Yr'!W22+'Local Appropriations-4Yr'!W22+'Fed Contracts Grnts-4Yr'!W22+'Other Contract Grnts-4Yr'!W22+'Investment Income-4Yr'!W22+'All Other E&amp;G-4Yr'!W22</f>
        <v>1047578.2259999999</v>
      </c>
      <c r="X22" s="103">
        <f>+'Tuition-4Yr'!X22+'State Appropriations-4Yr'!X22+'Local Appropriations-4Yr'!X22+'Fed Contracts Grnts-4Yr'!X22+'Other Contract Grnts-4Yr'!X22+'Investment Income-4Yr'!X22+'All Other E&amp;G-4Yr'!X22</f>
        <v>1076767.9239999999</v>
      </c>
      <c r="Y22" s="103">
        <f>+'Tuition-4Yr'!Y22+'State Appropriations-4Yr'!Y22+'Local Appropriations-4Yr'!Y22+'Fed Contracts Grnts-4Yr'!Y22+'Other Contract Grnts-4Yr'!Y22+'Investment Income-4Yr'!Y22+'All Other E&amp;G-4Yr'!Y22</f>
        <v>1136384.3319999999</v>
      </c>
      <c r="Z22" s="103">
        <f>+'Tuition-4Yr'!Z22+'State Appropriations-4Yr'!Z22+'Local Appropriations-4Yr'!Z22+'Fed Contracts Grnts-4Yr'!Z22+'Other Contract Grnts-4Yr'!Z22+'Investment Income-4Yr'!Z22+'All Other E&amp;G-4Yr'!Z22</f>
        <v>1198937.1030000001</v>
      </c>
      <c r="AA22" s="103">
        <f>+'Tuition-4Yr'!AA22+'State Appropriations-4Yr'!AA22+'Local Appropriations-4Yr'!AA22+'Fed Contracts Grnts-4Yr'!AA22+'Other Contract Grnts-4Yr'!AA22+'Investment Income-4Yr'!AA22+'All Other E&amp;G-4Yr'!AA22</f>
        <v>1268461.3190000001</v>
      </c>
      <c r="AB22" s="103">
        <f>+'Tuition-4Yr'!AB22+'State Appropriations-4Yr'!AB22+'Local Appropriations-4Yr'!AB22+'Fed Contracts Grnts-4Yr'!AB22+'Other Contract Grnts-4Yr'!AB22+'Investment Income-4Yr'!AB22+'All Other E&amp;G-4Yr'!AB22</f>
        <v>1429649.4640000002</v>
      </c>
      <c r="AC22" s="103">
        <f>+'Tuition-4Yr'!AC22+'State Appropriations-4Yr'!AC22+'Local Appropriations-4Yr'!AC22+'Fed Contracts Grnts-4Yr'!AC22+'Other Contract Grnts-4Yr'!AC22+'Investment Income-4Yr'!AC22+'All Other E&amp;G-4Yr'!AC22</f>
        <v>1469437</v>
      </c>
      <c r="AD22" s="103">
        <f>+'Tuition-4Yr'!AD22+'State Appropriations-4Yr'!AD22+'Local Appropriations-4Yr'!AD22+'Fed Contracts Grnts-4Yr'!AD22+'Other Contract Grnts-4Yr'!AD22+'Investment Income-4Yr'!AD22+'All Other E&amp;G-4Yr'!AD22</f>
        <v>1487663.1530000002</v>
      </c>
      <c r="AE22" s="103">
        <f>+'Tuition-4Yr'!AE22+'State Appropriations-4Yr'!AE22+'Local Appropriations-4Yr'!AE22+'Fed Contracts Grnts-4Yr'!AE22+'Other Contract Grnts-4Yr'!AE22+'Investment Income-4Yr'!AE22+'All Other E&amp;G-4Yr'!AE22</f>
        <v>1487043.1420000002</v>
      </c>
      <c r="AF22" s="103">
        <f>+'Tuition-4Yr'!AF22+'State Appropriations-4Yr'!AF22+'Local Appropriations-4Yr'!AF22+'Fed Contracts Grnts-4Yr'!AF22+'Other Contract Grnts-4Yr'!AF22+'Investment Income-4Yr'!AF22+'All Other E&amp;G-4Yr'!AF22</f>
        <v>1506201.0869999998</v>
      </c>
      <c r="AG22" s="103">
        <f>+'Tuition-4Yr'!AG22+'State Appropriations-4Yr'!AG22+'Local Appropriations-4Yr'!AG22+'Fed Contracts Grnts-4Yr'!AG22+'Other Contract Grnts-4Yr'!AG22+'Investment Income-4Yr'!AG22+'All Other E&amp;G-4Yr'!AG22</f>
        <v>1503817.8270000003</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row>
    <row r="23" spans="1:213" s="65" customFormat="1" ht="12.75" customHeight="1">
      <c r="A23" s="84" t="s">
        <v>144</v>
      </c>
      <c r="B23" s="104">
        <f>+'Tuition-4Yr'!B23+'State Appropriations-4Yr'!B23+'Local Appropriations-4Yr'!B23+'Fed Contracts Grnts-4Yr'!B23+'Other Contract Grnts-4Yr'!B23+'Investment Income-4Yr'!B23+'All Other E&amp;G-4Yr'!B23</f>
        <v>0</v>
      </c>
      <c r="C23" s="104">
        <f>+'Tuition-4Yr'!C23+'State Appropriations-4Yr'!C23+'Local Appropriations-4Yr'!C23+'Fed Contracts Grnts-4Yr'!C23+'Other Contract Grnts-4Yr'!C23+'Investment Income-4Yr'!C23+'All Other E&amp;G-4Yr'!C23</f>
        <v>0</v>
      </c>
      <c r="D23" s="104">
        <f>+'Tuition-4Yr'!D23+'State Appropriations-4Yr'!D23+'Local Appropriations-4Yr'!D23+'Fed Contracts Grnts-4Yr'!D23+'Other Contract Grnts-4Yr'!D23+'Investment Income-4Yr'!D23+'All Other E&amp;G-4Yr'!D23</f>
        <v>0</v>
      </c>
      <c r="E23" s="104">
        <f>+'Tuition-4Yr'!E23+'State Appropriations-4Yr'!E23+'Local Appropriations-4Yr'!E23+'Fed Contracts Grnts-4Yr'!E23+'Other Contract Grnts-4Yr'!E23+'Investment Income-4Yr'!E23+'All Other E&amp;G-4Yr'!E23</f>
        <v>0</v>
      </c>
      <c r="F23" s="104">
        <f>+'Tuition-4Yr'!F23+'State Appropriations-4Yr'!F23+'Local Appropriations-4Yr'!F23+'Fed Contracts Grnts-4Yr'!F23+'Other Contract Grnts-4Yr'!F23+'Investment Income-4Yr'!F23+'All Other E&amp;G-4Yr'!F23</f>
        <v>0</v>
      </c>
      <c r="G23" s="104">
        <f>+'Tuition-4Yr'!G23+'State Appropriations-4Yr'!G23+'Local Appropriations-4Yr'!G23+'Fed Contracts Grnts-4Yr'!G23+'Other Contract Grnts-4Yr'!G23+'Investment Income-4Yr'!G23+'All Other E&amp;G-4Yr'!G23</f>
        <v>0</v>
      </c>
      <c r="H23" s="104">
        <f>+'Tuition-4Yr'!H23+'State Appropriations-4Yr'!H23+'Local Appropriations-4Yr'!H23+'Fed Contracts Grnts-4Yr'!H23+'Other Contract Grnts-4Yr'!H23+'Investment Income-4Yr'!H23+'All Other E&amp;G-4Yr'!H23</f>
        <v>0</v>
      </c>
      <c r="I23" s="104">
        <f>+'Tuition-4Yr'!I23+'State Appropriations-4Yr'!I23+'Local Appropriations-4Yr'!I23+'Fed Contracts Grnts-4Yr'!I23+'Other Contract Grnts-4Yr'!I23+'Investment Income-4Yr'!I23+'All Other E&amp;G-4Yr'!I23</f>
        <v>0</v>
      </c>
      <c r="J23" s="104">
        <f>+'Tuition-4Yr'!J23+'State Appropriations-4Yr'!J23+'Local Appropriations-4Yr'!J23+'Fed Contracts Grnts-4Yr'!J23+'Other Contract Grnts-4Yr'!J23+'Investment Income-4Yr'!J23+'All Other E&amp;G-4Yr'!J23</f>
        <v>14990987.945000002</v>
      </c>
      <c r="K23" s="104">
        <f>+'Tuition-4Yr'!K23+'State Appropriations-4Yr'!K23+'Local Appropriations-4Yr'!K23+'Fed Contracts Grnts-4Yr'!K23+'Other Contract Grnts-4Yr'!K23+'Investment Income-4Yr'!K23+'All Other E&amp;G-4Yr'!K23</f>
        <v>0</v>
      </c>
      <c r="L23" s="104">
        <f>+'Tuition-4Yr'!L23+'State Appropriations-4Yr'!L23+'Local Appropriations-4Yr'!L23+'Fed Contracts Grnts-4Yr'!L23+'Other Contract Grnts-4Yr'!L23+'Investment Income-4Yr'!L23+'All Other E&amp;G-4Yr'!L23</f>
        <v>0</v>
      </c>
      <c r="M23" s="104">
        <f>+'Tuition-4Yr'!M23+'State Appropriations-4Yr'!M23+'Local Appropriations-4Yr'!M23+'Fed Contracts Grnts-4Yr'!M23+'Other Contract Grnts-4Yr'!M23+'Investment Income-4Yr'!M23+'All Other E&amp;G-4Yr'!M23</f>
        <v>16923985.539999995</v>
      </c>
      <c r="N23" s="104">
        <f>+'Tuition-4Yr'!N23+'State Appropriations-4Yr'!N23+'Local Appropriations-4Yr'!N23+'Fed Contracts Grnts-4Yr'!N23+'Other Contract Grnts-4Yr'!N23+'Investment Income-4Yr'!N23+'All Other E&amp;G-4Yr'!N23</f>
        <v>0</v>
      </c>
      <c r="O23" s="104">
        <f>+'Tuition-4Yr'!O23+'State Appropriations-4Yr'!O23+'Local Appropriations-4Yr'!O23+'Fed Contracts Grnts-4Yr'!O23+'Other Contract Grnts-4Yr'!O23+'Investment Income-4Yr'!O23+'All Other E&amp;G-4Yr'!O23</f>
        <v>19401372.650619999</v>
      </c>
      <c r="P23" s="104">
        <f>+'Tuition-4Yr'!P23+'State Appropriations-4Yr'!P23+'Local Appropriations-4Yr'!P23+'Fed Contracts Grnts-4Yr'!P23+'Other Contract Grnts-4Yr'!P23+'Investment Income-4Yr'!P23+'All Other E&amp;G-4Yr'!P23</f>
        <v>0</v>
      </c>
      <c r="Q23" s="104">
        <f>+'Tuition-4Yr'!Q23+'State Appropriations-4Yr'!Q23+'Local Appropriations-4Yr'!Q23+'Fed Contracts Grnts-4Yr'!Q23+'Other Contract Grnts-4Yr'!Q23+'Investment Income-4Yr'!Q23+'All Other E&amp;G-4Yr'!Q23</f>
        <v>0</v>
      </c>
      <c r="R23" s="104">
        <f>+'Tuition-4Yr'!R23+'State Appropriations-4Yr'!R23+'Local Appropriations-4Yr'!R23+'Fed Contracts Grnts-4Yr'!R23+'Other Contract Grnts-4Yr'!R23+'Investment Income-4Yr'!R23+'All Other E&amp;G-4Yr'!R23</f>
        <v>23826818.857000005</v>
      </c>
      <c r="S23" s="104">
        <f>+'Tuition-4Yr'!S23+'State Appropriations-4Yr'!S23+'Local Appropriations-4Yr'!S23+'Fed Contracts Grnts-4Yr'!S23+'Other Contract Grnts-4Yr'!S23+'Investment Income-4Yr'!S23+'All Other E&amp;G-4Yr'!S23</f>
        <v>25617203.285999998</v>
      </c>
      <c r="T23" s="104">
        <f>+'Tuition-4Yr'!T23+'State Appropriations-4Yr'!T23+'Local Appropriations-4Yr'!T23+'Fed Contracts Grnts-4Yr'!T23+'Other Contract Grnts-4Yr'!T23+'Investment Income-4Yr'!T23+'All Other E&amp;G-4Yr'!T23</f>
        <v>26641036.616999999</v>
      </c>
      <c r="U23" s="104">
        <f>+'Tuition-4Yr'!U23+'State Appropriations-4Yr'!U23+'Local Appropriations-4Yr'!U23+'Fed Contracts Grnts-4Yr'!U23+'Other Contract Grnts-4Yr'!U23+'Investment Income-4Yr'!U23+'All Other E&amp;G-4Yr'!U23</f>
        <v>27508356.150000002</v>
      </c>
      <c r="V23" s="104">
        <f>+'Tuition-4Yr'!V23+'State Appropriations-4Yr'!V23+'Local Appropriations-4Yr'!V23+'Fed Contracts Grnts-4Yr'!V23+'Other Contract Grnts-4Yr'!V23+'Investment Income-4Yr'!V23+'All Other E&amp;G-4Yr'!V23</f>
        <v>28481346.228999998</v>
      </c>
      <c r="W23" s="104">
        <f>+'Tuition-4Yr'!W23+'State Appropriations-4Yr'!W23+'Local Appropriations-4Yr'!W23+'Fed Contracts Grnts-4Yr'!W23+'Other Contract Grnts-4Yr'!W23+'Investment Income-4Yr'!W23+'All Other E&amp;G-4Yr'!W23</f>
        <v>32338621.011000004</v>
      </c>
      <c r="X23" s="104">
        <f>+'Tuition-4Yr'!X23+'State Appropriations-4Yr'!X23+'Local Appropriations-4Yr'!X23+'Fed Contracts Grnts-4Yr'!X23+'Other Contract Grnts-4Yr'!X23+'Investment Income-4Yr'!X23+'All Other E&amp;G-4Yr'!X23</f>
        <v>32484085.051999997</v>
      </c>
      <c r="Y23" s="104">
        <f>+'Tuition-4Yr'!Y23+'State Appropriations-4Yr'!Y23+'Local Appropriations-4Yr'!Y23+'Fed Contracts Grnts-4Yr'!Y23+'Other Contract Grnts-4Yr'!Y23+'Investment Income-4Yr'!Y23+'All Other E&amp;G-4Yr'!Y23</f>
        <v>35741592.902999997</v>
      </c>
      <c r="Z23" s="104">
        <f>+'Tuition-4Yr'!Z23+'State Appropriations-4Yr'!Z23+'Local Appropriations-4Yr'!Z23+'Fed Contracts Grnts-4Yr'!Z23+'Other Contract Grnts-4Yr'!Z23+'Investment Income-4Yr'!Z23+'All Other E&amp;G-4Yr'!Z23</f>
        <v>37689152.217</v>
      </c>
      <c r="AA23" s="104">
        <f>+'Tuition-4Yr'!AA23+'State Appropriations-4Yr'!AA23+'Local Appropriations-4Yr'!AA23+'Fed Contracts Grnts-4Yr'!AA23+'Other Contract Grnts-4Yr'!AA23+'Investment Income-4Yr'!AA23+'All Other E&amp;G-4Yr'!AA23</f>
        <v>36104103.116999999</v>
      </c>
      <c r="AB23" s="104">
        <f>+'Tuition-4Yr'!AB23+'State Appropriations-4Yr'!AB23+'Local Appropriations-4Yr'!AB23+'Fed Contracts Grnts-4Yr'!AB23+'Other Contract Grnts-4Yr'!AB23+'Investment Income-4Yr'!AB23+'All Other E&amp;G-4Yr'!AB23</f>
        <v>43595241.226000004</v>
      </c>
      <c r="AC23" s="104">
        <f>+'Tuition-4Yr'!AC23+'State Appropriations-4Yr'!AC23+'Local Appropriations-4Yr'!AC23+'Fed Contracts Grnts-4Yr'!AC23+'Other Contract Grnts-4Yr'!AC23+'Investment Income-4Yr'!AC23+'All Other E&amp;G-4Yr'!AC23</f>
        <v>47469458</v>
      </c>
      <c r="AD23" s="104">
        <f>+'Tuition-4Yr'!AD23+'State Appropriations-4Yr'!AD23+'Local Appropriations-4Yr'!AD23+'Fed Contracts Grnts-4Yr'!AD23+'Other Contract Grnts-4Yr'!AD23+'Investment Income-4Yr'!AD23+'All Other E&amp;G-4Yr'!AD23</f>
        <v>47873471.768999994</v>
      </c>
      <c r="AE23" s="104">
        <f>+'Tuition-4Yr'!AE23+'State Appropriations-4Yr'!AE23+'Local Appropriations-4Yr'!AE23+'Fed Contracts Grnts-4Yr'!AE23+'Other Contract Grnts-4Yr'!AE23+'Investment Income-4Yr'!AE23+'All Other E&amp;G-4Yr'!AE23</f>
        <v>49550129.243999995</v>
      </c>
      <c r="AF23" s="104">
        <f>+'Tuition-4Yr'!AF23+'State Appropriations-4Yr'!AF23+'Local Appropriations-4Yr'!AF23+'Fed Contracts Grnts-4Yr'!AF23+'Other Contract Grnts-4Yr'!AF23+'Investment Income-4Yr'!AF23+'All Other E&amp;G-4Yr'!AF23</f>
        <v>49112505.724999994</v>
      </c>
      <c r="AG23" s="104">
        <f>+'Tuition-4Yr'!AG23+'State Appropriations-4Yr'!AG23+'Local Appropriations-4Yr'!AG23+'Fed Contracts Grnts-4Yr'!AG23+'Other Contract Grnts-4Yr'!AG23+'Investment Income-4Yr'!AG23+'All Other E&amp;G-4Yr'!AG23</f>
        <v>55244935.440000005</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row>
    <row r="24" spans="1:213" s="65" customFormat="1" ht="12.75" customHeight="1">
      <c r="A24" s="84" t="s">
        <v>143</v>
      </c>
      <c r="B24" s="104">
        <f>+'Tuition-4Yr'!B24+'State Appropriations-4Yr'!B24+'Local Appropriations-4Yr'!B24+'Fed Contracts Grnts-4Yr'!B24+'Other Contract Grnts-4Yr'!B24+'Investment Income-4Yr'!B24+'All Other E&amp;G-4Yr'!B24</f>
        <v>0</v>
      </c>
      <c r="C24" s="104">
        <f>+'Tuition-4Yr'!C24+'State Appropriations-4Yr'!C24+'Local Appropriations-4Yr'!C24+'Fed Contracts Grnts-4Yr'!C24+'Other Contract Grnts-4Yr'!C24+'Investment Income-4Yr'!C24+'All Other E&amp;G-4Yr'!C24</f>
        <v>0</v>
      </c>
      <c r="D24" s="104">
        <f>+'Tuition-4Yr'!D24+'State Appropriations-4Yr'!D24+'Local Appropriations-4Yr'!D24+'Fed Contracts Grnts-4Yr'!D24+'Other Contract Grnts-4Yr'!D24+'Investment Income-4Yr'!D24+'All Other E&amp;G-4Yr'!D24</f>
        <v>0</v>
      </c>
      <c r="E24" s="104">
        <f>+'Tuition-4Yr'!E24+'State Appropriations-4Yr'!E24+'Local Appropriations-4Yr'!E24+'Fed Contracts Grnts-4Yr'!E24+'Other Contract Grnts-4Yr'!E24+'Investment Income-4Yr'!E24+'All Other E&amp;G-4Yr'!E24</f>
        <v>0</v>
      </c>
      <c r="F24" s="104">
        <f>+'Tuition-4Yr'!F24+'State Appropriations-4Yr'!F24+'Local Appropriations-4Yr'!F24+'Fed Contracts Grnts-4Yr'!F24+'Other Contract Grnts-4Yr'!F24+'Investment Income-4Yr'!F24+'All Other E&amp;G-4Yr'!F24</f>
        <v>0</v>
      </c>
      <c r="G24" s="104">
        <f>+'Tuition-4Yr'!G24+'State Appropriations-4Yr'!G24+'Local Appropriations-4Yr'!G24+'Fed Contracts Grnts-4Yr'!G24+'Other Contract Grnts-4Yr'!G24+'Investment Income-4Yr'!G24+'All Other E&amp;G-4Yr'!G24</f>
        <v>0</v>
      </c>
      <c r="H24" s="104">
        <f>+'Tuition-4Yr'!H24+'State Appropriations-4Yr'!H24+'Local Appropriations-4Yr'!H24+'Fed Contracts Grnts-4Yr'!H24+'Other Contract Grnts-4Yr'!H24+'Investment Income-4Yr'!H24+'All Other E&amp;G-4Yr'!H24</f>
        <v>0</v>
      </c>
      <c r="I24" s="104">
        <f>+'Tuition-4Yr'!I24+'State Appropriations-4Yr'!I24+'Local Appropriations-4Yr'!I24+'Fed Contracts Grnts-4Yr'!I24+'Other Contract Grnts-4Yr'!I24+'Investment Income-4Yr'!I24+'All Other E&amp;G-4Yr'!I24</f>
        <v>0</v>
      </c>
      <c r="J24" s="104">
        <f>+'Tuition-4Yr'!J24+'State Appropriations-4Yr'!J24+'Local Appropriations-4Yr'!J24+'Fed Contracts Grnts-4Yr'!J24+'Other Contract Grnts-4Yr'!J24+'Investment Income-4Yr'!J24+'All Other E&amp;G-4Yr'!J24</f>
        <v>0</v>
      </c>
      <c r="K24" s="104">
        <f>+'Tuition-4Yr'!K24+'State Appropriations-4Yr'!K24+'Local Appropriations-4Yr'!K24+'Fed Contracts Grnts-4Yr'!K24+'Other Contract Grnts-4Yr'!K24+'Investment Income-4Yr'!K24+'All Other E&amp;G-4Yr'!K24</f>
        <v>0</v>
      </c>
      <c r="L24" s="104">
        <f>+'Tuition-4Yr'!L24+'State Appropriations-4Yr'!L24+'Local Appropriations-4Yr'!L24+'Fed Contracts Grnts-4Yr'!L24+'Other Contract Grnts-4Yr'!L24+'Investment Income-4Yr'!L24+'All Other E&amp;G-4Yr'!L24</f>
        <v>0</v>
      </c>
      <c r="M24" s="104">
        <f>+'Tuition-4Yr'!M24+'State Appropriations-4Yr'!M24+'Local Appropriations-4Yr'!M24+'Fed Contracts Grnts-4Yr'!M24+'Other Contract Grnts-4Yr'!M24+'Investment Income-4Yr'!M24+'All Other E&amp;G-4Yr'!M24</f>
        <v>0</v>
      </c>
      <c r="N24" s="104">
        <f>+'Tuition-4Yr'!N24+'State Appropriations-4Yr'!N24+'Local Appropriations-4Yr'!N24+'Fed Contracts Grnts-4Yr'!N24+'Other Contract Grnts-4Yr'!N24+'Investment Income-4Yr'!N24+'All Other E&amp;G-4Yr'!N24</f>
        <v>0</v>
      </c>
      <c r="O24" s="104">
        <f>+'Tuition-4Yr'!O24+'State Appropriations-4Yr'!O24+'Local Appropriations-4Yr'!O24+'Fed Contracts Grnts-4Yr'!O24+'Other Contract Grnts-4Yr'!O24+'Investment Income-4Yr'!O24+'All Other E&amp;G-4Yr'!O24</f>
        <v>0</v>
      </c>
      <c r="P24" s="104">
        <f>+'Tuition-4Yr'!P24+'State Appropriations-4Yr'!P24+'Local Appropriations-4Yr'!P24+'Fed Contracts Grnts-4Yr'!P24+'Other Contract Grnts-4Yr'!P24+'Investment Income-4Yr'!P24+'All Other E&amp;G-4Yr'!P24</f>
        <v>0</v>
      </c>
      <c r="Q24" s="104">
        <f>+'Tuition-4Yr'!Q24+'State Appropriations-4Yr'!Q24+'Local Appropriations-4Yr'!Q24+'Fed Contracts Grnts-4Yr'!Q24+'Other Contract Grnts-4Yr'!Q24+'Investment Income-4Yr'!Q24+'All Other E&amp;G-4Yr'!Q24</f>
        <v>0</v>
      </c>
      <c r="R24" s="104">
        <f>+'Tuition-4Yr'!R24+'State Appropriations-4Yr'!R24+'Local Appropriations-4Yr'!R24+'Fed Contracts Grnts-4Yr'!R24+'Other Contract Grnts-4Yr'!R24+'Investment Income-4Yr'!R24+'All Other E&amp;G-4Yr'!R24</f>
        <v>0</v>
      </c>
      <c r="S24" s="104">
        <f>+'Tuition-4Yr'!S24+'State Appropriations-4Yr'!S24+'Local Appropriations-4Yr'!S24+'Fed Contracts Grnts-4Yr'!S24+'Other Contract Grnts-4Yr'!S24+'Investment Income-4Yr'!S24+'All Other E&amp;G-4Yr'!S24</f>
        <v>0</v>
      </c>
      <c r="T24" s="104">
        <f>+'Tuition-4Yr'!T24+'State Appropriations-4Yr'!T24+'Local Appropriations-4Yr'!T24+'Fed Contracts Grnts-4Yr'!T24+'Other Contract Grnts-4Yr'!T24+'Investment Income-4Yr'!T24+'All Other E&amp;G-4Yr'!T24</f>
        <v>0</v>
      </c>
      <c r="U24" s="104">
        <f>+'Tuition-4Yr'!U24+'State Appropriations-4Yr'!U24+'Local Appropriations-4Yr'!U24+'Fed Contracts Grnts-4Yr'!U24+'Other Contract Grnts-4Yr'!U24+'Investment Income-4Yr'!U24+'All Other E&amp;G-4Yr'!U24</f>
        <v>0</v>
      </c>
      <c r="V24" s="104">
        <f>+'Tuition-4Yr'!V24+'State Appropriations-4Yr'!V24+'Local Appropriations-4Yr'!V24+'Fed Contracts Grnts-4Yr'!V24+'Other Contract Grnts-4Yr'!V24+'Investment Income-4Yr'!V24+'All Other E&amp;G-4Yr'!V24</f>
        <v>0</v>
      </c>
      <c r="W24" s="104">
        <f>+'Tuition-4Yr'!W24+'State Appropriations-4Yr'!W24+'Local Appropriations-4Yr'!W24+'Fed Contracts Grnts-4Yr'!W24+'Other Contract Grnts-4Yr'!W24+'Investment Income-4Yr'!W24+'All Other E&amp;G-4Yr'!W24</f>
        <v>0</v>
      </c>
      <c r="X24" s="104">
        <f>+'Tuition-4Yr'!X24+'State Appropriations-4Yr'!X24+'Local Appropriations-4Yr'!X24+'Fed Contracts Grnts-4Yr'!X24+'Other Contract Grnts-4Yr'!X24+'Investment Income-4Yr'!X24+'All Other E&amp;G-4Yr'!X24</f>
        <v>0</v>
      </c>
      <c r="Y24" s="104">
        <f>+'Tuition-4Yr'!Y24+'State Appropriations-4Yr'!Y24+'Local Appropriations-4Yr'!Y24+'Fed Contracts Grnts-4Yr'!Y24+'Other Contract Grnts-4Yr'!Y24+'Investment Income-4Yr'!Y24+'All Other E&amp;G-4Yr'!Y24</f>
        <v>0</v>
      </c>
      <c r="Z24" s="104">
        <f>+'Tuition-4Yr'!Z24+'State Appropriations-4Yr'!Z24+'Local Appropriations-4Yr'!Z24+'Fed Contracts Grnts-4Yr'!Z24+'Other Contract Grnts-4Yr'!Z24+'Investment Income-4Yr'!Z24+'All Other E&amp;G-4Yr'!Z24</f>
        <v>0</v>
      </c>
      <c r="AA24" s="104">
        <f>+'Tuition-4Yr'!AA24+'State Appropriations-4Yr'!AA24+'Local Appropriations-4Yr'!AA24+'Fed Contracts Grnts-4Yr'!AA24+'Other Contract Grnts-4Yr'!AA24+'Investment Income-4Yr'!AA24+'All Other E&amp;G-4Yr'!AA24</f>
        <v>0</v>
      </c>
      <c r="AB24" s="104">
        <f>+'Tuition-4Yr'!AB24+'State Appropriations-4Yr'!AB24+'Local Appropriations-4Yr'!AB24+'Fed Contracts Grnts-4Yr'!AB24+'Other Contract Grnts-4Yr'!AB24+'Investment Income-4Yr'!AB24+'All Other E&amp;G-4Yr'!AB24</f>
        <v>0</v>
      </c>
      <c r="AC24" s="104">
        <f>+'Tuition-4Yr'!AC24+'State Appropriations-4Yr'!AC24+'Local Appropriations-4Yr'!AC24+'Fed Contracts Grnts-4Yr'!AC24+'Other Contract Grnts-4Yr'!AC24+'Investment Income-4Yr'!AC24+'All Other E&amp;G-4Yr'!AC24</f>
        <v>0</v>
      </c>
      <c r="AD24" s="104">
        <f>+'Tuition-4Yr'!AD24+'State Appropriations-4Yr'!AD24+'Local Appropriations-4Yr'!AD24+'Fed Contracts Grnts-4Yr'!AD24+'Other Contract Grnts-4Yr'!AD24+'Investment Income-4Yr'!AD24+'All Other E&amp;G-4Yr'!AD24</f>
        <v>0</v>
      </c>
      <c r="AE24" s="104">
        <f>+'Tuition-4Yr'!AE24+'State Appropriations-4Yr'!AE24+'Local Appropriations-4Yr'!AE24+'Fed Contracts Grnts-4Yr'!AE24+'Other Contract Grnts-4Yr'!AE24+'Investment Income-4Yr'!AE24+'All Other E&amp;G-4Yr'!AE24</f>
        <v>0</v>
      </c>
      <c r="AF24" s="104">
        <f>+'Tuition-4Yr'!AF24+'State Appropriations-4Yr'!AF24+'Local Appropriations-4Yr'!AF24+'Fed Contracts Grnts-4Yr'!AF24+'Other Contract Grnts-4Yr'!AF24+'Investment Income-4Yr'!AF24+'All Other E&amp;G-4Yr'!AF24</f>
        <v>0</v>
      </c>
      <c r="AG24" s="104">
        <f>+'Tuition-4Yr'!AG24+'State Appropriations-4Yr'!AG24+'Local Appropriations-4Yr'!AG24+'Fed Contracts Grnts-4Yr'!AG24+'Other Contract Grnts-4Yr'!AG24+'Investment Income-4Yr'!AG24+'All Other E&amp;G-4Yr'!AG24</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row>
    <row r="25" spans="1:213" s="65" customFormat="1" ht="12.75" customHeight="1">
      <c r="A25" s="23" t="s">
        <v>109</v>
      </c>
      <c r="B25" s="104">
        <f>+'Tuition-4Yr'!B25+'State Appropriations-4Yr'!B25+'Local Appropriations-4Yr'!B25+'Fed Contracts Grnts-4Yr'!B25+'Other Contract Grnts-4Yr'!B25+'Investment Income-4Yr'!B25+'All Other E&amp;G-4Yr'!B25</f>
        <v>0</v>
      </c>
      <c r="C25" s="104">
        <f>+'Tuition-4Yr'!C25+'State Appropriations-4Yr'!C25+'Local Appropriations-4Yr'!C25+'Fed Contracts Grnts-4Yr'!C25+'Other Contract Grnts-4Yr'!C25+'Investment Income-4Yr'!C25+'All Other E&amp;G-4Yr'!C25</f>
        <v>0</v>
      </c>
      <c r="D25" s="104">
        <f>+'Tuition-4Yr'!D25+'State Appropriations-4Yr'!D25+'Local Appropriations-4Yr'!D25+'Fed Contracts Grnts-4Yr'!D25+'Other Contract Grnts-4Yr'!D25+'Investment Income-4Yr'!D25+'All Other E&amp;G-4Yr'!D25</f>
        <v>0</v>
      </c>
      <c r="E25" s="104">
        <f>+'Tuition-4Yr'!E25+'State Appropriations-4Yr'!E25+'Local Appropriations-4Yr'!E25+'Fed Contracts Grnts-4Yr'!E25+'Other Contract Grnts-4Yr'!E25+'Investment Income-4Yr'!E25+'All Other E&amp;G-4Yr'!E25</f>
        <v>0</v>
      </c>
      <c r="F25" s="104">
        <f>+'Tuition-4Yr'!F25+'State Appropriations-4Yr'!F25+'Local Appropriations-4Yr'!F25+'Fed Contracts Grnts-4Yr'!F25+'Other Contract Grnts-4Yr'!F25+'Investment Income-4Yr'!F25+'All Other E&amp;G-4Yr'!F25</f>
        <v>0</v>
      </c>
      <c r="G25" s="104">
        <f>+'Tuition-4Yr'!G25+'State Appropriations-4Yr'!G25+'Local Appropriations-4Yr'!G25+'Fed Contracts Grnts-4Yr'!G25+'Other Contract Grnts-4Yr'!G25+'Investment Income-4Yr'!G25+'All Other E&amp;G-4Yr'!G25</f>
        <v>0</v>
      </c>
      <c r="H25" s="104">
        <f>+'Tuition-4Yr'!H25+'State Appropriations-4Yr'!H25+'Local Appropriations-4Yr'!H25+'Fed Contracts Grnts-4Yr'!H25+'Other Contract Grnts-4Yr'!H25+'Investment Income-4Yr'!H25+'All Other E&amp;G-4Yr'!H25</f>
        <v>0</v>
      </c>
      <c r="I25" s="104">
        <f>+'Tuition-4Yr'!I25+'State Appropriations-4Yr'!I25+'Local Appropriations-4Yr'!I25+'Fed Contracts Grnts-4Yr'!I25+'Other Contract Grnts-4Yr'!I25+'Investment Income-4Yr'!I25+'All Other E&amp;G-4Yr'!I25</f>
        <v>0</v>
      </c>
      <c r="J25" s="104">
        <f>+'Tuition-4Yr'!J25+'State Appropriations-4Yr'!J25+'Local Appropriations-4Yr'!J25+'Fed Contracts Grnts-4Yr'!J25+'Other Contract Grnts-4Yr'!J25+'Investment Income-4Yr'!J25+'All Other E&amp;G-4Yr'!J25</f>
        <v>268291.11800000002</v>
      </c>
      <c r="K25" s="104">
        <f>+'Tuition-4Yr'!K25+'State Appropriations-4Yr'!K25+'Local Appropriations-4Yr'!K25+'Fed Contracts Grnts-4Yr'!K25+'Other Contract Grnts-4Yr'!K25+'Investment Income-4Yr'!K25+'All Other E&amp;G-4Yr'!K25</f>
        <v>0</v>
      </c>
      <c r="L25" s="104">
        <f>+'Tuition-4Yr'!L25+'State Appropriations-4Yr'!L25+'Local Appropriations-4Yr'!L25+'Fed Contracts Grnts-4Yr'!L25+'Other Contract Grnts-4Yr'!L25+'Investment Income-4Yr'!L25+'All Other E&amp;G-4Yr'!L25</f>
        <v>0</v>
      </c>
      <c r="M25" s="104">
        <f>+'Tuition-4Yr'!M25+'State Appropriations-4Yr'!M25+'Local Appropriations-4Yr'!M25+'Fed Contracts Grnts-4Yr'!M25+'Other Contract Grnts-4Yr'!M25+'Investment Income-4Yr'!M25+'All Other E&amp;G-4Yr'!M25</f>
        <v>305692.36800000002</v>
      </c>
      <c r="N25" s="104">
        <f>+'Tuition-4Yr'!N25+'State Appropriations-4Yr'!N25+'Local Appropriations-4Yr'!N25+'Fed Contracts Grnts-4Yr'!N25+'Other Contract Grnts-4Yr'!N25+'Investment Income-4Yr'!N25+'All Other E&amp;G-4Yr'!N25</f>
        <v>0</v>
      </c>
      <c r="O25" s="104">
        <f>+'Tuition-4Yr'!O25+'State Appropriations-4Yr'!O25+'Local Appropriations-4Yr'!O25+'Fed Contracts Grnts-4Yr'!O25+'Other Contract Grnts-4Yr'!O25+'Investment Income-4Yr'!O25+'All Other E&amp;G-4Yr'!O25</f>
        <v>321928.26400000002</v>
      </c>
      <c r="P25" s="104">
        <f>+'Tuition-4Yr'!P25+'State Appropriations-4Yr'!P25+'Local Appropriations-4Yr'!P25+'Fed Contracts Grnts-4Yr'!P25+'Other Contract Grnts-4Yr'!P25+'Investment Income-4Yr'!P25+'All Other E&amp;G-4Yr'!P25</f>
        <v>0</v>
      </c>
      <c r="Q25" s="104">
        <f>+'Tuition-4Yr'!Q25+'State Appropriations-4Yr'!Q25+'Local Appropriations-4Yr'!Q25+'Fed Contracts Grnts-4Yr'!Q25+'Other Contract Grnts-4Yr'!Q25+'Investment Income-4Yr'!Q25+'All Other E&amp;G-4Yr'!Q25</f>
        <v>0</v>
      </c>
      <c r="R25" s="104">
        <f>+'Tuition-4Yr'!R25+'State Appropriations-4Yr'!R25+'Local Appropriations-4Yr'!R25+'Fed Contracts Grnts-4Yr'!R25+'Other Contract Grnts-4Yr'!R25+'Investment Income-4Yr'!R25+'All Other E&amp;G-4Yr'!R25</f>
        <v>333861.99500000005</v>
      </c>
      <c r="S25" s="104">
        <f>+'Tuition-4Yr'!S25+'State Appropriations-4Yr'!S25+'Local Appropriations-4Yr'!S25+'Fed Contracts Grnts-4Yr'!S25+'Other Contract Grnts-4Yr'!S25+'Investment Income-4Yr'!S25+'All Other E&amp;G-4Yr'!S25</f>
        <v>366459.30599999998</v>
      </c>
      <c r="T25" s="104">
        <f>+'Tuition-4Yr'!T25+'State Appropriations-4Yr'!T25+'Local Appropriations-4Yr'!T25+'Fed Contracts Grnts-4Yr'!T25+'Other Contract Grnts-4Yr'!T25+'Investment Income-4Yr'!T25+'All Other E&amp;G-4Yr'!T25</f>
        <v>398166.85600000003</v>
      </c>
      <c r="U25" s="104">
        <f>+'Tuition-4Yr'!U25+'State Appropriations-4Yr'!U25+'Local Appropriations-4Yr'!U25+'Fed Contracts Grnts-4Yr'!U25+'Other Contract Grnts-4Yr'!U25+'Investment Income-4Yr'!U25+'All Other E&amp;G-4Yr'!U25</f>
        <v>433328.68900000001</v>
      </c>
      <c r="V25" s="104">
        <f>+'Tuition-4Yr'!V25+'State Appropriations-4Yr'!V25+'Local Appropriations-4Yr'!V25+'Fed Contracts Grnts-4Yr'!V25+'Other Contract Grnts-4Yr'!V25+'Investment Income-4Yr'!V25+'All Other E&amp;G-4Yr'!V25</f>
        <v>458651.1970000001</v>
      </c>
      <c r="W25" s="104">
        <f>+'Tuition-4Yr'!W25+'State Appropriations-4Yr'!W25+'Local Appropriations-4Yr'!W25+'Fed Contracts Grnts-4Yr'!W25+'Other Contract Grnts-4Yr'!W25+'Investment Income-4Yr'!W25+'All Other E&amp;G-4Yr'!W25</f>
        <v>494864.89500000002</v>
      </c>
      <c r="X25" s="104">
        <f>+'Tuition-4Yr'!X25+'State Appropriations-4Yr'!X25+'Local Appropriations-4Yr'!X25+'Fed Contracts Grnts-4Yr'!X25+'Other Contract Grnts-4Yr'!X25+'Investment Income-4Yr'!X25+'All Other E&amp;G-4Yr'!X25</f>
        <v>527062.92700000003</v>
      </c>
      <c r="Y25" s="104">
        <f>+'Tuition-4Yr'!Y25+'State Appropriations-4Yr'!Y25+'Local Appropriations-4Yr'!Y25+'Fed Contracts Grnts-4Yr'!Y25+'Other Contract Grnts-4Yr'!Y25+'Investment Income-4Yr'!Y25+'All Other E&amp;G-4Yr'!Y25</f>
        <v>566316.73199999996</v>
      </c>
      <c r="Z25" s="104">
        <f>+'Tuition-4Yr'!Z25+'State Appropriations-4Yr'!Z25+'Local Appropriations-4Yr'!Z25+'Fed Contracts Grnts-4Yr'!Z25+'Other Contract Grnts-4Yr'!Z25+'Investment Income-4Yr'!Z25+'All Other E&amp;G-4Yr'!Z25</f>
        <v>608670.01600000006</v>
      </c>
      <c r="AA25" s="104">
        <f>+'Tuition-4Yr'!AA25+'State Appropriations-4Yr'!AA25+'Local Appropriations-4Yr'!AA25+'Fed Contracts Grnts-4Yr'!AA25+'Other Contract Grnts-4Yr'!AA25+'Investment Income-4Yr'!AA25+'All Other E&amp;G-4Yr'!AA25</f>
        <v>636794.57899999991</v>
      </c>
      <c r="AB25" s="104">
        <f>+'Tuition-4Yr'!AB25+'State Appropriations-4Yr'!AB25+'Local Appropriations-4Yr'!AB25+'Fed Contracts Grnts-4Yr'!AB25+'Other Contract Grnts-4Yr'!AB25+'Investment Income-4Yr'!AB25+'All Other E&amp;G-4Yr'!AB25</f>
        <v>660912.30700000003</v>
      </c>
      <c r="AC25" s="104">
        <f>+'Tuition-4Yr'!AC25+'State Appropriations-4Yr'!AC25+'Local Appropriations-4Yr'!AC25+'Fed Contracts Grnts-4Yr'!AC25+'Other Contract Grnts-4Yr'!AC25+'Investment Income-4Yr'!AC25+'All Other E&amp;G-4Yr'!AC25</f>
        <v>704220</v>
      </c>
      <c r="AD25" s="104">
        <f>+'Tuition-4Yr'!AD25+'State Appropriations-4Yr'!AD25+'Local Appropriations-4Yr'!AD25+'Fed Contracts Grnts-4Yr'!AD25+'Other Contract Grnts-4Yr'!AD25+'Investment Income-4Yr'!AD25+'All Other E&amp;G-4Yr'!AD25</f>
        <v>711259.62800000003</v>
      </c>
      <c r="AE25" s="104">
        <f>+'Tuition-4Yr'!AE25+'State Appropriations-4Yr'!AE25+'Local Appropriations-4Yr'!AE25+'Fed Contracts Grnts-4Yr'!AE25+'Other Contract Grnts-4Yr'!AE25+'Investment Income-4Yr'!AE25+'All Other E&amp;G-4Yr'!AE25</f>
        <v>760764.10699999996</v>
      </c>
      <c r="AF25" s="104">
        <f>+'Tuition-4Yr'!AF25+'State Appropriations-4Yr'!AF25+'Local Appropriations-4Yr'!AF25+'Fed Contracts Grnts-4Yr'!AF25+'Other Contract Grnts-4Yr'!AF25+'Investment Income-4Yr'!AF25+'All Other E&amp;G-4Yr'!AF25</f>
        <v>738487.55300000007</v>
      </c>
      <c r="AG25" s="104">
        <f>+'Tuition-4Yr'!AG25+'State Appropriations-4Yr'!AG25+'Local Appropriations-4Yr'!AG25+'Fed Contracts Grnts-4Yr'!AG25+'Other Contract Grnts-4Yr'!AG25+'Investment Income-4Yr'!AG25+'All Other E&amp;G-4Yr'!AG25</f>
        <v>742127.89700000011</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row>
    <row r="26" spans="1:213" s="65" customFormat="1" ht="12.75" customHeight="1">
      <c r="A26" s="23" t="s">
        <v>110</v>
      </c>
      <c r="B26" s="104">
        <f>+'Tuition-4Yr'!B26+'State Appropriations-4Yr'!B26+'Local Appropriations-4Yr'!B26+'Fed Contracts Grnts-4Yr'!B26+'Other Contract Grnts-4Yr'!B26+'Investment Income-4Yr'!B26+'All Other E&amp;G-4Yr'!B26</f>
        <v>0</v>
      </c>
      <c r="C26" s="104">
        <f>+'Tuition-4Yr'!C26+'State Appropriations-4Yr'!C26+'Local Appropriations-4Yr'!C26+'Fed Contracts Grnts-4Yr'!C26+'Other Contract Grnts-4Yr'!C26+'Investment Income-4Yr'!C26+'All Other E&amp;G-4Yr'!C26</f>
        <v>0</v>
      </c>
      <c r="D26" s="104">
        <f>+'Tuition-4Yr'!D26+'State Appropriations-4Yr'!D26+'Local Appropriations-4Yr'!D26+'Fed Contracts Grnts-4Yr'!D26+'Other Contract Grnts-4Yr'!D26+'Investment Income-4Yr'!D26+'All Other E&amp;G-4Yr'!D26</f>
        <v>0</v>
      </c>
      <c r="E26" s="104">
        <f>+'Tuition-4Yr'!E26+'State Appropriations-4Yr'!E26+'Local Appropriations-4Yr'!E26+'Fed Contracts Grnts-4Yr'!E26+'Other Contract Grnts-4Yr'!E26+'Investment Income-4Yr'!E26+'All Other E&amp;G-4Yr'!E26</f>
        <v>0</v>
      </c>
      <c r="F26" s="104">
        <f>+'Tuition-4Yr'!F26+'State Appropriations-4Yr'!F26+'Local Appropriations-4Yr'!F26+'Fed Contracts Grnts-4Yr'!F26+'Other Contract Grnts-4Yr'!F26+'Investment Income-4Yr'!F26+'All Other E&amp;G-4Yr'!F26</f>
        <v>0</v>
      </c>
      <c r="G26" s="104">
        <f>+'Tuition-4Yr'!G26+'State Appropriations-4Yr'!G26+'Local Appropriations-4Yr'!G26+'Fed Contracts Grnts-4Yr'!G26+'Other Contract Grnts-4Yr'!G26+'Investment Income-4Yr'!G26+'All Other E&amp;G-4Yr'!G26</f>
        <v>0</v>
      </c>
      <c r="H26" s="104">
        <f>+'Tuition-4Yr'!H26+'State Appropriations-4Yr'!H26+'Local Appropriations-4Yr'!H26+'Fed Contracts Grnts-4Yr'!H26+'Other Contract Grnts-4Yr'!H26+'Investment Income-4Yr'!H26+'All Other E&amp;G-4Yr'!H26</f>
        <v>0</v>
      </c>
      <c r="I26" s="104">
        <f>+'Tuition-4Yr'!I26+'State Appropriations-4Yr'!I26+'Local Appropriations-4Yr'!I26+'Fed Contracts Grnts-4Yr'!I26+'Other Contract Grnts-4Yr'!I26+'Investment Income-4Yr'!I26+'All Other E&amp;G-4Yr'!I26</f>
        <v>0</v>
      </c>
      <c r="J26" s="104">
        <f>+'Tuition-4Yr'!J26+'State Appropriations-4Yr'!J26+'Local Appropriations-4Yr'!J26+'Fed Contracts Grnts-4Yr'!J26+'Other Contract Grnts-4Yr'!J26+'Investment Income-4Yr'!J26+'All Other E&amp;G-4Yr'!J26</f>
        <v>1139162.0050000001</v>
      </c>
      <c r="K26" s="104">
        <f>+'Tuition-4Yr'!K26+'State Appropriations-4Yr'!K26+'Local Appropriations-4Yr'!K26+'Fed Contracts Grnts-4Yr'!K26+'Other Contract Grnts-4Yr'!K26+'Investment Income-4Yr'!K26+'All Other E&amp;G-4Yr'!K26</f>
        <v>0</v>
      </c>
      <c r="L26" s="104">
        <f>+'Tuition-4Yr'!L26+'State Appropriations-4Yr'!L26+'Local Appropriations-4Yr'!L26+'Fed Contracts Grnts-4Yr'!L26+'Other Contract Grnts-4Yr'!L26+'Investment Income-4Yr'!L26+'All Other E&amp;G-4Yr'!L26</f>
        <v>0</v>
      </c>
      <c r="M26" s="104">
        <f>+'Tuition-4Yr'!M26+'State Appropriations-4Yr'!M26+'Local Appropriations-4Yr'!M26+'Fed Contracts Grnts-4Yr'!M26+'Other Contract Grnts-4Yr'!M26+'Investment Income-4Yr'!M26+'All Other E&amp;G-4Yr'!M26</f>
        <v>1348026.449</v>
      </c>
      <c r="N26" s="104">
        <f>+'Tuition-4Yr'!N26+'State Appropriations-4Yr'!N26+'Local Appropriations-4Yr'!N26+'Fed Contracts Grnts-4Yr'!N26+'Other Contract Grnts-4Yr'!N26+'Investment Income-4Yr'!N26+'All Other E&amp;G-4Yr'!N26</f>
        <v>0</v>
      </c>
      <c r="O26" s="104">
        <f>+'Tuition-4Yr'!O26+'State Appropriations-4Yr'!O26+'Local Appropriations-4Yr'!O26+'Fed Contracts Grnts-4Yr'!O26+'Other Contract Grnts-4Yr'!O26+'Investment Income-4Yr'!O26+'All Other E&amp;G-4Yr'!O26</f>
        <v>1454724.3160000001</v>
      </c>
      <c r="P26" s="104">
        <f>+'Tuition-4Yr'!P26+'State Appropriations-4Yr'!P26+'Local Appropriations-4Yr'!P26+'Fed Contracts Grnts-4Yr'!P26+'Other Contract Grnts-4Yr'!P26+'Investment Income-4Yr'!P26+'All Other E&amp;G-4Yr'!P26</f>
        <v>0</v>
      </c>
      <c r="Q26" s="104">
        <f>+'Tuition-4Yr'!Q26+'State Appropriations-4Yr'!Q26+'Local Appropriations-4Yr'!Q26+'Fed Contracts Grnts-4Yr'!Q26+'Other Contract Grnts-4Yr'!Q26+'Investment Income-4Yr'!Q26+'All Other E&amp;G-4Yr'!Q26</f>
        <v>0</v>
      </c>
      <c r="R26" s="104">
        <f>+'Tuition-4Yr'!R26+'State Appropriations-4Yr'!R26+'Local Appropriations-4Yr'!R26+'Fed Contracts Grnts-4Yr'!R26+'Other Contract Grnts-4Yr'!R26+'Investment Income-4Yr'!R26+'All Other E&amp;G-4Yr'!R26</f>
        <v>1758353.1099999999</v>
      </c>
      <c r="S26" s="104">
        <f>+'Tuition-4Yr'!S26+'State Appropriations-4Yr'!S26+'Local Appropriations-4Yr'!S26+'Fed Contracts Grnts-4Yr'!S26+'Other Contract Grnts-4Yr'!S26+'Investment Income-4Yr'!S26+'All Other E&amp;G-4Yr'!S26</f>
        <v>1859336.2929999998</v>
      </c>
      <c r="T26" s="104">
        <f>+'Tuition-4Yr'!T26+'State Appropriations-4Yr'!T26+'Local Appropriations-4Yr'!T26+'Fed Contracts Grnts-4Yr'!T26+'Other Contract Grnts-4Yr'!T26+'Investment Income-4Yr'!T26+'All Other E&amp;G-4Yr'!T26</f>
        <v>1926069.9219999998</v>
      </c>
      <c r="U26" s="104">
        <f>+'Tuition-4Yr'!U26+'State Appropriations-4Yr'!U26+'Local Appropriations-4Yr'!U26+'Fed Contracts Grnts-4Yr'!U26+'Other Contract Grnts-4Yr'!U26+'Investment Income-4Yr'!U26+'All Other E&amp;G-4Yr'!U26</f>
        <v>1947886.2860000001</v>
      </c>
      <c r="V26" s="104">
        <f>+'Tuition-4Yr'!V26+'State Appropriations-4Yr'!V26+'Local Appropriations-4Yr'!V26+'Fed Contracts Grnts-4Yr'!V26+'Other Contract Grnts-4Yr'!V26+'Investment Income-4Yr'!V26+'All Other E&amp;G-4Yr'!V26</f>
        <v>2117044.156</v>
      </c>
      <c r="W26" s="104">
        <f>+'Tuition-4Yr'!W26+'State Appropriations-4Yr'!W26+'Local Appropriations-4Yr'!W26+'Fed Contracts Grnts-4Yr'!W26+'Other Contract Grnts-4Yr'!W26+'Investment Income-4Yr'!W26+'All Other E&amp;G-4Yr'!W26</f>
        <v>2441309.5420000004</v>
      </c>
      <c r="X26" s="104">
        <f>+'Tuition-4Yr'!X26+'State Appropriations-4Yr'!X26+'Local Appropriations-4Yr'!X26+'Fed Contracts Grnts-4Yr'!X26+'Other Contract Grnts-4Yr'!X26+'Investment Income-4Yr'!X26+'All Other E&amp;G-4Yr'!X26</f>
        <v>2487325.2009999999</v>
      </c>
      <c r="Y26" s="104">
        <f>+'Tuition-4Yr'!Y26+'State Appropriations-4Yr'!Y26+'Local Appropriations-4Yr'!Y26+'Fed Contracts Grnts-4Yr'!Y26+'Other Contract Grnts-4Yr'!Y26+'Investment Income-4Yr'!Y26+'All Other E&amp;G-4Yr'!Y26</f>
        <v>2767062.855</v>
      </c>
      <c r="Z26" s="104">
        <f>+'Tuition-4Yr'!Z26+'State Appropriations-4Yr'!Z26+'Local Appropriations-4Yr'!Z26+'Fed Contracts Grnts-4Yr'!Z26+'Other Contract Grnts-4Yr'!Z26+'Investment Income-4Yr'!Z26+'All Other E&amp;G-4Yr'!Z26</f>
        <v>2928341.878</v>
      </c>
      <c r="AA26" s="104">
        <f>+'Tuition-4Yr'!AA26+'State Appropriations-4Yr'!AA26+'Local Appropriations-4Yr'!AA26+'Fed Contracts Grnts-4Yr'!AA26+'Other Contract Grnts-4Yr'!AA26+'Investment Income-4Yr'!AA26+'All Other E&amp;G-4Yr'!AA26</f>
        <v>3260822.1159999999</v>
      </c>
      <c r="AB26" s="104">
        <f>+'Tuition-4Yr'!AB26+'State Appropriations-4Yr'!AB26+'Local Appropriations-4Yr'!AB26+'Fed Contracts Grnts-4Yr'!AB26+'Other Contract Grnts-4Yr'!AB26+'Investment Income-4Yr'!AB26+'All Other E&amp;G-4Yr'!AB26</f>
        <v>3530070.0649999995</v>
      </c>
      <c r="AC26" s="104">
        <f>+'Tuition-4Yr'!AC26+'State Appropriations-4Yr'!AC26+'Local Appropriations-4Yr'!AC26+'Fed Contracts Grnts-4Yr'!AC26+'Other Contract Grnts-4Yr'!AC26+'Investment Income-4Yr'!AC26+'All Other E&amp;G-4Yr'!AC26</f>
        <v>3790204</v>
      </c>
      <c r="AD26" s="104">
        <f>+'Tuition-4Yr'!AD26+'State Appropriations-4Yr'!AD26+'Local Appropriations-4Yr'!AD26+'Fed Contracts Grnts-4Yr'!AD26+'Other Contract Grnts-4Yr'!AD26+'Investment Income-4Yr'!AD26+'All Other E&amp;G-4Yr'!AD26</f>
        <v>3883312.8879999998</v>
      </c>
      <c r="AE26" s="104">
        <f>+'Tuition-4Yr'!AE26+'State Appropriations-4Yr'!AE26+'Local Appropriations-4Yr'!AE26+'Fed Contracts Grnts-4Yr'!AE26+'Other Contract Grnts-4Yr'!AE26+'Investment Income-4Yr'!AE26+'All Other E&amp;G-4Yr'!AE26</f>
        <v>4087951.9720000001</v>
      </c>
      <c r="AF26" s="104">
        <f>+'Tuition-4Yr'!AF26+'State Appropriations-4Yr'!AF26+'Local Appropriations-4Yr'!AF26+'Fed Contracts Grnts-4Yr'!AF26+'Other Contract Grnts-4Yr'!AF26+'Investment Income-4Yr'!AF26+'All Other E&amp;G-4Yr'!AF26</f>
        <v>4197195.87</v>
      </c>
      <c r="AG26" s="104">
        <f>+'Tuition-4Yr'!AG26+'State Appropriations-4Yr'!AG26+'Local Appropriations-4Yr'!AG26+'Fed Contracts Grnts-4Yr'!AG26+'Other Contract Grnts-4Yr'!AG26+'Investment Income-4Yr'!AG26+'All Other E&amp;G-4Yr'!AG26</f>
        <v>4732558.8720000004</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row>
    <row r="27" spans="1:213" s="65" customFormat="1" ht="12.75" customHeight="1">
      <c r="A27" s="23" t="s">
        <v>111</v>
      </c>
      <c r="B27" s="104">
        <f>+'Tuition-4Yr'!B27+'State Appropriations-4Yr'!B27+'Local Appropriations-4Yr'!B27+'Fed Contracts Grnts-4Yr'!B27+'Other Contract Grnts-4Yr'!B27+'Investment Income-4Yr'!B27+'All Other E&amp;G-4Yr'!B27</f>
        <v>0</v>
      </c>
      <c r="C27" s="104">
        <f>+'Tuition-4Yr'!C27+'State Appropriations-4Yr'!C27+'Local Appropriations-4Yr'!C27+'Fed Contracts Grnts-4Yr'!C27+'Other Contract Grnts-4Yr'!C27+'Investment Income-4Yr'!C27+'All Other E&amp;G-4Yr'!C27</f>
        <v>0</v>
      </c>
      <c r="D27" s="104">
        <f>+'Tuition-4Yr'!D27+'State Appropriations-4Yr'!D27+'Local Appropriations-4Yr'!D27+'Fed Contracts Grnts-4Yr'!D27+'Other Contract Grnts-4Yr'!D27+'Investment Income-4Yr'!D27+'All Other E&amp;G-4Yr'!D27</f>
        <v>0</v>
      </c>
      <c r="E27" s="104">
        <f>+'Tuition-4Yr'!E27+'State Appropriations-4Yr'!E27+'Local Appropriations-4Yr'!E27+'Fed Contracts Grnts-4Yr'!E27+'Other Contract Grnts-4Yr'!E27+'Investment Income-4Yr'!E27+'All Other E&amp;G-4Yr'!E27</f>
        <v>0</v>
      </c>
      <c r="F27" s="104">
        <f>+'Tuition-4Yr'!F27+'State Appropriations-4Yr'!F27+'Local Appropriations-4Yr'!F27+'Fed Contracts Grnts-4Yr'!F27+'Other Contract Grnts-4Yr'!F27+'Investment Income-4Yr'!F27+'All Other E&amp;G-4Yr'!F27</f>
        <v>0</v>
      </c>
      <c r="G27" s="104">
        <f>+'Tuition-4Yr'!G27+'State Appropriations-4Yr'!G27+'Local Appropriations-4Yr'!G27+'Fed Contracts Grnts-4Yr'!G27+'Other Contract Grnts-4Yr'!G27+'Investment Income-4Yr'!G27+'All Other E&amp;G-4Yr'!G27</f>
        <v>0</v>
      </c>
      <c r="H27" s="104">
        <f>+'Tuition-4Yr'!H27+'State Appropriations-4Yr'!H27+'Local Appropriations-4Yr'!H27+'Fed Contracts Grnts-4Yr'!H27+'Other Contract Grnts-4Yr'!H27+'Investment Income-4Yr'!H27+'All Other E&amp;G-4Yr'!H27</f>
        <v>0</v>
      </c>
      <c r="I27" s="104">
        <f>+'Tuition-4Yr'!I27+'State Appropriations-4Yr'!I27+'Local Appropriations-4Yr'!I27+'Fed Contracts Grnts-4Yr'!I27+'Other Contract Grnts-4Yr'!I27+'Investment Income-4Yr'!I27+'All Other E&amp;G-4Yr'!I27</f>
        <v>0</v>
      </c>
      <c r="J27" s="104">
        <f>+'Tuition-4Yr'!J27+'State Appropriations-4Yr'!J27+'Local Appropriations-4Yr'!J27+'Fed Contracts Grnts-4Yr'!J27+'Other Contract Grnts-4Yr'!J27+'Investment Income-4Yr'!J27+'All Other E&amp;G-4Yr'!J27</f>
        <v>7176053.9850000003</v>
      </c>
      <c r="K27" s="104">
        <f>+'Tuition-4Yr'!K27+'State Appropriations-4Yr'!K27+'Local Appropriations-4Yr'!K27+'Fed Contracts Grnts-4Yr'!K27+'Other Contract Grnts-4Yr'!K27+'Investment Income-4Yr'!K27+'All Other E&amp;G-4Yr'!K27</f>
        <v>0</v>
      </c>
      <c r="L27" s="104">
        <f>+'Tuition-4Yr'!L27+'State Appropriations-4Yr'!L27+'Local Appropriations-4Yr'!L27+'Fed Contracts Grnts-4Yr'!L27+'Other Contract Grnts-4Yr'!L27+'Investment Income-4Yr'!L27+'All Other E&amp;G-4Yr'!L27</f>
        <v>0</v>
      </c>
      <c r="M27" s="104">
        <f>+'Tuition-4Yr'!M27+'State Appropriations-4Yr'!M27+'Local Appropriations-4Yr'!M27+'Fed Contracts Grnts-4Yr'!M27+'Other Contract Grnts-4Yr'!M27+'Investment Income-4Yr'!M27+'All Other E&amp;G-4Yr'!M27</f>
        <v>7836576.6790000005</v>
      </c>
      <c r="N27" s="104">
        <f>+'Tuition-4Yr'!N27+'State Appropriations-4Yr'!N27+'Local Appropriations-4Yr'!N27+'Fed Contracts Grnts-4Yr'!N27+'Other Contract Grnts-4Yr'!N27+'Investment Income-4Yr'!N27+'All Other E&amp;G-4Yr'!N27</f>
        <v>0</v>
      </c>
      <c r="O27" s="104">
        <f>+'Tuition-4Yr'!O27+'State Appropriations-4Yr'!O27+'Local Appropriations-4Yr'!O27+'Fed Contracts Grnts-4Yr'!O27+'Other Contract Grnts-4Yr'!O27+'Investment Income-4Yr'!O27+'All Other E&amp;G-4Yr'!O27</f>
        <v>9311294</v>
      </c>
      <c r="P27" s="104">
        <f>+'Tuition-4Yr'!P27+'State Appropriations-4Yr'!P27+'Local Appropriations-4Yr'!P27+'Fed Contracts Grnts-4Yr'!P27+'Other Contract Grnts-4Yr'!P27+'Investment Income-4Yr'!P27+'All Other E&amp;G-4Yr'!P27</f>
        <v>0</v>
      </c>
      <c r="Q27" s="104">
        <f>+'Tuition-4Yr'!Q27+'State Appropriations-4Yr'!Q27+'Local Appropriations-4Yr'!Q27+'Fed Contracts Grnts-4Yr'!Q27+'Other Contract Grnts-4Yr'!Q27+'Investment Income-4Yr'!Q27+'All Other E&amp;G-4Yr'!Q27</f>
        <v>0</v>
      </c>
      <c r="R27" s="104">
        <f>+'Tuition-4Yr'!R27+'State Appropriations-4Yr'!R27+'Local Appropriations-4Yr'!R27+'Fed Contracts Grnts-4Yr'!R27+'Other Contract Grnts-4Yr'!R27+'Investment Income-4Yr'!R27+'All Other E&amp;G-4Yr'!R27</f>
        <v>11676145.779999999</v>
      </c>
      <c r="S27" s="104">
        <f>+'Tuition-4Yr'!S27+'State Appropriations-4Yr'!S27+'Local Appropriations-4Yr'!S27+'Fed Contracts Grnts-4Yr'!S27+'Other Contract Grnts-4Yr'!S27+'Investment Income-4Yr'!S27+'All Other E&amp;G-4Yr'!S27</f>
        <v>12586190.295000002</v>
      </c>
      <c r="T27" s="104">
        <f>+'Tuition-4Yr'!T27+'State Appropriations-4Yr'!T27+'Local Appropriations-4Yr'!T27+'Fed Contracts Grnts-4Yr'!T27+'Other Contract Grnts-4Yr'!T27+'Investment Income-4Yr'!T27+'All Other E&amp;G-4Yr'!T27</f>
        <v>12393017.449000001</v>
      </c>
      <c r="U27" s="104">
        <f>+'Tuition-4Yr'!U27+'State Appropriations-4Yr'!U27+'Local Appropriations-4Yr'!U27+'Fed Contracts Grnts-4Yr'!U27+'Other Contract Grnts-4Yr'!U27+'Investment Income-4Yr'!U27+'All Other E&amp;G-4Yr'!U27</f>
        <v>12724716.711999999</v>
      </c>
      <c r="V27" s="104">
        <f>+'Tuition-4Yr'!V27+'State Appropriations-4Yr'!V27+'Local Appropriations-4Yr'!V27+'Fed Contracts Grnts-4Yr'!V27+'Other Contract Grnts-4Yr'!V27+'Investment Income-4Yr'!V27+'All Other E&amp;G-4Yr'!V27</f>
        <v>13335664.460999999</v>
      </c>
      <c r="W27" s="104">
        <f>+'Tuition-4Yr'!W27+'State Appropriations-4Yr'!W27+'Local Appropriations-4Yr'!W27+'Fed Contracts Grnts-4Yr'!W27+'Other Contract Grnts-4Yr'!W27+'Investment Income-4Yr'!W27+'All Other E&amp;G-4Yr'!W27</f>
        <v>14401821.647</v>
      </c>
      <c r="X27" s="104">
        <f>+'Tuition-4Yr'!X27+'State Appropriations-4Yr'!X27+'Local Appropriations-4Yr'!X27+'Fed Contracts Grnts-4Yr'!X27+'Other Contract Grnts-4Yr'!X27+'Investment Income-4Yr'!X27+'All Other E&amp;G-4Yr'!X27</f>
        <v>14503730.699000001</v>
      </c>
      <c r="Y27" s="104">
        <f>+'Tuition-4Yr'!Y27+'State Appropriations-4Yr'!Y27+'Local Appropriations-4Yr'!Y27+'Fed Contracts Grnts-4Yr'!Y27+'Other Contract Grnts-4Yr'!Y27+'Investment Income-4Yr'!Y27+'All Other E&amp;G-4Yr'!Y27</f>
        <v>15962848.52</v>
      </c>
      <c r="Z27" s="104">
        <f>+'Tuition-4Yr'!Z27+'State Appropriations-4Yr'!Z27+'Local Appropriations-4Yr'!Z27+'Fed Contracts Grnts-4Yr'!Z27+'Other Contract Grnts-4Yr'!Z27+'Investment Income-4Yr'!Z27+'All Other E&amp;G-4Yr'!Z27</f>
        <v>17985737.438999999</v>
      </c>
      <c r="AA27" s="104">
        <f>+'Tuition-4Yr'!AA27+'State Appropriations-4Yr'!AA27+'Local Appropriations-4Yr'!AA27+'Fed Contracts Grnts-4Yr'!AA27+'Other Contract Grnts-4Yr'!AA27+'Investment Income-4Yr'!AA27+'All Other E&amp;G-4Yr'!AA27</f>
        <v>16894682.603</v>
      </c>
      <c r="AB27" s="104">
        <f>+'Tuition-4Yr'!AB27+'State Appropriations-4Yr'!AB27+'Local Appropriations-4Yr'!AB27+'Fed Contracts Grnts-4Yr'!AB27+'Other Contract Grnts-4Yr'!AB27+'Investment Income-4Yr'!AB27+'All Other E&amp;G-4Yr'!AB27</f>
        <v>20796378.644000001</v>
      </c>
      <c r="AC27" s="104">
        <f>+'Tuition-4Yr'!AC27+'State Appropriations-4Yr'!AC27+'Local Appropriations-4Yr'!AC27+'Fed Contracts Grnts-4Yr'!AC27+'Other Contract Grnts-4Yr'!AC27+'Investment Income-4Yr'!AC27+'All Other E&amp;G-4Yr'!AC27</f>
        <v>22872378</v>
      </c>
      <c r="AD27" s="104">
        <f>+'Tuition-4Yr'!AD27+'State Appropriations-4Yr'!AD27+'Local Appropriations-4Yr'!AD27+'Fed Contracts Grnts-4Yr'!AD27+'Other Contract Grnts-4Yr'!AD27+'Investment Income-4Yr'!AD27+'All Other E&amp;G-4Yr'!AD27</f>
        <v>23639261.844000001</v>
      </c>
      <c r="AE27" s="104">
        <f>+'Tuition-4Yr'!AE27+'State Appropriations-4Yr'!AE27+'Local Appropriations-4Yr'!AE27+'Fed Contracts Grnts-4Yr'!AE27+'Other Contract Grnts-4Yr'!AE27+'Investment Income-4Yr'!AE27+'All Other E&amp;G-4Yr'!AE27</f>
        <v>23847267.041000001</v>
      </c>
      <c r="AF27" s="104">
        <f>+'Tuition-4Yr'!AF27+'State Appropriations-4Yr'!AF27+'Local Appropriations-4Yr'!AF27+'Fed Contracts Grnts-4Yr'!AF27+'Other Contract Grnts-4Yr'!AF27+'Investment Income-4Yr'!AF27+'All Other E&amp;G-4Yr'!AF27</f>
        <v>23199517.417999998</v>
      </c>
      <c r="AG27" s="104">
        <f>+'Tuition-4Yr'!AG27+'State Appropriations-4Yr'!AG27+'Local Appropriations-4Yr'!AG27+'Fed Contracts Grnts-4Yr'!AG27+'Other Contract Grnts-4Yr'!AG27+'Investment Income-4Yr'!AG27+'All Other E&amp;G-4Yr'!AG27</f>
        <v>27146332.923999995</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row>
    <row r="28" spans="1:213" s="65" customFormat="1" ht="12.75" customHeight="1">
      <c r="A28" s="23" t="s">
        <v>112</v>
      </c>
      <c r="B28" s="104">
        <f>+'Tuition-4Yr'!B28+'State Appropriations-4Yr'!B28+'Local Appropriations-4Yr'!B28+'Fed Contracts Grnts-4Yr'!B28+'Other Contract Grnts-4Yr'!B28+'Investment Income-4Yr'!B28+'All Other E&amp;G-4Yr'!B28</f>
        <v>0</v>
      </c>
      <c r="C28" s="104">
        <f>+'Tuition-4Yr'!C28+'State Appropriations-4Yr'!C28+'Local Appropriations-4Yr'!C28+'Fed Contracts Grnts-4Yr'!C28+'Other Contract Grnts-4Yr'!C28+'Investment Income-4Yr'!C28+'All Other E&amp;G-4Yr'!C28</f>
        <v>0</v>
      </c>
      <c r="D28" s="104">
        <f>+'Tuition-4Yr'!D28+'State Appropriations-4Yr'!D28+'Local Appropriations-4Yr'!D28+'Fed Contracts Grnts-4Yr'!D28+'Other Contract Grnts-4Yr'!D28+'Investment Income-4Yr'!D28+'All Other E&amp;G-4Yr'!D28</f>
        <v>0</v>
      </c>
      <c r="E28" s="104">
        <f>+'Tuition-4Yr'!E28+'State Appropriations-4Yr'!E28+'Local Appropriations-4Yr'!E28+'Fed Contracts Grnts-4Yr'!E28+'Other Contract Grnts-4Yr'!E28+'Investment Income-4Yr'!E28+'All Other E&amp;G-4Yr'!E28</f>
        <v>0</v>
      </c>
      <c r="F28" s="104">
        <f>+'Tuition-4Yr'!F28+'State Appropriations-4Yr'!F28+'Local Appropriations-4Yr'!F28+'Fed Contracts Grnts-4Yr'!F28+'Other Contract Grnts-4Yr'!F28+'Investment Income-4Yr'!F28+'All Other E&amp;G-4Yr'!F28</f>
        <v>0</v>
      </c>
      <c r="G28" s="104">
        <f>+'Tuition-4Yr'!G28+'State Appropriations-4Yr'!G28+'Local Appropriations-4Yr'!G28+'Fed Contracts Grnts-4Yr'!G28+'Other Contract Grnts-4Yr'!G28+'Investment Income-4Yr'!G28+'All Other E&amp;G-4Yr'!G28</f>
        <v>0</v>
      </c>
      <c r="H28" s="104">
        <f>+'Tuition-4Yr'!H28+'State Appropriations-4Yr'!H28+'Local Appropriations-4Yr'!H28+'Fed Contracts Grnts-4Yr'!H28+'Other Contract Grnts-4Yr'!H28+'Investment Income-4Yr'!H28+'All Other E&amp;G-4Yr'!H28</f>
        <v>0</v>
      </c>
      <c r="I28" s="104">
        <f>+'Tuition-4Yr'!I28+'State Appropriations-4Yr'!I28+'Local Appropriations-4Yr'!I28+'Fed Contracts Grnts-4Yr'!I28+'Other Contract Grnts-4Yr'!I28+'Investment Income-4Yr'!I28+'All Other E&amp;G-4Yr'!I28</f>
        <v>0</v>
      </c>
      <c r="J28" s="104">
        <f>+'Tuition-4Yr'!J28+'State Appropriations-4Yr'!J28+'Local Appropriations-4Yr'!J28+'Fed Contracts Grnts-4Yr'!J28+'Other Contract Grnts-4Yr'!J28+'Investment Income-4Yr'!J28+'All Other E&amp;G-4Yr'!J28</f>
        <v>1233543.2990000001</v>
      </c>
      <c r="K28" s="104">
        <f>+'Tuition-4Yr'!K28+'State Appropriations-4Yr'!K28+'Local Appropriations-4Yr'!K28+'Fed Contracts Grnts-4Yr'!K28+'Other Contract Grnts-4Yr'!K28+'Investment Income-4Yr'!K28+'All Other E&amp;G-4Yr'!K28</f>
        <v>0</v>
      </c>
      <c r="L28" s="104">
        <f>+'Tuition-4Yr'!L28+'State Appropriations-4Yr'!L28+'Local Appropriations-4Yr'!L28+'Fed Contracts Grnts-4Yr'!L28+'Other Contract Grnts-4Yr'!L28+'Investment Income-4Yr'!L28+'All Other E&amp;G-4Yr'!L28</f>
        <v>0</v>
      </c>
      <c r="M28" s="104">
        <f>+'Tuition-4Yr'!M28+'State Appropriations-4Yr'!M28+'Local Appropriations-4Yr'!M28+'Fed Contracts Grnts-4Yr'!M28+'Other Contract Grnts-4Yr'!M28+'Investment Income-4Yr'!M28+'All Other E&amp;G-4Yr'!M28</f>
        <v>1444862.929</v>
      </c>
      <c r="N28" s="104">
        <f>+'Tuition-4Yr'!N28+'State Appropriations-4Yr'!N28+'Local Appropriations-4Yr'!N28+'Fed Contracts Grnts-4Yr'!N28+'Other Contract Grnts-4Yr'!N28+'Investment Income-4Yr'!N28+'All Other E&amp;G-4Yr'!N28</f>
        <v>0</v>
      </c>
      <c r="O28" s="104">
        <f>+'Tuition-4Yr'!O28+'State Appropriations-4Yr'!O28+'Local Appropriations-4Yr'!O28+'Fed Contracts Grnts-4Yr'!O28+'Other Contract Grnts-4Yr'!O28+'Investment Income-4Yr'!O28+'All Other E&amp;G-4Yr'!O28</f>
        <v>1616892.6903000001</v>
      </c>
      <c r="P28" s="104">
        <f>+'Tuition-4Yr'!P28+'State Appropriations-4Yr'!P28+'Local Appropriations-4Yr'!P28+'Fed Contracts Grnts-4Yr'!P28+'Other Contract Grnts-4Yr'!P28+'Investment Income-4Yr'!P28+'All Other E&amp;G-4Yr'!P28</f>
        <v>0</v>
      </c>
      <c r="Q28" s="104">
        <f>+'Tuition-4Yr'!Q28+'State Appropriations-4Yr'!Q28+'Local Appropriations-4Yr'!Q28+'Fed Contracts Grnts-4Yr'!Q28+'Other Contract Grnts-4Yr'!Q28+'Investment Income-4Yr'!Q28+'All Other E&amp;G-4Yr'!Q28</f>
        <v>0</v>
      </c>
      <c r="R28" s="104">
        <f>+'Tuition-4Yr'!R28+'State Appropriations-4Yr'!R28+'Local Appropriations-4Yr'!R28+'Fed Contracts Grnts-4Yr'!R28+'Other Contract Grnts-4Yr'!R28+'Investment Income-4Yr'!R28+'All Other E&amp;G-4Yr'!R28</f>
        <v>1982340.92</v>
      </c>
      <c r="S28" s="104">
        <f>+'Tuition-4Yr'!S28+'State Appropriations-4Yr'!S28+'Local Appropriations-4Yr'!S28+'Fed Contracts Grnts-4Yr'!S28+'Other Contract Grnts-4Yr'!S28+'Investment Income-4Yr'!S28+'All Other E&amp;G-4Yr'!S28</f>
        <v>2153815.7560000001</v>
      </c>
      <c r="T28" s="104">
        <f>+'Tuition-4Yr'!T28+'State Appropriations-4Yr'!T28+'Local Appropriations-4Yr'!T28+'Fed Contracts Grnts-4Yr'!T28+'Other Contract Grnts-4Yr'!T28+'Investment Income-4Yr'!T28+'All Other E&amp;G-4Yr'!T28</f>
        <v>2216153.605</v>
      </c>
      <c r="U28" s="104">
        <f>+'Tuition-4Yr'!U28+'State Appropriations-4Yr'!U28+'Local Appropriations-4Yr'!U28+'Fed Contracts Grnts-4Yr'!U28+'Other Contract Grnts-4Yr'!U28+'Investment Income-4Yr'!U28+'All Other E&amp;G-4Yr'!U28</f>
        <v>2144763.0130000003</v>
      </c>
      <c r="V28" s="104">
        <f>+'Tuition-4Yr'!V28+'State Appropriations-4Yr'!V28+'Local Appropriations-4Yr'!V28+'Fed Contracts Grnts-4Yr'!V28+'Other Contract Grnts-4Yr'!V28+'Investment Income-4Yr'!V28+'All Other E&amp;G-4Yr'!V28</f>
        <v>1789474.1770000001</v>
      </c>
      <c r="W28" s="104">
        <f>+'Tuition-4Yr'!W28+'State Appropriations-4Yr'!W28+'Local Appropriations-4Yr'!W28+'Fed Contracts Grnts-4Yr'!W28+'Other Contract Grnts-4Yr'!W28+'Investment Income-4Yr'!W28+'All Other E&amp;G-4Yr'!W28</f>
        <v>2911344.1150000002</v>
      </c>
      <c r="X28" s="104">
        <f>+'Tuition-4Yr'!X28+'State Appropriations-4Yr'!X28+'Local Appropriations-4Yr'!X28+'Fed Contracts Grnts-4Yr'!X28+'Other Contract Grnts-4Yr'!X28+'Investment Income-4Yr'!X28+'All Other E&amp;G-4Yr'!X28</f>
        <v>2480118.2949999999</v>
      </c>
      <c r="Y28" s="104">
        <f>+'Tuition-4Yr'!Y28+'State Appropriations-4Yr'!Y28+'Local Appropriations-4Yr'!Y28+'Fed Contracts Grnts-4Yr'!Y28+'Other Contract Grnts-4Yr'!Y28+'Investment Income-4Yr'!Y28+'All Other E&amp;G-4Yr'!Y28</f>
        <v>2646646.3759999997</v>
      </c>
      <c r="Z28" s="104">
        <f>+'Tuition-4Yr'!Z28+'State Appropriations-4Yr'!Z28+'Local Appropriations-4Yr'!Z28+'Fed Contracts Grnts-4Yr'!Z28+'Other Contract Grnts-4Yr'!Z28+'Investment Income-4Yr'!Z28+'All Other E&amp;G-4Yr'!Z28</f>
        <v>2852672.2080000001</v>
      </c>
      <c r="AA28" s="104">
        <f>+'Tuition-4Yr'!AA28+'State Appropriations-4Yr'!AA28+'Local Appropriations-4Yr'!AA28+'Fed Contracts Grnts-4Yr'!AA28+'Other Contract Grnts-4Yr'!AA28+'Investment Income-4Yr'!AA28+'All Other E&amp;G-4Yr'!AA28</f>
        <v>3203984.344</v>
      </c>
      <c r="AB28" s="104">
        <f>+'Tuition-4Yr'!AB28+'State Appropriations-4Yr'!AB28+'Local Appropriations-4Yr'!AB28+'Fed Contracts Grnts-4Yr'!AB28+'Other Contract Grnts-4Yr'!AB28+'Investment Income-4Yr'!AB28+'All Other E&amp;G-4Yr'!AB28</f>
        <v>3617455.8539999998</v>
      </c>
      <c r="AC28" s="104">
        <f>+'Tuition-4Yr'!AC28+'State Appropriations-4Yr'!AC28+'Local Appropriations-4Yr'!AC28+'Fed Contracts Grnts-4Yr'!AC28+'Other Contract Grnts-4Yr'!AC28+'Investment Income-4Yr'!AC28+'All Other E&amp;G-4Yr'!AC28</f>
        <v>3847283</v>
      </c>
      <c r="AD28" s="104">
        <f>+'Tuition-4Yr'!AD28+'State Appropriations-4Yr'!AD28+'Local Appropriations-4Yr'!AD28+'Fed Contracts Grnts-4Yr'!AD28+'Other Contract Grnts-4Yr'!AD28+'Investment Income-4Yr'!AD28+'All Other E&amp;G-4Yr'!AD28</f>
        <v>3989517.9010000001</v>
      </c>
      <c r="AE28" s="104">
        <f>+'Tuition-4Yr'!AE28+'State Appropriations-4Yr'!AE28+'Local Appropriations-4Yr'!AE28+'Fed Contracts Grnts-4Yr'!AE28+'Other Contract Grnts-4Yr'!AE28+'Investment Income-4Yr'!AE28+'All Other E&amp;G-4Yr'!AE28</f>
        <v>4016865.8260000004</v>
      </c>
      <c r="AF28" s="104">
        <f>+'Tuition-4Yr'!AF28+'State Appropriations-4Yr'!AF28+'Local Appropriations-4Yr'!AF28+'Fed Contracts Grnts-4Yr'!AF28+'Other Contract Grnts-4Yr'!AF28+'Investment Income-4Yr'!AF28+'All Other E&amp;G-4Yr'!AF28</f>
        <v>4038400.6529999999</v>
      </c>
      <c r="AG28" s="104">
        <f>+'Tuition-4Yr'!AG28+'State Appropriations-4Yr'!AG28+'Local Appropriations-4Yr'!AG28+'Fed Contracts Grnts-4Yr'!AG28+'Other Contract Grnts-4Yr'!AG28+'Investment Income-4Yr'!AG28+'All Other E&amp;G-4Yr'!AG28</f>
        <v>4511932.8379999995</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row>
    <row r="29" spans="1:213" s="65" customFormat="1" ht="12.75" customHeight="1">
      <c r="A29" s="23" t="s">
        <v>115</v>
      </c>
      <c r="B29" s="104">
        <f>+'Tuition-4Yr'!B29+'State Appropriations-4Yr'!B29+'Local Appropriations-4Yr'!B29+'Fed Contracts Grnts-4Yr'!B29+'Other Contract Grnts-4Yr'!B29+'Investment Income-4Yr'!B29+'All Other E&amp;G-4Yr'!B29</f>
        <v>0</v>
      </c>
      <c r="C29" s="104">
        <f>+'Tuition-4Yr'!C29+'State Appropriations-4Yr'!C29+'Local Appropriations-4Yr'!C29+'Fed Contracts Grnts-4Yr'!C29+'Other Contract Grnts-4Yr'!C29+'Investment Income-4Yr'!C29+'All Other E&amp;G-4Yr'!C29</f>
        <v>0</v>
      </c>
      <c r="D29" s="104">
        <f>+'Tuition-4Yr'!D29+'State Appropriations-4Yr'!D29+'Local Appropriations-4Yr'!D29+'Fed Contracts Grnts-4Yr'!D29+'Other Contract Grnts-4Yr'!D29+'Investment Income-4Yr'!D29+'All Other E&amp;G-4Yr'!D29</f>
        <v>0</v>
      </c>
      <c r="E29" s="104">
        <f>+'Tuition-4Yr'!E29+'State Appropriations-4Yr'!E29+'Local Appropriations-4Yr'!E29+'Fed Contracts Grnts-4Yr'!E29+'Other Contract Grnts-4Yr'!E29+'Investment Income-4Yr'!E29+'All Other E&amp;G-4Yr'!E29</f>
        <v>0</v>
      </c>
      <c r="F29" s="104">
        <f>+'Tuition-4Yr'!F29+'State Appropriations-4Yr'!F29+'Local Appropriations-4Yr'!F29+'Fed Contracts Grnts-4Yr'!F29+'Other Contract Grnts-4Yr'!F29+'Investment Income-4Yr'!F29+'All Other E&amp;G-4Yr'!F29</f>
        <v>0</v>
      </c>
      <c r="G29" s="104">
        <f>+'Tuition-4Yr'!G29+'State Appropriations-4Yr'!G29+'Local Appropriations-4Yr'!G29+'Fed Contracts Grnts-4Yr'!G29+'Other Contract Grnts-4Yr'!G29+'Investment Income-4Yr'!G29+'All Other E&amp;G-4Yr'!G29</f>
        <v>0</v>
      </c>
      <c r="H29" s="104">
        <f>+'Tuition-4Yr'!H29+'State Appropriations-4Yr'!H29+'Local Appropriations-4Yr'!H29+'Fed Contracts Grnts-4Yr'!H29+'Other Contract Grnts-4Yr'!H29+'Investment Income-4Yr'!H29+'All Other E&amp;G-4Yr'!H29</f>
        <v>0</v>
      </c>
      <c r="I29" s="104">
        <f>+'Tuition-4Yr'!I29+'State Appropriations-4Yr'!I29+'Local Appropriations-4Yr'!I29+'Fed Contracts Grnts-4Yr'!I29+'Other Contract Grnts-4Yr'!I29+'Investment Income-4Yr'!I29+'All Other E&amp;G-4Yr'!I29</f>
        <v>0</v>
      </c>
      <c r="J29" s="104">
        <f>+'Tuition-4Yr'!J29+'State Appropriations-4Yr'!J29+'Local Appropriations-4Yr'!J29+'Fed Contracts Grnts-4Yr'!J29+'Other Contract Grnts-4Yr'!J29+'Investment Income-4Yr'!J29+'All Other E&amp;G-4Yr'!J29</f>
        <v>408309.13099999999</v>
      </c>
      <c r="K29" s="104">
        <f>+'Tuition-4Yr'!K29+'State Appropriations-4Yr'!K29+'Local Appropriations-4Yr'!K29+'Fed Contracts Grnts-4Yr'!K29+'Other Contract Grnts-4Yr'!K29+'Investment Income-4Yr'!K29+'All Other E&amp;G-4Yr'!K29</f>
        <v>0</v>
      </c>
      <c r="L29" s="104">
        <f>+'Tuition-4Yr'!L29+'State Appropriations-4Yr'!L29+'Local Appropriations-4Yr'!L29+'Fed Contracts Grnts-4Yr'!L29+'Other Contract Grnts-4Yr'!L29+'Investment Income-4Yr'!L29+'All Other E&amp;G-4Yr'!L29</f>
        <v>0</v>
      </c>
      <c r="M29" s="104">
        <f>+'Tuition-4Yr'!M29+'State Appropriations-4Yr'!M29+'Local Appropriations-4Yr'!M29+'Fed Contracts Grnts-4Yr'!M29+'Other Contract Grnts-4Yr'!M29+'Investment Income-4Yr'!M29+'All Other E&amp;G-4Yr'!M29</f>
        <v>445984.53700000007</v>
      </c>
      <c r="N29" s="104">
        <f>+'Tuition-4Yr'!N29+'State Appropriations-4Yr'!N29+'Local Appropriations-4Yr'!N29+'Fed Contracts Grnts-4Yr'!N29+'Other Contract Grnts-4Yr'!N29+'Investment Income-4Yr'!N29+'All Other E&amp;G-4Yr'!N29</f>
        <v>0</v>
      </c>
      <c r="O29" s="104">
        <f>+'Tuition-4Yr'!O29+'State Appropriations-4Yr'!O29+'Local Appropriations-4Yr'!O29+'Fed Contracts Grnts-4Yr'!O29+'Other Contract Grnts-4Yr'!O29+'Investment Income-4Yr'!O29+'All Other E&amp;G-4Yr'!O29</f>
        <v>415496.86299999995</v>
      </c>
      <c r="P29" s="104">
        <f>+'Tuition-4Yr'!P29+'State Appropriations-4Yr'!P29+'Local Appropriations-4Yr'!P29+'Fed Contracts Grnts-4Yr'!P29+'Other Contract Grnts-4Yr'!P29+'Investment Income-4Yr'!P29+'All Other E&amp;G-4Yr'!P29</f>
        <v>0</v>
      </c>
      <c r="Q29" s="104">
        <f>+'Tuition-4Yr'!Q29+'State Appropriations-4Yr'!Q29+'Local Appropriations-4Yr'!Q29+'Fed Contracts Grnts-4Yr'!Q29+'Other Contract Grnts-4Yr'!Q29+'Investment Income-4Yr'!Q29+'All Other E&amp;G-4Yr'!Q29</f>
        <v>0</v>
      </c>
      <c r="R29" s="104">
        <f>+'Tuition-4Yr'!R29+'State Appropriations-4Yr'!R29+'Local Appropriations-4Yr'!R29+'Fed Contracts Grnts-4Yr'!R29+'Other Contract Grnts-4Yr'!R29+'Investment Income-4Yr'!R29+'All Other E&amp;G-4Yr'!R29</f>
        <v>435486.11100000003</v>
      </c>
      <c r="S29" s="104">
        <f>+'Tuition-4Yr'!S29+'State Appropriations-4Yr'!S29+'Local Appropriations-4Yr'!S29+'Fed Contracts Grnts-4Yr'!S29+'Other Contract Grnts-4Yr'!S29+'Investment Income-4Yr'!S29+'All Other E&amp;G-4Yr'!S29</f>
        <v>499086.58900000004</v>
      </c>
      <c r="T29" s="104">
        <f>+'Tuition-4Yr'!T29+'State Appropriations-4Yr'!T29+'Local Appropriations-4Yr'!T29+'Fed Contracts Grnts-4Yr'!T29+'Other Contract Grnts-4Yr'!T29+'Investment Income-4Yr'!T29+'All Other E&amp;G-4Yr'!T29</f>
        <v>506701.46900000004</v>
      </c>
      <c r="U29" s="104">
        <f>+'Tuition-4Yr'!U29+'State Appropriations-4Yr'!U29+'Local Appropriations-4Yr'!U29+'Fed Contracts Grnts-4Yr'!U29+'Other Contract Grnts-4Yr'!U29+'Investment Income-4Yr'!U29+'All Other E&amp;G-4Yr'!U29</f>
        <v>640131.06999999995</v>
      </c>
      <c r="V29" s="104">
        <f>+'Tuition-4Yr'!V29+'State Appropriations-4Yr'!V29+'Local Appropriations-4Yr'!V29+'Fed Contracts Grnts-4Yr'!V29+'Other Contract Grnts-4Yr'!V29+'Investment Income-4Yr'!V29+'All Other E&amp;G-4Yr'!V29</f>
        <v>657612.06799999997</v>
      </c>
      <c r="W29" s="104">
        <f>+'Tuition-4Yr'!W29+'State Appropriations-4Yr'!W29+'Local Appropriations-4Yr'!W29+'Fed Contracts Grnts-4Yr'!W29+'Other Contract Grnts-4Yr'!W29+'Investment Income-4Yr'!W29+'All Other E&amp;G-4Yr'!W29</f>
        <v>767749.69500000007</v>
      </c>
      <c r="X29" s="104">
        <f>+'Tuition-4Yr'!X29+'State Appropriations-4Yr'!X29+'Local Appropriations-4Yr'!X29+'Fed Contracts Grnts-4Yr'!X29+'Other Contract Grnts-4Yr'!X29+'Investment Income-4Yr'!X29+'All Other E&amp;G-4Yr'!X29</f>
        <v>754980.94099999988</v>
      </c>
      <c r="Y29" s="104">
        <f>+'Tuition-4Yr'!Y29+'State Appropriations-4Yr'!Y29+'Local Appropriations-4Yr'!Y29+'Fed Contracts Grnts-4Yr'!Y29+'Other Contract Grnts-4Yr'!Y29+'Investment Income-4Yr'!Y29+'All Other E&amp;G-4Yr'!Y29</f>
        <v>803714.17699999991</v>
      </c>
      <c r="Z29" s="104">
        <f>+'Tuition-4Yr'!Z29+'State Appropriations-4Yr'!Z29+'Local Appropriations-4Yr'!Z29+'Fed Contracts Grnts-4Yr'!Z29+'Other Contract Grnts-4Yr'!Z29+'Investment Income-4Yr'!Z29+'All Other E&amp;G-4Yr'!Z29</f>
        <v>922536.299</v>
      </c>
      <c r="AA29" s="104">
        <f>+'Tuition-4Yr'!AA29+'State Appropriations-4Yr'!AA29+'Local Appropriations-4Yr'!AA29+'Fed Contracts Grnts-4Yr'!AA29+'Other Contract Grnts-4Yr'!AA29+'Investment Income-4Yr'!AA29+'All Other E&amp;G-4Yr'!AA29</f>
        <v>927638.66500000004</v>
      </c>
      <c r="AB29" s="104">
        <f>+'Tuition-4Yr'!AB29+'State Appropriations-4Yr'!AB29+'Local Appropriations-4Yr'!AB29+'Fed Contracts Grnts-4Yr'!AB29+'Other Contract Grnts-4Yr'!AB29+'Investment Income-4Yr'!AB29+'All Other E&amp;G-4Yr'!AB29</f>
        <v>919624.68799999997</v>
      </c>
      <c r="AC29" s="104">
        <f>+'Tuition-4Yr'!AC29+'State Appropriations-4Yr'!AC29+'Local Appropriations-4Yr'!AC29+'Fed Contracts Grnts-4Yr'!AC29+'Other Contract Grnts-4Yr'!AC29+'Investment Income-4Yr'!AC29+'All Other E&amp;G-4Yr'!AC29</f>
        <v>990026</v>
      </c>
      <c r="AD29" s="104">
        <f>+'Tuition-4Yr'!AD29+'State Appropriations-4Yr'!AD29+'Local Appropriations-4Yr'!AD29+'Fed Contracts Grnts-4Yr'!AD29+'Other Contract Grnts-4Yr'!AD29+'Investment Income-4Yr'!AD29+'All Other E&amp;G-4Yr'!AD29</f>
        <v>998336.14599999995</v>
      </c>
      <c r="AE29" s="104">
        <f>+'Tuition-4Yr'!AE29+'State Appropriations-4Yr'!AE29+'Local Appropriations-4Yr'!AE29+'Fed Contracts Grnts-4Yr'!AE29+'Other Contract Grnts-4Yr'!AE29+'Investment Income-4Yr'!AE29+'All Other E&amp;G-4Yr'!AE29</f>
        <v>1034806.26</v>
      </c>
      <c r="AF29" s="104">
        <f>+'Tuition-4Yr'!AF29+'State Appropriations-4Yr'!AF29+'Local Appropriations-4Yr'!AF29+'Fed Contracts Grnts-4Yr'!AF29+'Other Contract Grnts-4Yr'!AF29+'Investment Income-4Yr'!AF29+'All Other E&amp;G-4Yr'!AF29</f>
        <v>1056148.9570000002</v>
      </c>
      <c r="AG29" s="104">
        <f>+'Tuition-4Yr'!AG29+'State Appropriations-4Yr'!AG29+'Local Appropriations-4Yr'!AG29+'Fed Contracts Grnts-4Yr'!AG29+'Other Contract Grnts-4Yr'!AG29+'Investment Income-4Yr'!AG29+'All Other E&amp;G-4Yr'!AG29</f>
        <v>1066263.328</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row>
    <row r="30" spans="1:213" s="65" customFormat="1" ht="12.75" customHeight="1">
      <c r="A30" s="23" t="s">
        <v>116</v>
      </c>
      <c r="B30" s="104">
        <f>+'Tuition-4Yr'!B30+'State Appropriations-4Yr'!B30+'Local Appropriations-4Yr'!B30+'Fed Contracts Grnts-4Yr'!B30+'Other Contract Grnts-4Yr'!B30+'Investment Income-4Yr'!B30+'All Other E&amp;G-4Yr'!B30</f>
        <v>0</v>
      </c>
      <c r="C30" s="104">
        <f>+'Tuition-4Yr'!C30+'State Appropriations-4Yr'!C30+'Local Appropriations-4Yr'!C30+'Fed Contracts Grnts-4Yr'!C30+'Other Contract Grnts-4Yr'!C30+'Investment Income-4Yr'!C30+'All Other E&amp;G-4Yr'!C30</f>
        <v>0</v>
      </c>
      <c r="D30" s="104">
        <f>+'Tuition-4Yr'!D30+'State Appropriations-4Yr'!D30+'Local Appropriations-4Yr'!D30+'Fed Contracts Grnts-4Yr'!D30+'Other Contract Grnts-4Yr'!D30+'Investment Income-4Yr'!D30+'All Other E&amp;G-4Yr'!D30</f>
        <v>0</v>
      </c>
      <c r="E30" s="104">
        <f>+'Tuition-4Yr'!E30+'State Appropriations-4Yr'!E30+'Local Appropriations-4Yr'!E30+'Fed Contracts Grnts-4Yr'!E30+'Other Contract Grnts-4Yr'!E30+'Investment Income-4Yr'!E30+'All Other E&amp;G-4Yr'!E30</f>
        <v>0</v>
      </c>
      <c r="F30" s="104">
        <f>+'Tuition-4Yr'!F30+'State Appropriations-4Yr'!F30+'Local Appropriations-4Yr'!F30+'Fed Contracts Grnts-4Yr'!F30+'Other Contract Grnts-4Yr'!F30+'Investment Income-4Yr'!F30+'All Other E&amp;G-4Yr'!F30</f>
        <v>0</v>
      </c>
      <c r="G30" s="104">
        <f>+'Tuition-4Yr'!G30+'State Appropriations-4Yr'!G30+'Local Appropriations-4Yr'!G30+'Fed Contracts Grnts-4Yr'!G30+'Other Contract Grnts-4Yr'!G30+'Investment Income-4Yr'!G30+'All Other E&amp;G-4Yr'!G30</f>
        <v>0</v>
      </c>
      <c r="H30" s="104">
        <f>+'Tuition-4Yr'!H30+'State Appropriations-4Yr'!H30+'Local Appropriations-4Yr'!H30+'Fed Contracts Grnts-4Yr'!H30+'Other Contract Grnts-4Yr'!H30+'Investment Income-4Yr'!H30+'All Other E&amp;G-4Yr'!H30</f>
        <v>0</v>
      </c>
      <c r="I30" s="104">
        <f>+'Tuition-4Yr'!I30+'State Appropriations-4Yr'!I30+'Local Appropriations-4Yr'!I30+'Fed Contracts Grnts-4Yr'!I30+'Other Contract Grnts-4Yr'!I30+'Investment Income-4Yr'!I30+'All Other E&amp;G-4Yr'!I30</f>
        <v>0</v>
      </c>
      <c r="J30" s="104">
        <f>+'Tuition-4Yr'!J30+'State Appropriations-4Yr'!J30+'Local Appropriations-4Yr'!J30+'Fed Contracts Grnts-4Yr'!J30+'Other Contract Grnts-4Yr'!J30+'Investment Income-4Yr'!J30+'All Other E&amp;G-4Yr'!J30</f>
        <v>334891.109</v>
      </c>
      <c r="K30" s="104">
        <f>+'Tuition-4Yr'!K30+'State Appropriations-4Yr'!K30+'Local Appropriations-4Yr'!K30+'Fed Contracts Grnts-4Yr'!K30+'Other Contract Grnts-4Yr'!K30+'Investment Income-4Yr'!K30+'All Other E&amp;G-4Yr'!K30</f>
        <v>0</v>
      </c>
      <c r="L30" s="104">
        <f>+'Tuition-4Yr'!L30+'State Appropriations-4Yr'!L30+'Local Appropriations-4Yr'!L30+'Fed Contracts Grnts-4Yr'!L30+'Other Contract Grnts-4Yr'!L30+'Investment Income-4Yr'!L30+'All Other E&amp;G-4Yr'!L30</f>
        <v>0</v>
      </c>
      <c r="M30" s="104">
        <f>+'Tuition-4Yr'!M30+'State Appropriations-4Yr'!M30+'Local Appropriations-4Yr'!M30+'Fed Contracts Grnts-4Yr'!M30+'Other Contract Grnts-4Yr'!M30+'Investment Income-4Yr'!M30+'All Other E&amp;G-4Yr'!M30</f>
        <v>402893.57900000003</v>
      </c>
      <c r="N30" s="104">
        <f>+'Tuition-4Yr'!N30+'State Appropriations-4Yr'!N30+'Local Appropriations-4Yr'!N30+'Fed Contracts Grnts-4Yr'!N30+'Other Contract Grnts-4Yr'!N30+'Investment Income-4Yr'!N30+'All Other E&amp;G-4Yr'!N30</f>
        <v>0</v>
      </c>
      <c r="O30" s="104">
        <f>+'Tuition-4Yr'!O30+'State Appropriations-4Yr'!O30+'Local Appropriations-4Yr'!O30+'Fed Contracts Grnts-4Yr'!O30+'Other Contract Grnts-4Yr'!O30+'Investment Income-4Yr'!O30+'All Other E&amp;G-4Yr'!O30</f>
        <v>436635.23</v>
      </c>
      <c r="P30" s="104">
        <f>+'Tuition-4Yr'!P30+'State Appropriations-4Yr'!P30+'Local Appropriations-4Yr'!P30+'Fed Contracts Grnts-4Yr'!P30+'Other Contract Grnts-4Yr'!P30+'Investment Income-4Yr'!P30+'All Other E&amp;G-4Yr'!P30</f>
        <v>0</v>
      </c>
      <c r="Q30" s="104">
        <f>+'Tuition-4Yr'!Q30+'State Appropriations-4Yr'!Q30+'Local Appropriations-4Yr'!Q30+'Fed Contracts Grnts-4Yr'!Q30+'Other Contract Grnts-4Yr'!Q30+'Investment Income-4Yr'!Q30+'All Other E&amp;G-4Yr'!Q30</f>
        <v>0</v>
      </c>
      <c r="R30" s="104">
        <f>+'Tuition-4Yr'!R30+'State Appropriations-4Yr'!R30+'Local Appropriations-4Yr'!R30+'Fed Contracts Grnts-4Yr'!R30+'Other Contract Grnts-4Yr'!R30+'Investment Income-4Yr'!R30+'All Other E&amp;G-4Yr'!R30</f>
        <v>529939.89599999995</v>
      </c>
      <c r="S30" s="104">
        <f>+'Tuition-4Yr'!S30+'State Appropriations-4Yr'!S30+'Local Appropriations-4Yr'!S30+'Fed Contracts Grnts-4Yr'!S30+'Other Contract Grnts-4Yr'!S30+'Investment Income-4Yr'!S30+'All Other E&amp;G-4Yr'!S30</f>
        <v>578920.74300000002</v>
      </c>
      <c r="T30" s="104">
        <f>+'Tuition-4Yr'!T30+'State Appropriations-4Yr'!T30+'Local Appropriations-4Yr'!T30+'Fed Contracts Grnts-4Yr'!T30+'Other Contract Grnts-4Yr'!T30+'Investment Income-4Yr'!T30+'All Other E&amp;G-4Yr'!T30</f>
        <v>630464.29799999995</v>
      </c>
      <c r="U30" s="104">
        <f>+'Tuition-4Yr'!U30+'State Appropriations-4Yr'!U30+'Local Appropriations-4Yr'!U30+'Fed Contracts Grnts-4Yr'!U30+'Other Contract Grnts-4Yr'!U30+'Investment Income-4Yr'!U30+'All Other E&amp;G-4Yr'!U30</f>
        <v>612710.46000000008</v>
      </c>
      <c r="V30" s="104">
        <f>+'Tuition-4Yr'!V30+'State Appropriations-4Yr'!V30+'Local Appropriations-4Yr'!V30+'Fed Contracts Grnts-4Yr'!V30+'Other Contract Grnts-4Yr'!V30+'Investment Income-4Yr'!V30+'All Other E&amp;G-4Yr'!V30</f>
        <v>637300.97999999986</v>
      </c>
      <c r="W30" s="104">
        <f>+'Tuition-4Yr'!W30+'State Appropriations-4Yr'!W30+'Local Appropriations-4Yr'!W30+'Fed Contracts Grnts-4Yr'!W30+'Other Contract Grnts-4Yr'!W30+'Investment Income-4Yr'!W30+'All Other E&amp;G-4Yr'!W30</f>
        <v>724836.50699999998</v>
      </c>
      <c r="X30" s="104">
        <f>+'Tuition-4Yr'!X30+'State Appropriations-4Yr'!X30+'Local Appropriations-4Yr'!X30+'Fed Contracts Grnts-4Yr'!X30+'Other Contract Grnts-4Yr'!X30+'Investment Income-4Yr'!X30+'All Other E&amp;G-4Yr'!X30</f>
        <v>720980.22699999996</v>
      </c>
      <c r="Y30" s="104">
        <f>+'Tuition-4Yr'!Y30+'State Appropriations-4Yr'!Y30+'Local Appropriations-4Yr'!Y30+'Fed Contracts Grnts-4Yr'!Y30+'Other Contract Grnts-4Yr'!Y30+'Investment Income-4Yr'!Y30+'All Other E&amp;G-4Yr'!Y30</f>
        <v>740343.79399999999</v>
      </c>
      <c r="Z30" s="104">
        <f>+'Tuition-4Yr'!Z30+'State Appropriations-4Yr'!Z30+'Local Appropriations-4Yr'!Z30+'Fed Contracts Grnts-4Yr'!Z30+'Other Contract Grnts-4Yr'!Z30+'Investment Income-4Yr'!Z30+'All Other E&amp;G-4Yr'!Z30</f>
        <v>788497.88199999998</v>
      </c>
      <c r="AA30" s="104">
        <f>+'Tuition-4Yr'!AA30+'State Appropriations-4Yr'!AA30+'Local Appropriations-4Yr'!AA30+'Fed Contracts Grnts-4Yr'!AA30+'Other Contract Grnts-4Yr'!AA30+'Investment Income-4Yr'!AA30+'All Other E&amp;G-4Yr'!AA30</f>
        <v>843107.85099999991</v>
      </c>
      <c r="AB30" s="104">
        <f>+'Tuition-4Yr'!AB30+'State Appropriations-4Yr'!AB30+'Local Appropriations-4Yr'!AB30+'Fed Contracts Grnts-4Yr'!AB30+'Other Contract Grnts-4Yr'!AB30+'Investment Income-4Yr'!AB30+'All Other E&amp;G-4Yr'!AB30</f>
        <v>865529.65800000005</v>
      </c>
      <c r="AC30" s="104">
        <f>+'Tuition-4Yr'!AC30+'State Appropriations-4Yr'!AC30+'Local Appropriations-4Yr'!AC30+'Fed Contracts Grnts-4Yr'!AC30+'Other Contract Grnts-4Yr'!AC30+'Investment Income-4Yr'!AC30+'All Other E&amp;G-4Yr'!AC30</f>
        <v>926425</v>
      </c>
      <c r="AD30" s="104">
        <f>+'Tuition-4Yr'!AD30+'State Appropriations-4Yr'!AD30+'Local Appropriations-4Yr'!AD30+'Fed Contracts Grnts-4Yr'!AD30+'Other Contract Grnts-4Yr'!AD30+'Investment Income-4Yr'!AD30+'All Other E&amp;G-4Yr'!AD30</f>
        <v>929187.30700000003</v>
      </c>
      <c r="AE30" s="104">
        <f>+'Tuition-4Yr'!AE30+'State Appropriations-4Yr'!AE30+'Local Appropriations-4Yr'!AE30+'Fed Contracts Grnts-4Yr'!AE30+'Other Contract Grnts-4Yr'!AE30+'Investment Income-4Yr'!AE30+'All Other E&amp;G-4Yr'!AE30</f>
        <v>966355.42299999995</v>
      </c>
      <c r="AF30" s="104">
        <f>+'Tuition-4Yr'!AF30+'State Appropriations-4Yr'!AF30+'Local Appropriations-4Yr'!AF30+'Fed Contracts Grnts-4Yr'!AF30+'Other Contract Grnts-4Yr'!AF30+'Investment Income-4Yr'!AF30+'All Other E&amp;G-4Yr'!AF30</f>
        <v>957101.93800000008</v>
      </c>
      <c r="AG30" s="104">
        <f>+'Tuition-4Yr'!AG30+'State Appropriations-4Yr'!AG30+'Local Appropriations-4Yr'!AG30+'Fed Contracts Grnts-4Yr'!AG30+'Other Contract Grnts-4Yr'!AG30+'Investment Income-4Yr'!AG30+'All Other E&amp;G-4Yr'!AG30</f>
        <v>1009800.613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row>
    <row r="31" spans="1:213" s="65" customFormat="1" ht="12.75" customHeight="1">
      <c r="A31" s="23" t="s">
        <v>124</v>
      </c>
      <c r="B31" s="104">
        <f>+'Tuition-4Yr'!B31+'State Appropriations-4Yr'!B31+'Local Appropriations-4Yr'!B31+'Fed Contracts Grnts-4Yr'!B31+'Other Contract Grnts-4Yr'!B31+'Investment Income-4Yr'!B31+'All Other E&amp;G-4Yr'!B31</f>
        <v>0</v>
      </c>
      <c r="C31" s="104">
        <f>+'Tuition-4Yr'!C31+'State Appropriations-4Yr'!C31+'Local Appropriations-4Yr'!C31+'Fed Contracts Grnts-4Yr'!C31+'Other Contract Grnts-4Yr'!C31+'Investment Income-4Yr'!C31+'All Other E&amp;G-4Yr'!C31</f>
        <v>0</v>
      </c>
      <c r="D31" s="104">
        <f>+'Tuition-4Yr'!D31+'State Appropriations-4Yr'!D31+'Local Appropriations-4Yr'!D31+'Fed Contracts Grnts-4Yr'!D31+'Other Contract Grnts-4Yr'!D31+'Investment Income-4Yr'!D31+'All Other E&amp;G-4Yr'!D31</f>
        <v>0</v>
      </c>
      <c r="E31" s="104">
        <f>+'Tuition-4Yr'!E31+'State Appropriations-4Yr'!E31+'Local Appropriations-4Yr'!E31+'Fed Contracts Grnts-4Yr'!E31+'Other Contract Grnts-4Yr'!E31+'Investment Income-4Yr'!E31+'All Other E&amp;G-4Yr'!E31</f>
        <v>0</v>
      </c>
      <c r="F31" s="104">
        <f>+'Tuition-4Yr'!F31+'State Appropriations-4Yr'!F31+'Local Appropriations-4Yr'!F31+'Fed Contracts Grnts-4Yr'!F31+'Other Contract Grnts-4Yr'!F31+'Investment Income-4Yr'!F31+'All Other E&amp;G-4Yr'!F31</f>
        <v>0</v>
      </c>
      <c r="G31" s="104">
        <f>+'Tuition-4Yr'!G31+'State Appropriations-4Yr'!G31+'Local Appropriations-4Yr'!G31+'Fed Contracts Grnts-4Yr'!G31+'Other Contract Grnts-4Yr'!G31+'Investment Income-4Yr'!G31+'All Other E&amp;G-4Yr'!G31</f>
        <v>0</v>
      </c>
      <c r="H31" s="104">
        <f>+'Tuition-4Yr'!H31+'State Appropriations-4Yr'!H31+'Local Appropriations-4Yr'!H31+'Fed Contracts Grnts-4Yr'!H31+'Other Contract Grnts-4Yr'!H31+'Investment Income-4Yr'!H31+'All Other E&amp;G-4Yr'!H31</f>
        <v>0</v>
      </c>
      <c r="I31" s="104">
        <f>+'Tuition-4Yr'!I31+'State Appropriations-4Yr'!I31+'Local Appropriations-4Yr'!I31+'Fed Contracts Grnts-4Yr'!I31+'Other Contract Grnts-4Yr'!I31+'Investment Income-4Yr'!I31+'All Other E&amp;G-4Yr'!I31</f>
        <v>0</v>
      </c>
      <c r="J31" s="104">
        <f>+'Tuition-4Yr'!J31+'State Appropriations-4Yr'!J31+'Local Appropriations-4Yr'!J31+'Fed Contracts Grnts-4Yr'!J31+'Other Contract Grnts-4Yr'!J31+'Investment Income-4Yr'!J31+'All Other E&amp;G-4Yr'!J31</f>
        <v>252037.79599999997</v>
      </c>
      <c r="K31" s="104">
        <f>+'Tuition-4Yr'!K31+'State Appropriations-4Yr'!K31+'Local Appropriations-4Yr'!K31+'Fed Contracts Grnts-4Yr'!K31+'Other Contract Grnts-4Yr'!K31+'Investment Income-4Yr'!K31+'All Other E&amp;G-4Yr'!K31</f>
        <v>0</v>
      </c>
      <c r="L31" s="104">
        <f>+'Tuition-4Yr'!L31+'State Appropriations-4Yr'!L31+'Local Appropriations-4Yr'!L31+'Fed Contracts Grnts-4Yr'!L31+'Other Contract Grnts-4Yr'!L31+'Investment Income-4Yr'!L31+'All Other E&amp;G-4Yr'!L31</f>
        <v>0</v>
      </c>
      <c r="M31" s="104">
        <f>+'Tuition-4Yr'!M31+'State Appropriations-4Yr'!M31+'Local Appropriations-4Yr'!M31+'Fed Contracts Grnts-4Yr'!M31+'Other Contract Grnts-4Yr'!M31+'Investment Income-4Yr'!M31+'All Other E&amp;G-4Yr'!M31</f>
        <v>293490.88199999998</v>
      </c>
      <c r="N31" s="104">
        <f>+'Tuition-4Yr'!N31+'State Appropriations-4Yr'!N31+'Local Appropriations-4Yr'!N31+'Fed Contracts Grnts-4Yr'!N31+'Other Contract Grnts-4Yr'!N31+'Investment Income-4Yr'!N31+'All Other E&amp;G-4Yr'!N31</f>
        <v>0</v>
      </c>
      <c r="O31" s="104">
        <f>+'Tuition-4Yr'!O31+'State Appropriations-4Yr'!O31+'Local Appropriations-4Yr'!O31+'Fed Contracts Grnts-4Yr'!O31+'Other Contract Grnts-4Yr'!O31+'Investment Income-4Yr'!O31+'All Other E&amp;G-4Yr'!O31</f>
        <v>353858.43400000001</v>
      </c>
      <c r="P31" s="104">
        <f>+'Tuition-4Yr'!P31+'State Appropriations-4Yr'!P31+'Local Appropriations-4Yr'!P31+'Fed Contracts Grnts-4Yr'!P31+'Other Contract Grnts-4Yr'!P31+'Investment Income-4Yr'!P31+'All Other E&amp;G-4Yr'!P31</f>
        <v>0</v>
      </c>
      <c r="Q31" s="104">
        <f>+'Tuition-4Yr'!Q31+'State Appropriations-4Yr'!Q31+'Local Appropriations-4Yr'!Q31+'Fed Contracts Grnts-4Yr'!Q31+'Other Contract Grnts-4Yr'!Q31+'Investment Income-4Yr'!Q31+'All Other E&amp;G-4Yr'!Q31</f>
        <v>0</v>
      </c>
      <c r="R31" s="104">
        <f>+'Tuition-4Yr'!R31+'State Appropriations-4Yr'!R31+'Local Appropriations-4Yr'!R31+'Fed Contracts Grnts-4Yr'!R31+'Other Contract Grnts-4Yr'!R31+'Investment Income-4Yr'!R31+'All Other E&amp;G-4Yr'!R31</f>
        <v>420522.74800000002</v>
      </c>
      <c r="S31" s="104">
        <f>+'Tuition-4Yr'!S31+'State Appropriations-4Yr'!S31+'Local Appropriations-4Yr'!S31+'Fed Contracts Grnts-4Yr'!S31+'Other Contract Grnts-4Yr'!S31+'Investment Income-4Yr'!S31+'All Other E&amp;G-4Yr'!S31</f>
        <v>444526.60599999997</v>
      </c>
      <c r="T31" s="104">
        <f>+'Tuition-4Yr'!T31+'State Appropriations-4Yr'!T31+'Local Appropriations-4Yr'!T31+'Fed Contracts Grnts-4Yr'!T31+'Other Contract Grnts-4Yr'!T31+'Investment Income-4Yr'!T31+'All Other E&amp;G-4Yr'!T31</f>
        <v>489543.93599999999</v>
      </c>
      <c r="U31" s="104">
        <f>+'Tuition-4Yr'!U31+'State Appropriations-4Yr'!U31+'Local Appropriations-4Yr'!U31+'Fed Contracts Grnts-4Yr'!U31+'Other Contract Grnts-4Yr'!U31+'Investment Income-4Yr'!U31+'All Other E&amp;G-4Yr'!U31</f>
        <v>525293.16099999996</v>
      </c>
      <c r="V31" s="104">
        <f>+'Tuition-4Yr'!V31+'State Appropriations-4Yr'!V31+'Local Appropriations-4Yr'!V31+'Fed Contracts Grnts-4Yr'!V31+'Other Contract Grnts-4Yr'!V31+'Investment Income-4Yr'!V31+'All Other E&amp;G-4Yr'!V31</f>
        <v>538415.24600000004</v>
      </c>
      <c r="W31" s="104">
        <f>+'Tuition-4Yr'!W31+'State Appropriations-4Yr'!W31+'Local Appropriations-4Yr'!W31+'Fed Contracts Grnts-4Yr'!W31+'Other Contract Grnts-4Yr'!W31+'Investment Income-4Yr'!W31+'All Other E&amp;G-4Yr'!W31</f>
        <v>603510.61899999995</v>
      </c>
      <c r="X31" s="104">
        <f>+'Tuition-4Yr'!X31+'State Appropriations-4Yr'!X31+'Local Appropriations-4Yr'!X31+'Fed Contracts Grnts-4Yr'!X31+'Other Contract Grnts-4Yr'!X31+'Investment Income-4Yr'!X31+'All Other E&amp;G-4Yr'!X31</f>
        <v>612933.804</v>
      </c>
      <c r="Y31" s="104">
        <f>+'Tuition-4Yr'!Y31+'State Appropriations-4Yr'!Y31+'Local Appropriations-4Yr'!Y31+'Fed Contracts Grnts-4Yr'!Y31+'Other Contract Grnts-4Yr'!Y31+'Investment Income-4Yr'!Y31+'All Other E&amp;G-4Yr'!Y31</f>
        <v>642662.32699999993</v>
      </c>
      <c r="Z31" s="104">
        <f>+'Tuition-4Yr'!Z31+'State Appropriations-4Yr'!Z31+'Local Appropriations-4Yr'!Z31+'Fed Contracts Grnts-4Yr'!Z31+'Other Contract Grnts-4Yr'!Z31+'Investment Income-4Yr'!Z31+'All Other E&amp;G-4Yr'!Z31</f>
        <v>657915.81700000016</v>
      </c>
      <c r="AA31" s="104">
        <f>+'Tuition-4Yr'!AA31+'State Appropriations-4Yr'!AA31+'Local Appropriations-4Yr'!AA31+'Fed Contracts Grnts-4Yr'!AA31+'Other Contract Grnts-4Yr'!AA31+'Investment Income-4Yr'!AA31+'All Other E&amp;G-4Yr'!AA31</f>
        <v>725765.35199999996</v>
      </c>
      <c r="AB31" s="104">
        <f>+'Tuition-4Yr'!AB31+'State Appropriations-4Yr'!AB31+'Local Appropriations-4Yr'!AB31+'Fed Contracts Grnts-4Yr'!AB31+'Other Contract Grnts-4Yr'!AB31+'Investment Income-4Yr'!AB31+'All Other E&amp;G-4Yr'!AB31</f>
        <v>775643.61599999992</v>
      </c>
      <c r="AC31" s="104">
        <f>+'Tuition-4Yr'!AC31+'State Appropriations-4Yr'!AC31+'Local Appropriations-4Yr'!AC31+'Fed Contracts Grnts-4Yr'!AC31+'Other Contract Grnts-4Yr'!AC31+'Investment Income-4Yr'!AC31+'All Other E&amp;G-4Yr'!AC31</f>
        <v>805690</v>
      </c>
      <c r="AD31" s="104">
        <f>+'Tuition-4Yr'!AD31+'State Appropriations-4Yr'!AD31+'Local Appropriations-4Yr'!AD31+'Fed Contracts Grnts-4Yr'!AD31+'Other Contract Grnts-4Yr'!AD31+'Investment Income-4Yr'!AD31+'All Other E&amp;G-4Yr'!AD31</f>
        <v>822457.59100000001</v>
      </c>
      <c r="AE31" s="104">
        <f>+'Tuition-4Yr'!AE31+'State Appropriations-4Yr'!AE31+'Local Appropriations-4Yr'!AE31+'Fed Contracts Grnts-4Yr'!AE31+'Other Contract Grnts-4Yr'!AE31+'Investment Income-4Yr'!AE31+'All Other E&amp;G-4Yr'!AE31</f>
        <v>829971.67</v>
      </c>
      <c r="AF31" s="104">
        <f>+'Tuition-4Yr'!AF31+'State Appropriations-4Yr'!AF31+'Local Appropriations-4Yr'!AF31+'Fed Contracts Grnts-4Yr'!AF31+'Other Contract Grnts-4Yr'!AF31+'Investment Income-4Yr'!AF31+'All Other E&amp;G-4Yr'!AF31</f>
        <v>809204.42099999997</v>
      </c>
      <c r="AG31" s="104">
        <f>+'Tuition-4Yr'!AG31+'State Appropriations-4Yr'!AG31+'Local Appropriations-4Yr'!AG31+'Fed Contracts Grnts-4Yr'!AG31+'Other Contract Grnts-4Yr'!AG31+'Investment Income-4Yr'!AG31+'All Other E&amp;G-4Yr'!AG31</f>
        <v>878339.08299999998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row>
    <row r="32" spans="1:213" s="65" customFormat="1" ht="12.75" customHeight="1">
      <c r="A32" s="23" t="s">
        <v>126</v>
      </c>
      <c r="B32" s="104">
        <f>+'Tuition-4Yr'!B32+'State Appropriations-4Yr'!B32+'Local Appropriations-4Yr'!B32+'Fed Contracts Grnts-4Yr'!B32+'Other Contract Grnts-4Yr'!B32+'Investment Income-4Yr'!B32+'All Other E&amp;G-4Yr'!B32</f>
        <v>0</v>
      </c>
      <c r="C32" s="104">
        <f>+'Tuition-4Yr'!C32+'State Appropriations-4Yr'!C32+'Local Appropriations-4Yr'!C32+'Fed Contracts Grnts-4Yr'!C32+'Other Contract Grnts-4Yr'!C32+'Investment Income-4Yr'!C32+'All Other E&amp;G-4Yr'!C32</f>
        <v>0</v>
      </c>
      <c r="D32" s="104">
        <f>+'Tuition-4Yr'!D32+'State Appropriations-4Yr'!D32+'Local Appropriations-4Yr'!D32+'Fed Contracts Grnts-4Yr'!D32+'Other Contract Grnts-4Yr'!D32+'Investment Income-4Yr'!D32+'All Other E&amp;G-4Yr'!D32</f>
        <v>0</v>
      </c>
      <c r="E32" s="104">
        <f>+'Tuition-4Yr'!E32+'State Appropriations-4Yr'!E32+'Local Appropriations-4Yr'!E32+'Fed Contracts Grnts-4Yr'!E32+'Other Contract Grnts-4Yr'!E32+'Investment Income-4Yr'!E32+'All Other E&amp;G-4Yr'!E32</f>
        <v>0</v>
      </c>
      <c r="F32" s="104">
        <f>+'Tuition-4Yr'!F32+'State Appropriations-4Yr'!F32+'Local Appropriations-4Yr'!F32+'Fed Contracts Grnts-4Yr'!F32+'Other Contract Grnts-4Yr'!F32+'Investment Income-4Yr'!F32+'All Other E&amp;G-4Yr'!F32</f>
        <v>0</v>
      </c>
      <c r="G32" s="104">
        <f>+'Tuition-4Yr'!G32+'State Appropriations-4Yr'!G32+'Local Appropriations-4Yr'!G32+'Fed Contracts Grnts-4Yr'!G32+'Other Contract Grnts-4Yr'!G32+'Investment Income-4Yr'!G32+'All Other E&amp;G-4Yr'!G32</f>
        <v>0</v>
      </c>
      <c r="H32" s="104">
        <f>+'Tuition-4Yr'!H32+'State Appropriations-4Yr'!H32+'Local Appropriations-4Yr'!H32+'Fed Contracts Grnts-4Yr'!H32+'Other Contract Grnts-4Yr'!H32+'Investment Income-4Yr'!H32+'All Other E&amp;G-4Yr'!H32</f>
        <v>0</v>
      </c>
      <c r="I32" s="104">
        <f>+'Tuition-4Yr'!I32+'State Appropriations-4Yr'!I32+'Local Appropriations-4Yr'!I32+'Fed Contracts Grnts-4Yr'!I32+'Other Contract Grnts-4Yr'!I32+'Investment Income-4Yr'!I32+'All Other E&amp;G-4Yr'!I32</f>
        <v>0</v>
      </c>
      <c r="J32" s="104">
        <f>+'Tuition-4Yr'!J32+'State Appropriations-4Yr'!J32+'Local Appropriations-4Yr'!J32+'Fed Contracts Grnts-4Yr'!J32+'Other Contract Grnts-4Yr'!J32+'Investment Income-4Yr'!J32+'All Other E&amp;G-4Yr'!J32</f>
        <v>282632.57900000003</v>
      </c>
      <c r="K32" s="104">
        <f>+'Tuition-4Yr'!K32+'State Appropriations-4Yr'!K32+'Local Appropriations-4Yr'!K32+'Fed Contracts Grnts-4Yr'!K32+'Other Contract Grnts-4Yr'!K32+'Investment Income-4Yr'!K32+'All Other E&amp;G-4Yr'!K32</f>
        <v>0</v>
      </c>
      <c r="L32" s="104">
        <f>+'Tuition-4Yr'!L32+'State Appropriations-4Yr'!L32+'Local Appropriations-4Yr'!L32+'Fed Contracts Grnts-4Yr'!L32+'Other Contract Grnts-4Yr'!L32+'Investment Income-4Yr'!L32+'All Other E&amp;G-4Yr'!L32</f>
        <v>0</v>
      </c>
      <c r="M32" s="104">
        <f>+'Tuition-4Yr'!M32+'State Appropriations-4Yr'!M32+'Local Appropriations-4Yr'!M32+'Fed Contracts Grnts-4Yr'!M32+'Other Contract Grnts-4Yr'!M32+'Investment Income-4Yr'!M32+'All Other E&amp;G-4Yr'!M32</f>
        <v>347688.58400000003</v>
      </c>
      <c r="N32" s="104">
        <f>+'Tuition-4Yr'!N32+'State Appropriations-4Yr'!N32+'Local Appropriations-4Yr'!N32+'Fed Contracts Grnts-4Yr'!N32+'Other Contract Grnts-4Yr'!N32+'Investment Income-4Yr'!N32+'All Other E&amp;G-4Yr'!N32</f>
        <v>0</v>
      </c>
      <c r="O32" s="104">
        <f>+'Tuition-4Yr'!O32+'State Appropriations-4Yr'!O32+'Local Appropriations-4Yr'!O32+'Fed Contracts Grnts-4Yr'!O32+'Other Contract Grnts-4Yr'!O32+'Investment Income-4Yr'!O32+'All Other E&amp;G-4Yr'!O32</f>
        <v>392534.42600000009</v>
      </c>
      <c r="P32" s="104">
        <f>+'Tuition-4Yr'!P32+'State Appropriations-4Yr'!P32+'Local Appropriations-4Yr'!P32+'Fed Contracts Grnts-4Yr'!P32+'Other Contract Grnts-4Yr'!P32+'Investment Income-4Yr'!P32+'All Other E&amp;G-4Yr'!P32</f>
        <v>0</v>
      </c>
      <c r="Q32" s="104">
        <f>+'Tuition-4Yr'!Q32+'State Appropriations-4Yr'!Q32+'Local Appropriations-4Yr'!Q32+'Fed Contracts Grnts-4Yr'!Q32+'Other Contract Grnts-4Yr'!Q32+'Investment Income-4Yr'!Q32+'All Other E&amp;G-4Yr'!Q32</f>
        <v>0</v>
      </c>
      <c r="R32" s="104">
        <f>+'Tuition-4Yr'!R32+'State Appropriations-4Yr'!R32+'Local Appropriations-4Yr'!R32+'Fed Contracts Grnts-4Yr'!R32+'Other Contract Grnts-4Yr'!R32+'Investment Income-4Yr'!R32+'All Other E&amp;G-4Yr'!R32</f>
        <v>475376.56899999996</v>
      </c>
      <c r="S32" s="104">
        <f>+'Tuition-4Yr'!S32+'State Appropriations-4Yr'!S32+'Local Appropriations-4Yr'!S32+'Fed Contracts Grnts-4Yr'!S32+'Other Contract Grnts-4Yr'!S32+'Investment Income-4Yr'!S32+'All Other E&amp;G-4Yr'!S32</f>
        <v>527871.60400000005</v>
      </c>
      <c r="T32" s="104">
        <f>+'Tuition-4Yr'!T32+'State Appropriations-4Yr'!T32+'Local Appropriations-4Yr'!T32+'Fed Contracts Grnts-4Yr'!T32+'Other Contract Grnts-4Yr'!T32+'Investment Income-4Yr'!T32+'All Other E&amp;G-4Yr'!T32</f>
        <v>604488.87700000009</v>
      </c>
      <c r="U32" s="104">
        <f>+'Tuition-4Yr'!U32+'State Appropriations-4Yr'!U32+'Local Appropriations-4Yr'!U32+'Fed Contracts Grnts-4Yr'!U32+'Other Contract Grnts-4Yr'!U32+'Investment Income-4Yr'!U32+'All Other E&amp;G-4Yr'!U32</f>
        <v>642400.19000000006</v>
      </c>
      <c r="V32" s="104">
        <f>+'Tuition-4Yr'!V32+'State Appropriations-4Yr'!V32+'Local Appropriations-4Yr'!V32+'Fed Contracts Grnts-4Yr'!V32+'Other Contract Grnts-4Yr'!V32+'Investment Income-4Yr'!V32+'All Other E&amp;G-4Yr'!V32</f>
        <v>883645.68400000001</v>
      </c>
      <c r="W32" s="104">
        <f>+'Tuition-4Yr'!W32+'State Appropriations-4Yr'!W32+'Local Appropriations-4Yr'!W32+'Fed Contracts Grnts-4Yr'!W32+'Other Contract Grnts-4Yr'!W32+'Investment Income-4Yr'!W32+'All Other E&amp;G-4Yr'!W32</f>
        <v>1000894.023</v>
      </c>
      <c r="X32" s="104">
        <f>+'Tuition-4Yr'!X32+'State Appropriations-4Yr'!X32+'Local Appropriations-4Yr'!X32+'Fed Contracts Grnts-4Yr'!X32+'Other Contract Grnts-4Yr'!X32+'Investment Income-4Yr'!X32+'All Other E&amp;G-4Yr'!X32</f>
        <v>1084128.523</v>
      </c>
      <c r="Y32" s="104">
        <f>+'Tuition-4Yr'!Y32+'State Appropriations-4Yr'!Y32+'Local Appropriations-4Yr'!Y32+'Fed Contracts Grnts-4Yr'!Y32+'Other Contract Grnts-4Yr'!Y32+'Investment Income-4Yr'!Y32+'All Other E&amp;G-4Yr'!Y32</f>
        <v>1167448.4800000002</v>
      </c>
      <c r="Z32" s="104">
        <f>+'Tuition-4Yr'!Z32+'State Appropriations-4Yr'!Z32+'Local Appropriations-4Yr'!Z32+'Fed Contracts Grnts-4Yr'!Z32+'Other Contract Grnts-4Yr'!Z32+'Investment Income-4Yr'!Z32+'All Other E&amp;G-4Yr'!Z32</f>
        <v>1208514.1339999998</v>
      </c>
      <c r="AA32" s="104">
        <f>+'Tuition-4Yr'!AA32+'State Appropriations-4Yr'!AA32+'Local Appropriations-4Yr'!AA32+'Fed Contracts Grnts-4Yr'!AA32+'Other Contract Grnts-4Yr'!AA32+'Investment Income-4Yr'!AA32+'All Other E&amp;G-4Yr'!AA32</f>
        <v>997015.10100000014</v>
      </c>
      <c r="AB32" s="104">
        <f>+'Tuition-4Yr'!AB32+'State Appropriations-4Yr'!AB32+'Local Appropriations-4Yr'!AB32+'Fed Contracts Grnts-4Yr'!AB32+'Other Contract Grnts-4Yr'!AB32+'Investment Income-4Yr'!AB32+'All Other E&amp;G-4Yr'!AB32</f>
        <v>1062123.2510000002</v>
      </c>
      <c r="AC32" s="104">
        <f>+'Tuition-4Yr'!AC32+'State Appropriations-4Yr'!AC32+'Local Appropriations-4Yr'!AC32+'Fed Contracts Grnts-4Yr'!AC32+'Other Contract Grnts-4Yr'!AC32+'Investment Income-4Yr'!AC32+'All Other E&amp;G-4Yr'!AC32</f>
        <v>1087636</v>
      </c>
      <c r="AD32" s="104">
        <f>+'Tuition-4Yr'!AD32+'State Appropriations-4Yr'!AD32+'Local Appropriations-4Yr'!AD32+'Fed Contracts Grnts-4Yr'!AD32+'Other Contract Grnts-4Yr'!AD32+'Investment Income-4Yr'!AD32+'All Other E&amp;G-4Yr'!AD32</f>
        <v>991272.79099999997</v>
      </c>
      <c r="AE32" s="104">
        <f>+'Tuition-4Yr'!AE32+'State Appropriations-4Yr'!AE32+'Local Appropriations-4Yr'!AE32+'Fed Contracts Grnts-4Yr'!AE32+'Other Contract Grnts-4Yr'!AE32+'Investment Income-4Yr'!AE32+'All Other E&amp;G-4Yr'!AE32</f>
        <v>1116342.118</v>
      </c>
      <c r="AF32" s="104">
        <f>+'Tuition-4Yr'!AF32+'State Appropriations-4Yr'!AF32+'Local Appropriations-4Yr'!AF32+'Fed Contracts Grnts-4Yr'!AF32+'Other Contract Grnts-4Yr'!AF32+'Investment Income-4Yr'!AF32+'All Other E&amp;G-4Yr'!AF32</f>
        <v>1109254.4569999999</v>
      </c>
      <c r="AG32" s="104">
        <f>+'Tuition-4Yr'!AG32+'State Appropriations-4Yr'!AG32+'Local Appropriations-4Yr'!AG32+'Fed Contracts Grnts-4Yr'!AG32+'Other Contract Grnts-4Yr'!AG32+'Investment Income-4Yr'!AG32+'All Other E&amp;G-4Yr'!AG32</f>
        <v>1144367.3219999999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row>
    <row r="33" spans="1:213" s="65" customFormat="1" ht="12.75" customHeight="1">
      <c r="A33" s="23" t="s">
        <v>129</v>
      </c>
      <c r="B33" s="104">
        <f>+'Tuition-4Yr'!B33+'State Appropriations-4Yr'!B33+'Local Appropriations-4Yr'!B33+'Fed Contracts Grnts-4Yr'!B33+'Other Contract Grnts-4Yr'!B33+'Investment Income-4Yr'!B33+'All Other E&amp;G-4Yr'!B33</f>
        <v>0</v>
      </c>
      <c r="C33" s="104">
        <f>+'Tuition-4Yr'!C33+'State Appropriations-4Yr'!C33+'Local Appropriations-4Yr'!C33+'Fed Contracts Grnts-4Yr'!C33+'Other Contract Grnts-4Yr'!C33+'Investment Income-4Yr'!C33+'All Other E&amp;G-4Yr'!C33</f>
        <v>0</v>
      </c>
      <c r="D33" s="104">
        <f>+'Tuition-4Yr'!D33+'State Appropriations-4Yr'!D33+'Local Appropriations-4Yr'!D33+'Fed Contracts Grnts-4Yr'!D33+'Other Contract Grnts-4Yr'!D33+'Investment Income-4Yr'!D33+'All Other E&amp;G-4Yr'!D33</f>
        <v>0</v>
      </c>
      <c r="E33" s="104">
        <f>+'Tuition-4Yr'!E33+'State Appropriations-4Yr'!E33+'Local Appropriations-4Yr'!E33+'Fed Contracts Grnts-4Yr'!E33+'Other Contract Grnts-4Yr'!E33+'Investment Income-4Yr'!E33+'All Other E&amp;G-4Yr'!E33</f>
        <v>0</v>
      </c>
      <c r="F33" s="104">
        <f>+'Tuition-4Yr'!F33+'State Appropriations-4Yr'!F33+'Local Appropriations-4Yr'!F33+'Fed Contracts Grnts-4Yr'!F33+'Other Contract Grnts-4Yr'!F33+'Investment Income-4Yr'!F33+'All Other E&amp;G-4Yr'!F33</f>
        <v>0</v>
      </c>
      <c r="G33" s="104">
        <f>+'Tuition-4Yr'!G33+'State Appropriations-4Yr'!G33+'Local Appropriations-4Yr'!G33+'Fed Contracts Grnts-4Yr'!G33+'Other Contract Grnts-4Yr'!G33+'Investment Income-4Yr'!G33+'All Other E&amp;G-4Yr'!G33</f>
        <v>0</v>
      </c>
      <c r="H33" s="104">
        <f>+'Tuition-4Yr'!H33+'State Appropriations-4Yr'!H33+'Local Appropriations-4Yr'!H33+'Fed Contracts Grnts-4Yr'!H33+'Other Contract Grnts-4Yr'!H33+'Investment Income-4Yr'!H33+'All Other E&amp;G-4Yr'!H33</f>
        <v>0</v>
      </c>
      <c r="I33" s="104">
        <f>+'Tuition-4Yr'!I33+'State Appropriations-4Yr'!I33+'Local Appropriations-4Yr'!I33+'Fed Contracts Grnts-4Yr'!I33+'Other Contract Grnts-4Yr'!I33+'Investment Income-4Yr'!I33+'All Other E&amp;G-4Yr'!I33</f>
        <v>0</v>
      </c>
      <c r="J33" s="104">
        <f>+'Tuition-4Yr'!J33+'State Appropriations-4Yr'!J33+'Local Appropriations-4Yr'!J33+'Fed Contracts Grnts-4Yr'!J33+'Other Contract Grnts-4Yr'!J33+'Investment Income-4Yr'!J33+'All Other E&amp;G-4Yr'!J33</f>
        <v>706673.53200000001</v>
      </c>
      <c r="K33" s="104">
        <f>+'Tuition-4Yr'!K33+'State Appropriations-4Yr'!K33+'Local Appropriations-4Yr'!K33+'Fed Contracts Grnts-4Yr'!K33+'Other Contract Grnts-4Yr'!K33+'Investment Income-4Yr'!K33+'All Other E&amp;G-4Yr'!K33</f>
        <v>0</v>
      </c>
      <c r="L33" s="104">
        <f>+'Tuition-4Yr'!L33+'State Appropriations-4Yr'!L33+'Local Appropriations-4Yr'!L33+'Fed Contracts Grnts-4Yr'!L33+'Other Contract Grnts-4Yr'!L33+'Investment Income-4Yr'!L33+'All Other E&amp;G-4Yr'!L33</f>
        <v>0</v>
      </c>
      <c r="M33" s="104">
        <f>+'Tuition-4Yr'!M33+'State Appropriations-4Yr'!M33+'Local Appropriations-4Yr'!M33+'Fed Contracts Grnts-4Yr'!M33+'Other Contract Grnts-4Yr'!M33+'Investment Income-4Yr'!M33+'All Other E&amp;G-4Yr'!M33</f>
        <v>793843.18</v>
      </c>
      <c r="N33" s="104">
        <f>+'Tuition-4Yr'!N33+'State Appropriations-4Yr'!N33+'Local Appropriations-4Yr'!N33+'Fed Contracts Grnts-4Yr'!N33+'Other Contract Grnts-4Yr'!N33+'Investment Income-4Yr'!N33+'All Other E&amp;G-4Yr'!N33</f>
        <v>0</v>
      </c>
      <c r="O33" s="104">
        <f>+'Tuition-4Yr'!O33+'State Appropriations-4Yr'!O33+'Local Appropriations-4Yr'!O33+'Fed Contracts Grnts-4Yr'!O33+'Other Contract Grnts-4Yr'!O33+'Investment Income-4Yr'!O33+'All Other E&amp;G-4Yr'!O33</f>
        <v>940614.19431999989</v>
      </c>
      <c r="P33" s="104">
        <f>+'Tuition-4Yr'!P33+'State Appropriations-4Yr'!P33+'Local Appropriations-4Yr'!P33+'Fed Contracts Grnts-4Yr'!P33+'Other Contract Grnts-4Yr'!P33+'Investment Income-4Yr'!P33+'All Other E&amp;G-4Yr'!P33</f>
        <v>0</v>
      </c>
      <c r="Q33" s="104">
        <f>+'Tuition-4Yr'!Q33+'State Appropriations-4Yr'!Q33+'Local Appropriations-4Yr'!Q33+'Fed Contracts Grnts-4Yr'!Q33+'Other Contract Grnts-4Yr'!Q33+'Investment Income-4Yr'!Q33+'All Other E&amp;G-4Yr'!Q33</f>
        <v>0</v>
      </c>
      <c r="R33" s="104">
        <f>+'Tuition-4Yr'!R33+'State Appropriations-4Yr'!R33+'Local Appropriations-4Yr'!R33+'Fed Contracts Grnts-4Yr'!R33+'Other Contract Grnts-4Yr'!R33+'Investment Income-4Yr'!R33+'All Other E&amp;G-4Yr'!R33</f>
        <v>1094147.7039999999</v>
      </c>
      <c r="S33" s="104">
        <f>+'Tuition-4Yr'!S33+'State Appropriations-4Yr'!S33+'Local Appropriations-4Yr'!S33+'Fed Contracts Grnts-4Yr'!S33+'Other Contract Grnts-4Yr'!S33+'Investment Income-4Yr'!S33+'All Other E&amp;G-4Yr'!S33</f>
        <v>1091128.9620000001</v>
      </c>
      <c r="T33" s="104">
        <f>+'Tuition-4Yr'!T33+'State Appropriations-4Yr'!T33+'Local Appropriations-4Yr'!T33+'Fed Contracts Grnts-4Yr'!T33+'Other Contract Grnts-4Yr'!T33+'Investment Income-4Yr'!T33+'All Other E&amp;G-4Yr'!T33</f>
        <v>1166687.2379999999</v>
      </c>
      <c r="U33" s="104">
        <f>+'Tuition-4Yr'!U33+'State Appropriations-4Yr'!U33+'Local Appropriations-4Yr'!U33+'Fed Contracts Grnts-4Yr'!U33+'Other Contract Grnts-4Yr'!U33+'Investment Income-4Yr'!U33+'All Other E&amp;G-4Yr'!U33</f>
        <v>1248177.9980000004</v>
      </c>
      <c r="V33" s="104">
        <f>+'Tuition-4Yr'!V33+'State Appropriations-4Yr'!V33+'Local Appropriations-4Yr'!V33+'Fed Contracts Grnts-4Yr'!V33+'Other Contract Grnts-4Yr'!V33+'Investment Income-4Yr'!V33+'All Other E&amp;G-4Yr'!V33</f>
        <v>1326240.3729999999</v>
      </c>
      <c r="W33" s="104">
        <f>+'Tuition-4Yr'!W33+'State Appropriations-4Yr'!W33+'Local Appropriations-4Yr'!W33+'Fed Contracts Grnts-4Yr'!W33+'Other Contract Grnts-4Yr'!W33+'Investment Income-4Yr'!W33+'All Other E&amp;G-4Yr'!W33</f>
        <v>1461411.298</v>
      </c>
      <c r="X33" s="104">
        <f>+'Tuition-4Yr'!X33+'State Appropriations-4Yr'!X33+'Local Appropriations-4Yr'!X33+'Fed Contracts Grnts-4Yr'!X33+'Other Contract Grnts-4Yr'!X33+'Investment Income-4Yr'!X33+'All Other E&amp;G-4Yr'!X33</f>
        <v>1527424.3190000001</v>
      </c>
      <c r="Y33" s="104">
        <f>+'Tuition-4Yr'!Y33+'State Appropriations-4Yr'!Y33+'Local Appropriations-4Yr'!Y33+'Fed Contracts Grnts-4Yr'!Y33+'Other Contract Grnts-4Yr'!Y33+'Investment Income-4Yr'!Y33+'All Other E&amp;G-4Yr'!Y33</f>
        <v>1654289.9580000001</v>
      </c>
      <c r="Z33" s="104">
        <f>+'Tuition-4Yr'!Z33+'State Appropriations-4Yr'!Z33+'Local Appropriations-4Yr'!Z33+'Fed Contracts Grnts-4Yr'!Z33+'Other Contract Grnts-4Yr'!Z33+'Investment Income-4Yr'!Z33+'All Other E&amp;G-4Yr'!Z33</f>
        <v>1728677.0019999999</v>
      </c>
      <c r="AA33" s="104">
        <f>+'Tuition-4Yr'!AA33+'State Appropriations-4Yr'!AA33+'Local Appropriations-4Yr'!AA33+'Fed Contracts Grnts-4Yr'!AA33+'Other Contract Grnts-4Yr'!AA33+'Investment Income-4Yr'!AA33+'All Other E&amp;G-4Yr'!AA33</f>
        <v>1631042.4680000001</v>
      </c>
      <c r="AB33" s="104">
        <f>+'Tuition-4Yr'!AB33+'State Appropriations-4Yr'!AB33+'Local Appropriations-4Yr'!AB33+'Fed Contracts Grnts-4Yr'!AB33+'Other Contract Grnts-4Yr'!AB33+'Investment Income-4Yr'!AB33+'All Other E&amp;G-4Yr'!AB33</f>
        <v>1858112.5409999997</v>
      </c>
      <c r="AC33" s="104">
        <f>+'Tuition-4Yr'!AC33+'State Appropriations-4Yr'!AC33+'Local Appropriations-4Yr'!AC33+'Fed Contracts Grnts-4Yr'!AC33+'Other Contract Grnts-4Yr'!AC33+'Investment Income-4Yr'!AC33+'All Other E&amp;G-4Yr'!AC33</f>
        <v>2004660</v>
      </c>
      <c r="AD33" s="104">
        <f>+'Tuition-4Yr'!AD33+'State Appropriations-4Yr'!AD33+'Local Appropriations-4Yr'!AD33+'Fed Contracts Grnts-4Yr'!AD33+'Other Contract Grnts-4Yr'!AD33+'Investment Income-4Yr'!AD33+'All Other E&amp;G-4Yr'!AD33</f>
        <v>1855707.2030000002</v>
      </c>
      <c r="AE33" s="104">
        <f>+'Tuition-4Yr'!AE33+'State Appropriations-4Yr'!AE33+'Local Appropriations-4Yr'!AE33+'Fed Contracts Grnts-4Yr'!AE33+'Other Contract Grnts-4Yr'!AE33+'Investment Income-4Yr'!AE33+'All Other E&amp;G-4Yr'!AE33</f>
        <v>1940743.504</v>
      </c>
      <c r="AF33" s="104">
        <f>+'Tuition-4Yr'!AF33+'State Appropriations-4Yr'!AF33+'Local Appropriations-4Yr'!AF33+'Fed Contracts Grnts-4Yr'!AF33+'Other Contract Grnts-4Yr'!AF33+'Investment Income-4Yr'!AF33+'All Other E&amp;G-4Yr'!AF33</f>
        <v>2033069.1089999997</v>
      </c>
      <c r="AG33" s="104">
        <f>+'Tuition-4Yr'!AG33+'State Appropriations-4Yr'!AG33+'Local Appropriations-4Yr'!AG33+'Fed Contracts Grnts-4Yr'!AG33+'Other Contract Grnts-4Yr'!AG33+'Investment Income-4Yr'!AG33+'All Other E&amp;G-4Yr'!AG33</f>
        <v>1998611.33</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row>
    <row r="34" spans="1:213" s="65" customFormat="1" ht="12.75" customHeight="1">
      <c r="A34" s="23" t="s">
        <v>133</v>
      </c>
      <c r="B34" s="104">
        <f>+'Tuition-4Yr'!B34+'State Appropriations-4Yr'!B34+'Local Appropriations-4Yr'!B34+'Fed Contracts Grnts-4Yr'!B34+'Other Contract Grnts-4Yr'!B34+'Investment Income-4Yr'!B34+'All Other E&amp;G-4Yr'!B34</f>
        <v>0</v>
      </c>
      <c r="C34" s="104">
        <f>+'Tuition-4Yr'!C34+'State Appropriations-4Yr'!C34+'Local Appropriations-4Yr'!C34+'Fed Contracts Grnts-4Yr'!C34+'Other Contract Grnts-4Yr'!C34+'Investment Income-4Yr'!C34+'All Other E&amp;G-4Yr'!C34</f>
        <v>0</v>
      </c>
      <c r="D34" s="104">
        <f>+'Tuition-4Yr'!D34+'State Appropriations-4Yr'!D34+'Local Appropriations-4Yr'!D34+'Fed Contracts Grnts-4Yr'!D34+'Other Contract Grnts-4Yr'!D34+'Investment Income-4Yr'!D34+'All Other E&amp;G-4Yr'!D34</f>
        <v>0</v>
      </c>
      <c r="E34" s="104">
        <f>+'Tuition-4Yr'!E34+'State Appropriations-4Yr'!E34+'Local Appropriations-4Yr'!E34+'Fed Contracts Grnts-4Yr'!E34+'Other Contract Grnts-4Yr'!E34+'Investment Income-4Yr'!E34+'All Other E&amp;G-4Yr'!E34</f>
        <v>0</v>
      </c>
      <c r="F34" s="104">
        <f>+'Tuition-4Yr'!F34+'State Appropriations-4Yr'!F34+'Local Appropriations-4Yr'!F34+'Fed Contracts Grnts-4Yr'!F34+'Other Contract Grnts-4Yr'!F34+'Investment Income-4Yr'!F34+'All Other E&amp;G-4Yr'!F34</f>
        <v>0</v>
      </c>
      <c r="G34" s="104">
        <f>+'Tuition-4Yr'!G34+'State Appropriations-4Yr'!G34+'Local Appropriations-4Yr'!G34+'Fed Contracts Grnts-4Yr'!G34+'Other Contract Grnts-4Yr'!G34+'Investment Income-4Yr'!G34+'All Other E&amp;G-4Yr'!G34</f>
        <v>0</v>
      </c>
      <c r="H34" s="104">
        <f>+'Tuition-4Yr'!H34+'State Appropriations-4Yr'!H34+'Local Appropriations-4Yr'!H34+'Fed Contracts Grnts-4Yr'!H34+'Other Contract Grnts-4Yr'!H34+'Investment Income-4Yr'!H34+'All Other E&amp;G-4Yr'!H34</f>
        <v>0</v>
      </c>
      <c r="I34" s="104">
        <f>+'Tuition-4Yr'!I34+'State Appropriations-4Yr'!I34+'Local Appropriations-4Yr'!I34+'Fed Contracts Grnts-4Yr'!I34+'Other Contract Grnts-4Yr'!I34+'Investment Income-4Yr'!I34+'All Other E&amp;G-4Yr'!I34</f>
        <v>0</v>
      </c>
      <c r="J34" s="104">
        <f>+'Tuition-4Yr'!J34+'State Appropriations-4Yr'!J34+'Local Appropriations-4Yr'!J34+'Fed Contracts Grnts-4Yr'!J34+'Other Contract Grnts-4Yr'!J34+'Investment Income-4Yr'!J34+'All Other E&amp;G-4Yr'!J34</f>
        <v>800827.02499999991</v>
      </c>
      <c r="K34" s="104">
        <f>+'Tuition-4Yr'!K34+'State Appropriations-4Yr'!K34+'Local Appropriations-4Yr'!K34+'Fed Contracts Grnts-4Yr'!K34+'Other Contract Grnts-4Yr'!K34+'Investment Income-4Yr'!K34+'All Other E&amp;G-4Yr'!K34</f>
        <v>0</v>
      </c>
      <c r="L34" s="104">
        <f>+'Tuition-4Yr'!L34+'State Appropriations-4Yr'!L34+'Local Appropriations-4Yr'!L34+'Fed Contracts Grnts-4Yr'!L34+'Other Contract Grnts-4Yr'!L34+'Investment Income-4Yr'!L34+'All Other E&amp;G-4Yr'!L34</f>
        <v>0</v>
      </c>
      <c r="M34" s="104">
        <f>+'Tuition-4Yr'!M34+'State Appropriations-4Yr'!M34+'Local Appropriations-4Yr'!M34+'Fed Contracts Grnts-4Yr'!M34+'Other Contract Grnts-4Yr'!M34+'Investment Income-4Yr'!M34+'All Other E&amp;G-4Yr'!M34</f>
        <v>936140.29899999988</v>
      </c>
      <c r="N34" s="104">
        <f>+'Tuition-4Yr'!N34+'State Appropriations-4Yr'!N34+'Local Appropriations-4Yr'!N34+'Fed Contracts Grnts-4Yr'!N34+'Other Contract Grnts-4Yr'!N34+'Investment Income-4Yr'!N34+'All Other E&amp;G-4Yr'!N34</f>
        <v>0</v>
      </c>
      <c r="O34" s="104">
        <f>+'Tuition-4Yr'!O34+'State Appropriations-4Yr'!O34+'Local Appropriations-4Yr'!O34+'Fed Contracts Grnts-4Yr'!O34+'Other Contract Grnts-4Yr'!O34+'Investment Income-4Yr'!O34+'All Other E&amp;G-4Yr'!O34</f>
        <v>1070804.1639999999</v>
      </c>
      <c r="P34" s="104">
        <f>+'Tuition-4Yr'!P34+'State Appropriations-4Yr'!P34+'Local Appropriations-4Yr'!P34+'Fed Contracts Grnts-4Yr'!P34+'Other Contract Grnts-4Yr'!P34+'Investment Income-4Yr'!P34+'All Other E&amp;G-4Yr'!P34</f>
        <v>0</v>
      </c>
      <c r="Q34" s="104">
        <f>+'Tuition-4Yr'!Q34+'State Appropriations-4Yr'!Q34+'Local Appropriations-4Yr'!Q34+'Fed Contracts Grnts-4Yr'!Q34+'Other Contract Grnts-4Yr'!Q34+'Investment Income-4Yr'!Q34+'All Other E&amp;G-4Yr'!Q34</f>
        <v>0</v>
      </c>
      <c r="R34" s="104">
        <f>+'Tuition-4Yr'!R34+'State Appropriations-4Yr'!R34+'Local Appropriations-4Yr'!R34+'Fed Contracts Grnts-4Yr'!R34+'Other Contract Grnts-4Yr'!R34+'Investment Income-4Yr'!R34+'All Other E&amp;G-4Yr'!R34</f>
        <v>1371811.8020000001</v>
      </c>
      <c r="S34" s="104">
        <f>+'Tuition-4Yr'!S34+'State Appropriations-4Yr'!S34+'Local Appropriations-4Yr'!S34+'Fed Contracts Grnts-4Yr'!S34+'Other Contract Grnts-4Yr'!S34+'Investment Income-4Yr'!S34+'All Other E&amp;G-4Yr'!S34</f>
        <v>1470766.7410000002</v>
      </c>
      <c r="T34" s="104">
        <f>+'Tuition-4Yr'!T34+'State Appropriations-4Yr'!T34+'Local Appropriations-4Yr'!T34+'Fed Contracts Grnts-4Yr'!T34+'Other Contract Grnts-4Yr'!T34+'Investment Income-4Yr'!T34+'All Other E&amp;G-4Yr'!T34</f>
        <v>1770621.9270000001</v>
      </c>
      <c r="U34" s="104">
        <f>+'Tuition-4Yr'!U34+'State Appropriations-4Yr'!U34+'Local Appropriations-4Yr'!U34+'Fed Contracts Grnts-4Yr'!U34+'Other Contract Grnts-4Yr'!U34+'Investment Income-4Yr'!U34+'All Other E&amp;G-4Yr'!U34</f>
        <v>1786280.3729999999</v>
      </c>
      <c r="V34" s="104">
        <f>+'Tuition-4Yr'!V34+'State Appropriations-4Yr'!V34+'Local Appropriations-4Yr'!V34+'Fed Contracts Grnts-4Yr'!V34+'Other Contract Grnts-4Yr'!V34+'Investment Income-4Yr'!V34+'All Other E&amp;G-4Yr'!V34</f>
        <v>1796700.3330000001</v>
      </c>
      <c r="W34" s="104">
        <f>+'Tuition-4Yr'!W34+'State Appropriations-4Yr'!W34+'Local Appropriations-4Yr'!W34+'Fed Contracts Grnts-4Yr'!W34+'Other Contract Grnts-4Yr'!W34+'Investment Income-4Yr'!W34+'All Other E&amp;G-4Yr'!W34</f>
        <v>2022075.06</v>
      </c>
      <c r="X34" s="104">
        <f>+'Tuition-4Yr'!X34+'State Appropriations-4Yr'!X34+'Local Appropriations-4Yr'!X34+'Fed Contracts Grnts-4Yr'!X34+'Other Contract Grnts-4Yr'!X34+'Investment Income-4Yr'!X34+'All Other E&amp;G-4Yr'!X34</f>
        <v>2051916.371</v>
      </c>
      <c r="Y34" s="104">
        <f>+'Tuition-4Yr'!Y34+'State Appropriations-4Yr'!Y34+'Local Appropriations-4Yr'!Y34+'Fed Contracts Grnts-4Yr'!Y34+'Other Contract Grnts-4Yr'!Y34+'Investment Income-4Yr'!Y34+'All Other E&amp;G-4Yr'!Y34</f>
        <v>2164957.2539999997</v>
      </c>
      <c r="Z34" s="104">
        <f>+'Tuition-4Yr'!Z34+'State Appropriations-4Yr'!Z34+'Local Appropriations-4Yr'!Z34+'Fed Contracts Grnts-4Yr'!Z34+'Other Contract Grnts-4Yr'!Z34+'Investment Income-4Yr'!Z34+'All Other E&amp;G-4Yr'!Z34</f>
        <v>2112240.0520000001</v>
      </c>
      <c r="AA34" s="104">
        <f>+'Tuition-4Yr'!AA34+'State Appropriations-4Yr'!AA34+'Local Appropriations-4Yr'!AA34+'Fed Contracts Grnts-4Yr'!AA34+'Other Contract Grnts-4Yr'!AA34+'Investment Income-4Yr'!AA34+'All Other E&amp;G-4Yr'!AA34</f>
        <v>1603832.4520000003</v>
      </c>
      <c r="AB34" s="104">
        <f>+'Tuition-4Yr'!AB34+'State Appropriations-4Yr'!AB34+'Local Appropriations-4Yr'!AB34+'Fed Contracts Grnts-4Yr'!AB34+'Other Contract Grnts-4Yr'!AB34+'Investment Income-4Yr'!AB34+'All Other E&amp;G-4Yr'!AB34</f>
        <v>2540240.7160000005</v>
      </c>
      <c r="AC34" s="104">
        <f>+'Tuition-4Yr'!AC34+'State Appropriations-4Yr'!AC34+'Local Appropriations-4Yr'!AC34+'Fed Contracts Grnts-4Yr'!AC34+'Other Contract Grnts-4Yr'!AC34+'Investment Income-4Yr'!AC34+'All Other E&amp;G-4Yr'!AC34</f>
        <v>2733871</v>
      </c>
      <c r="AD34" s="104">
        <f>+'Tuition-4Yr'!AD34+'State Appropriations-4Yr'!AD34+'Local Appropriations-4Yr'!AD34+'Fed Contracts Grnts-4Yr'!AD34+'Other Contract Grnts-4Yr'!AD34+'Investment Income-4Yr'!AD34+'All Other E&amp;G-4Yr'!AD34</f>
        <v>2652235.1070000003</v>
      </c>
      <c r="AE34" s="104">
        <f>+'Tuition-4Yr'!AE34+'State Appropriations-4Yr'!AE34+'Local Appropriations-4Yr'!AE34+'Fed Contracts Grnts-4Yr'!AE34+'Other Contract Grnts-4Yr'!AE34+'Investment Income-4Yr'!AE34+'All Other E&amp;G-4Yr'!AE34</f>
        <v>2867178.1130000004</v>
      </c>
      <c r="AF34" s="104">
        <f>+'Tuition-4Yr'!AF34+'State Appropriations-4Yr'!AF34+'Local Appropriations-4Yr'!AF34+'Fed Contracts Grnts-4Yr'!AF34+'Other Contract Grnts-4Yr'!AF34+'Investment Income-4Yr'!AF34+'All Other E&amp;G-4Yr'!AF34</f>
        <v>2940257.4560000002</v>
      </c>
      <c r="AG34" s="104">
        <f>+'Tuition-4Yr'!AG34+'State Appropriations-4Yr'!AG34+'Local Appropriations-4Yr'!AG34+'Fed Contracts Grnts-4Yr'!AG34+'Other Contract Grnts-4Yr'!AG34+'Investment Income-4Yr'!AG34+'All Other E&amp;G-4Yr'!AG34</f>
        <v>3482457.8629999999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row>
    <row r="35" spans="1:213" s="65" customFormat="1" ht="12.75" customHeight="1">
      <c r="A35" s="23" t="s">
        <v>137</v>
      </c>
      <c r="B35" s="104">
        <f>+'Tuition-4Yr'!B35+'State Appropriations-4Yr'!B35+'Local Appropriations-4Yr'!B35+'Fed Contracts Grnts-4Yr'!B35+'Other Contract Grnts-4Yr'!B35+'Investment Income-4Yr'!B35+'All Other E&amp;G-4Yr'!B35</f>
        <v>0</v>
      </c>
      <c r="C35" s="104">
        <f>+'Tuition-4Yr'!C35+'State Appropriations-4Yr'!C35+'Local Appropriations-4Yr'!C35+'Fed Contracts Grnts-4Yr'!C35+'Other Contract Grnts-4Yr'!C35+'Investment Income-4Yr'!C35+'All Other E&amp;G-4Yr'!C35</f>
        <v>0</v>
      </c>
      <c r="D35" s="104">
        <f>+'Tuition-4Yr'!D35+'State Appropriations-4Yr'!D35+'Local Appropriations-4Yr'!D35+'Fed Contracts Grnts-4Yr'!D35+'Other Contract Grnts-4Yr'!D35+'Investment Income-4Yr'!D35+'All Other E&amp;G-4Yr'!D35</f>
        <v>0</v>
      </c>
      <c r="E35" s="104">
        <f>+'Tuition-4Yr'!E35+'State Appropriations-4Yr'!E35+'Local Appropriations-4Yr'!E35+'Fed Contracts Grnts-4Yr'!E35+'Other Contract Grnts-4Yr'!E35+'Investment Income-4Yr'!E35+'All Other E&amp;G-4Yr'!E35</f>
        <v>0</v>
      </c>
      <c r="F35" s="104">
        <f>+'Tuition-4Yr'!F35+'State Appropriations-4Yr'!F35+'Local Appropriations-4Yr'!F35+'Fed Contracts Grnts-4Yr'!F35+'Other Contract Grnts-4Yr'!F35+'Investment Income-4Yr'!F35+'All Other E&amp;G-4Yr'!F35</f>
        <v>0</v>
      </c>
      <c r="G35" s="104">
        <f>+'Tuition-4Yr'!G35+'State Appropriations-4Yr'!G35+'Local Appropriations-4Yr'!G35+'Fed Contracts Grnts-4Yr'!G35+'Other Contract Grnts-4Yr'!G35+'Investment Income-4Yr'!G35+'All Other E&amp;G-4Yr'!G35</f>
        <v>0</v>
      </c>
      <c r="H35" s="104">
        <f>+'Tuition-4Yr'!H35+'State Appropriations-4Yr'!H35+'Local Appropriations-4Yr'!H35+'Fed Contracts Grnts-4Yr'!H35+'Other Contract Grnts-4Yr'!H35+'Investment Income-4Yr'!H35+'All Other E&amp;G-4Yr'!H35</f>
        <v>0</v>
      </c>
      <c r="I35" s="104">
        <f>+'Tuition-4Yr'!I35+'State Appropriations-4Yr'!I35+'Local Appropriations-4Yr'!I35+'Fed Contracts Grnts-4Yr'!I35+'Other Contract Grnts-4Yr'!I35+'Investment Income-4Yr'!I35+'All Other E&amp;G-4Yr'!I35</f>
        <v>0</v>
      </c>
      <c r="J35" s="104">
        <f>+'Tuition-4Yr'!J35+'State Appropriations-4Yr'!J35+'Local Appropriations-4Yr'!J35+'Fed Contracts Grnts-4Yr'!J35+'Other Contract Grnts-4Yr'!J35+'Investment Income-4Yr'!J35+'All Other E&amp;G-4Yr'!J35</f>
        <v>778974.66500000004</v>
      </c>
      <c r="K35" s="104">
        <f>+'Tuition-4Yr'!K35+'State Appropriations-4Yr'!K35+'Local Appropriations-4Yr'!K35+'Fed Contracts Grnts-4Yr'!K35+'Other Contract Grnts-4Yr'!K35+'Investment Income-4Yr'!K35+'All Other E&amp;G-4Yr'!K35</f>
        <v>0</v>
      </c>
      <c r="L35" s="104">
        <f>+'Tuition-4Yr'!L35+'State Appropriations-4Yr'!L35+'Local Appropriations-4Yr'!L35+'Fed Contracts Grnts-4Yr'!L35+'Other Contract Grnts-4Yr'!L35+'Investment Income-4Yr'!L35+'All Other E&amp;G-4Yr'!L35</f>
        <v>0</v>
      </c>
      <c r="M35" s="104">
        <f>+'Tuition-4Yr'!M35+'State Appropriations-4Yr'!M35+'Local Appropriations-4Yr'!M35+'Fed Contracts Grnts-4Yr'!M35+'Other Contract Grnts-4Yr'!M35+'Investment Income-4Yr'!M35+'All Other E&amp;G-4Yr'!M35</f>
        <v>948018.43199999991</v>
      </c>
      <c r="N35" s="104">
        <f>+'Tuition-4Yr'!N35+'State Appropriations-4Yr'!N35+'Local Appropriations-4Yr'!N35+'Fed Contracts Grnts-4Yr'!N35+'Other Contract Grnts-4Yr'!N35+'Investment Income-4Yr'!N35+'All Other E&amp;G-4Yr'!N35</f>
        <v>0</v>
      </c>
      <c r="O35" s="104">
        <f>+'Tuition-4Yr'!O35+'State Appropriations-4Yr'!O35+'Local Appropriations-4Yr'!O35+'Fed Contracts Grnts-4Yr'!O35+'Other Contract Grnts-4Yr'!O35+'Investment Income-4Yr'!O35+'All Other E&amp;G-4Yr'!O35</f>
        <v>1073113.1170000001</v>
      </c>
      <c r="P35" s="104">
        <f>+'Tuition-4Yr'!P35+'State Appropriations-4Yr'!P35+'Local Appropriations-4Yr'!P35+'Fed Contracts Grnts-4Yr'!P35+'Other Contract Grnts-4Yr'!P35+'Investment Income-4Yr'!P35+'All Other E&amp;G-4Yr'!P35</f>
        <v>0</v>
      </c>
      <c r="Q35" s="104">
        <f>+'Tuition-4Yr'!Q35+'State Appropriations-4Yr'!Q35+'Local Appropriations-4Yr'!Q35+'Fed Contracts Grnts-4Yr'!Q35+'Other Contract Grnts-4Yr'!Q35+'Investment Income-4Yr'!Q35+'All Other E&amp;G-4Yr'!Q35</f>
        <v>0</v>
      </c>
      <c r="R35" s="104">
        <f>+'Tuition-4Yr'!R35+'State Appropriations-4Yr'!R35+'Local Appropriations-4Yr'!R35+'Fed Contracts Grnts-4Yr'!R35+'Other Contract Grnts-4Yr'!R35+'Investment Income-4Yr'!R35+'All Other E&amp;G-4Yr'!R35</f>
        <v>1356331.9370000002</v>
      </c>
      <c r="S35" s="104">
        <f>+'Tuition-4Yr'!S35+'State Appropriations-4Yr'!S35+'Local Appropriations-4Yr'!S35+'Fed Contracts Grnts-4Yr'!S35+'Other Contract Grnts-4Yr'!S35+'Investment Income-4Yr'!S35+'All Other E&amp;G-4Yr'!S35</f>
        <v>1473378.5249999999</v>
      </c>
      <c r="T35" s="104">
        <f>+'Tuition-4Yr'!T35+'State Appropriations-4Yr'!T35+'Local Appropriations-4Yr'!T35+'Fed Contracts Grnts-4Yr'!T35+'Other Contract Grnts-4Yr'!T35+'Investment Income-4Yr'!T35+'All Other E&amp;G-4Yr'!T35</f>
        <v>1698289.31</v>
      </c>
      <c r="U35" s="104">
        <f>+'Tuition-4Yr'!U35+'State Appropriations-4Yr'!U35+'Local Appropriations-4Yr'!U35+'Fed Contracts Grnts-4Yr'!U35+'Other Contract Grnts-4Yr'!U35+'Investment Income-4Yr'!U35+'All Other E&amp;G-4Yr'!U35</f>
        <v>1744261.9110000001</v>
      </c>
      <c r="V35" s="104">
        <f>+'Tuition-4Yr'!V35+'State Appropriations-4Yr'!V35+'Local Appropriations-4Yr'!V35+'Fed Contracts Grnts-4Yr'!V35+'Other Contract Grnts-4Yr'!V35+'Investment Income-4Yr'!V35+'All Other E&amp;G-4Yr'!V35</f>
        <v>1735731.1310000001</v>
      </c>
      <c r="W35" s="104">
        <f>+'Tuition-4Yr'!W35+'State Appropriations-4Yr'!W35+'Local Appropriations-4Yr'!W35+'Fed Contracts Grnts-4Yr'!W35+'Other Contract Grnts-4Yr'!W35+'Investment Income-4Yr'!W35+'All Other E&amp;G-4Yr'!W35</f>
        <v>1970105.8890000002</v>
      </c>
      <c r="X35" s="104">
        <f>+'Tuition-4Yr'!X35+'State Appropriations-4Yr'!X35+'Local Appropriations-4Yr'!X35+'Fed Contracts Grnts-4Yr'!X35+'Other Contract Grnts-4Yr'!X35+'Investment Income-4Yr'!X35+'All Other E&amp;G-4Yr'!X35</f>
        <v>2060409.9539999999</v>
      </c>
      <c r="Y35" s="104">
        <f>+'Tuition-4Yr'!Y35+'State Appropriations-4Yr'!Y35+'Local Appropriations-4Yr'!Y35+'Fed Contracts Grnts-4Yr'!Y35+'Other Contract Grnts-4Yr'!Y35+'Investment Income-4Yr'!Y35+'All Other E&amp;G-4Yr'!Y35</f>
        <v>2291900.7369999997</v>
      </c>
      <c r="Z35" s="104">
        <f>+'Tuition-4Yr'!Z35+'State Appropriations-4Yr'!Z35+'Local Appropriations-4Yr'!Z35+'Fed Contracts Grnts-4Yr'!Z35+'Other Contract Grnts-4Yr'!Z35+'Investment Income-4Yr'!Z35+'All Other E&amp;G-4Yr'!Z35</f>
        <v>1804248.2119999998</v>
      </c>
      <c r="AA35" s="104">
        <f>+'Tuition-4Yr'!AA35+'State Appropriations-4Yr'!AA35+'Local Appropriations-4Yr'!AA35+'Fed Contracts Grnts-4Yr'!AA35+'Other Contract Grnts-4Yr'!AA35+'Investment Income-4Yr'!AA35+'All Other E&amp;G-4Yr'!AA35</f>
        <v>1790092.7470000002</v>
      </c>
      <c r="AB35" s="104">
        <f>+'Tuition-4Yr'!AB35+'State Appropriations-4Yr'!AB35+'Local Appropriations-4Yr'!AB35+'Fed Contracts Grnts-4Yr'!AB35+'Other Contract Grnts-4Yr'!AB35+'Investment Income-4Yr'!AB35+'All Other E&amp;G-4Yr'!AB35</f>
        <v>2281032.7590000001</v>
      </c>
      <c r="AC35" s="104">
        <f>+'Tuition-4Yr'!AC35+'State Appropriations-4Yr'!AC35+'Local Appropriations-4Yr'!AC35+'Fed Contracts Grnts-4Yr'!AC35+'Other Contract Grnts-4Yr'!AC35+'Investment Income-4Yr'!AC35+'All Other E&amp;G-4Yr'!AC35</f>
        <v>2572961</v>
      </c>
      <c r="AD35" s="104">
        <f>+'Tuition-4Yr'!AD35+'State Appropriations-4Yr'!AD35+'Local Appropriations-4Yr'!AD35+'Fed Contracts Grnts-4Yr'!AD35+'Other Contract Grnts-4Yr'!AD35+'Investment Income-4Yr'!AD35+'All Other E&amp;G-4Yr'!AD35</f>
        <v>2580612.0529999998</v>
      </c>
      <c r="AE35" s="104">
        <f>+'Tuition-4Yr'!AE35+'State Appropriations-4Yr'!AE35+'Local Appropriations-4Yr'!AE35+'Fed Contracts Grnts-4Yr'!AE35+'Other Contract Grnts-4Yr'!AE35+'Investment Income-4Yr'!AE35+'All Other E&amp;G-4Yr'!AE35</f>
        <v>2622290.4139999999</v>
      </c>
      <c r="AF35" s="104">
        <f>+'Tuition-4Yr'!AF35+'State Appropriations-4Yr'!AF35+'Local Appropriations-4Yr'!AF35+'Fed Contracts Grnts-4Yr'!AF35+'Other Contract Grnts-4Yr'!AF35+'Investment Income-4Yr'!AF35+'All Other E&amp;G-4Yr'!AF35</f>
        <v>2493310.0989999999</v>
      </c>
      <c r="AG35" s="104">
        <f>+'Tuition-4Yr'!AG35+'State Appropriations-4Yr'!AG35+'Local Appropriations-4Yr'!AG35+'Fed Contracts Grnts-4Yr'!AG35+'Other Contract Grnts-4Yr'!AG35+'Investment Income-4Yr'!AG35+'All Other E&amp;G-4Yr'!AG35</f>
        <v>2908807.7059999998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row>
    <row r="36" spans="1:213" s="65" customFormat="1" ht="12.75" customHeight="1">
      <c r="A36" s="23" t="s">
        <v>139</v>
      </c>
      <c r="B36" s="104">
        <f>+'Tuition-4Yr'!B36+'State Appropriations-4Yr'!B36+'Local Appropriations-4Yr'!B36+'Fed Contracts Grnts-4Yr'!B36+'Other Contract Grnts-4Yr'!B36+'Investment Income-4Yr'!B36+'All Other E&amp;G-4Yr'!B36</f>
        <v>0</v>
      </c>
      <c r="C36" s="104">
        <f>+'Tuition-4Yr'!C36+'State Appropriations-4Yr'!C36+'Local Appropriations-4Yr'!C36+'Fed Contracts Grnts-4Yr'!C36+'Other Contract Grnts-4Yr'!C36+'Investment Income-4Yr'!C36+'All Other E&amp;G-4Yr'!C36</f>
        <v>0</v>
      </c>
      <c r="D36" s="104">
        <f>+'Tuition-4Yr'!D36+'State Appropriations-4Yr'!D36+'Local Appropriations-4Yr'!D36+'Fed Contracts Grnts-4Yr'!D36+'Other Contract Grnts-4Yr'!D36+'Investment Income-4Yr'!D36+'All Other E&amp;G-4Yr'!D36</f>
        <v>0</v>
      </c>
      <c r="E36" s="104">
        <f>+'Tuition-4Yr'!E36+'State Appropriations-4Yr'!E36+'Local Appropriations-4Yr'!E36+'Fed Contracts Grnts-4Yr'!E36+'Other Contract Grnts-4Yr'!E36+'Investment Income-4Yr'!E36+'All Other E&amp;G-4Yr'!E36</f>
        <v>0</v>
      </c>
      <c r="F36" s="104">
        <f>+'Tuition-4Yr'!F36+'State Appropriations-4Yr'!F36+'Local Appropriations-4Yr'!F36+'Fed Contracts Grnts-4Yr'!F36+'Other Contract Grnts-4Yr'!F36+'Investment Income-4Yr'!F36+'All Other E&amp;G-4Yr'!F36</f>
        <v>0</v>
      </c>
      <c r="G36" s="104">
        <f>+'Tuition-4Yr'!G36+'State Appropriations-4Yr'!G36+'Local Appropriations-4Yr'!G36+'Fed Contracts Grnts-4Yr'!G36+'Other Contract Grnts-4Yr'!G36+'Investment Income-4Yr'!G36+'All Other E&amp;G-4Yr'!G36</f>
        <v>0</v>
      </c>
      <c r="H36" s="104">
        <f>+'Tuition-4Yr'!H36+'State Appropriations-4Yr'!H36+'Local Appropriations-4Yr'!H36+'Fed Contracts Grnts-4Yr'!H36+'Other Contract Grnts-4Yr'!H36+'Investment Income-4Yr'!H36+'All Other E&amp;G-4Yr'!H36</f>
        <v>0</v>
      </c>
      <c r="I36" s="104">
        <f>+'Tuition-4Yr'!I36+'State Appropriations-4Yr'!I36+'Local Appropriations-4Yr'!I36+'Fed Contracts Grnts-4Yr'!I36+'Other Contract Grnts-4Yr'!I36+'Investment Income-4Yr'!I36+'All Other E&amp;G-4Yr'!I36</f>
        <v>0</v>
      </c>
      <c r="J36" s="104">
        <f>+'Tuition-4Yr'!J36+'State Appropriations-4Yr'!J36+'Local Appropriations-4Yr'!J36+'Fed Contracts Grnts-4Yr'!J36+'Other Contract Grnts-4Yr'!J36+'Investment Income-4Yr'!J36+'All Other E&amp;G-4Yr'!J36</f>
        <v>1449324.959</v>
      </c>
      <c r="K36" s="104">
        <f>+'Tuition-4Yr'!K36+'State Appropriations-4Yr'!K36+'Local Appropriations-4Yr'!K36+'Fed Contracts Grnts-4Yr'!K36+'Other Contract Grnts-4Yr'!K36+'Investment Income-4Yr'!K36+'All Other E&amp;G-4Yr'!K36</f>
        <v>0</v>
      </c>
      <c r="L36" s="104">
        <f>+'Tuition-4Yr'!L36+'State Appropriations-4Yr'!L36+'Local Appropriations-4Yr'!L36+'Fed Contracts Grnts-4Yr'!L36+'Other Contract Grnts-4Yr'!L36+'Investment Income-4Yr'!L36+'All Other E&amp;G-4Yr'!L36</f>
        <v>0</v>
      </c>
      <c r="M36" s="104">
        <f>+'Tuition-4Yr'!M36+'State Appropriations-4Yr'!M36+'Local Appropriations-4Yr'!M36+'Fed Contracts Grnts-4Yr'!M36+'Other Contract Grnts-4Yr'!M36+'Investment Income-4Yr'!M36+'All Other E&amp;G-4Yr'!M36</f>
        <v>1641674.9749999999</v>
      </c>
      <c r="N36" s="104">
        <f>+'Tuition-4Yr'!N36+'State Appropriations-4Yr'!N36+'Local Appropriations-4Yr'!N36+'Fed Contracts Grnts-4Yr'!N36+'Other Contract Grnts-4Yr'!N36+'Investment Income-4Yr'!N36+'All Other E&amp;G-4Yr'!N36</f>
        <v>0</v>
      </c>
      <c r="O36" s="104">
        <f>+'Tuition-4Yr'!O36+'State Appropriations-4Yr'!O36+'Local Appropriations-4Yr'!O36+'Fed Contracts Grnts-4Yr'!O36+'Other Contract Grnts-4Yr'!O36+'Investment Income-4Yr'!O36+'All Other E&amp;G-4Yr'!O36</f>
        <v>1828690.692</v>
      </c>
      <c r="P36" s="104">
        <f>+'Tuition-4Yr'!P36+'State Appropriations-4Yr'!P36+'Local Appropriations-4Yr'!P36+'Fed Contracts Grnts-4Yr'!P36+'Other Contract Grnts-4Yr'!P36+'Investment Income-4Yr'!P36+'All Other E&amp;G-4Yr'!P36</f>
        <v>0</v>
      </c>
      <c r="Q36" s="104">
        <f>+'Tuition-4Yr'!Q36+'State Appropriations-4Yr'!Q36+'Local Appropriations-4Yr'!Q36+'Fed Contracts Grnts-4Yr'!Q36+'Other Contract Grnts-4Yr'!Q36+'Investment Income-4Yr'!Q36+'All Other E&amp;G-4Yr'!Q36</f>
        <v>0</v>
      </c>
      <c r="R36" s="104">
        <f>+'Tuition-4Yr'!R36+'State Appropriations-4Yr'!R36+'Local Appropriations-4Yr'!R36+'Fed Contracts Grnts-4Yr'!R36+'Other Contract Grnts-4Yr'!R36+'Investment Income-4Yr'!R36+'All Other E&amp;G-4Yr'!R36</f>
        <v>2185718.8760000002</v>
      </c>
      <c r="S36" s="104">
        <f>+'Tuition-4Yr'!S36+'State Appropriations-4Yr'!S36+'Local Appropriations-4Yr'!S36+'Fed Contracts Grnts-4Yr'!S36+'Other Contract Grnts-4Yr'!S36+'Investment Income-4Yr'!S36+'All Other E&amp;G-4Yr'!S36</f>
        <v>2335603.787</v>
      </c>
      <c r="T36" s="104">
        <f>+'Tuition-4Yr'!T36+'State Appropriations-4Yr'!T36+'Local Appropriations-4Yr'!T36+'Fed Contracts Grnts-4Yr'!T36+'Other Contract Grnts-4Yr'!T36+'Investment Income-4Yr'!T36+'All Other E&amp;G-4Yr'!T36</f>
        <v>2613017.0719999997</v>
      </c>
      <c r="U36" s="104">
        <f>+'Tuition-4Yr'!U36+'State Appropriations-4Yr'!U36+'Local Appropriations-4Yr'!U36+'Fed Contracts Grnts-4Yr'!U36+'Other Contract Grnts-4Yr'!U36+'Investment Income-4Yr'!U36+'All Other E&amp;G-4Yr'!U36</f>
        <v>2810653.5</v>
      </c>
      <c r="V36" s="104">
        <f>+'Tuition-4Yr'!V36+'State Appropriations-4Yr'!V36+'Local Appropriations-4Yr'!V36+'Fed Contracts Grnts-4Yr'!V36+'Other Contract Grnts-4Yr'!V36+'Investment Income-4Yr'!V36+'All Other E&amp;G-4Yr'!V36</f>
        <v>2936988.713</v>
      </c>
      <c r="W36" s="104">
        <f>+'Tuition-4Yr'!W36+'State Appropriations-4Yr'!W36+'Local Appropriations-4Yr'!W36+'Fed Contracts Grnts-4Yr'!W36+'Other Contract Grnts-4Yr'!W36+'Investment Income-4Yr'!W36+'All Other E&amp;G-4Yr'!W36</f>
        <v>3242127.2210000004</v>
      </c>
      <c r="X36" s="104">
        <f>+'Tuition-4Yr'!X36+'State Appropriations-4Yr'!X36+'Local Appropriations-4Yr'!X36+'Fed Contracts Grnts-4Yr'!X36+'Other Contract Grnts-4Yr'!X36+'Investment Income-4Yr'!X36+'All Other E&amp;G-4Yr'!X36</f>
        <v>3366192.1140000001</v>
      </c>
      <c r="Y36" s="104">
        <f>+'Tuition-4Yr'!Y36+'State Appropriations-4Yr'!Y36+'Local Appropriations-4Yr'!Y36+'Fed Contracts Grnts-4Yr'!Y36+'Other Contract Grnts-4Yr'!Y36+'Investment Income-4Yr'!Y36+'All Other E&amp;G-4Yr'!Y36</f>
        <v>3984046.1469999999</v>
      </c>
      <c r="Z36" s="104">
        <f>+'Tuition-4Yr'!Z36+'State Appropriations-4Yr'!Z36+'Local Appropriations-4Yr'!Z36+'Fed Contracts Grnts-4Yr'!Z36+'Other Contract Grnts-4Yr'!Z36+'Investment Income-4Yr'!Z36+'All Other E&amp;G-4Yr'!Z36</f>
        <v>3744542.0110000004</v>
      </c>
      <c r="AA36" s="104">
        <f>+'Tuition-4Yr'!AA36+'State Appropriations-4Yr'!AA36+'Local Appropriations-4Yr'!AA36+'Fed Contracts Grnts-4Yr'!AA36+'Other Contract Grnts-4Yr'!AA36+'Investment Income-4Yr'!AA36+'All Other E&amp;G-4Yr'!AA36</f>
        <v>3226517.6249999995</v>
      </c>
      <c r="AB36" s="104">
        <f>+'Tuition-4Yr'!AB36+'State Appropriations-4Yr'!AB36+'Local Appropriations-4Yr'!AB36+'Fed Contracts Grnts-4Yr'!AB36+'Other Contract Grnts-4Yr'!AB36+'Investment Income-4Yr'!AB36+'All Other E&amp;G-4Yr'!AB36</f>
        <v>4258564.6179999998</v>
      </c>
      <c r="AC36" s="104">
        <f>+'Tuition-4Yr'!AC36+'State Appropriations-4Yr'!AC36+'Local Appropriations-4Yr'!AC36+'Fed Contracts Grnts-4Yr'!AC36+'Other Contract Grnts-4Yr'!AC36+'Investment Income-4Yr'!AC36+'All Other E&amp;G-4Yr'!AC36</f>
        <v>4643208</v>
      </c>
      <c r="AD36" s="104">
        <f>+'Tuition-4Yr'!AD36+'State Appropriations-4Yr'!AD36+'Local Appropriations-4Yr'!AD36+'Fed Contracts Grnts-4Yr'!AD36+'Other Contract Grnts-4Yr'!AD36+'Investment Income-4Yr'!AD36+'All Other E&amp;G-4Yr'!AD36</f>
        <v>4347845.5060000001</v>
      </c>
      <c r="AE36" s="104">
        <f>+'Tuition-4Yr'!AE36+'State Appropriations-4Yr'!AE36+'Local Appropriations-4Yr'!AE36+'Fed Contracts Grnts-4Yr'!AE36+'Other Contract Grnts-4Yr'!AE36+'Investment Income-4Yr'!AE36+'All Other E&amp;G-4Yr'!AE36</f>
        <v>4955914.648</v>
      </c>
      <c r="AF36" s="104">
        <f>+'Tuition-4Yr'!AF36+'State Appropriations-4Yr'!AF36+'Local Appropriations-4Yr'!AF36+'Fed Contracts Grnts-4Yr'!AF36+'Other Contract Grnts-4Yr'!AF36+'Investment Income-4Yr'!AF36+'All Other E&amp;G-4Yr'!AF36</f>
        <v>5073762.3020000001</v>
      </c>
      <c r="AG36" s="104">
        <f>+'Tuition-4Yr'!AG36+'State Appropriations-4Yr'!AG36+'Local Appropriations-4Yr'!AG36+'Fed Contracts Grnts-4Yr'!AG36+'Other Contract Grnts-4Yr'!AG36+'Investment Income-4Yr'!AG36+'All Other E&amp;G-4Yr'!AG36</f>
        <v>5117333.5450000009</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row>
    <row r="37" spans="1:213" s="65" customFormat="1" ht="12.75" customHeight="1">
      <c r="A37" s="94" t="s">
        <v>141</v>
      </c>
      <c r="B37" s="105">
        <f>+'Tuition-4Yr'!B37+'State Appropriations-4Yr'!B37+'Local Appropriations-4Yr'!B37+'Fed Contracts Grnts-4Yr'!B37+'Other Contract Grnts-4Yr'!B37+'Investment Income-4Yr'!B37+'All Other E&amp;G-4Yr'!B37</f>
        <v>0</v>
      </c>
      <c r="C37" s="105">
        <f>+'Tuition-4Yr'!C37+'State Appropriations-4Yr'!C37+'Local Appropriations-4Yr'!C37+'Fed Contracts Grnts-4Yr'!C37+'Other Contract Grnts-4Yr'!C37+'Investment Income-4Yr'!C37+'All Other E&amp;G-4Yr'!C37</f>
        <v>0</v>
      </c>
      <c r="D37" s="105">
        <f>+'Tuition-4Yr'!D37+'State Appropriations-4Yr'!D37+'Local Appropriations-4Yr'!D37+'Fed Contracts Grnts-4Yr'!D37+'Other Contract Grnts-4Yr'!D37+'Investment Income-4Yr'!D37+'All Other E&amp;G-4Yr'!D37</f>
        <v>0</v>
      </c>
      <c r="E37" s="105">
        <f>+'Tuition-4Yr'!E37+'State Appropriations-4Yr'!E37+'Local Appropriations-4Yr'!E37+'Fed Contracts Grnts-4Yr'!E37+'Other Contract Grnts-4Yr'!E37+'Investment Income-4Yr'!E37+'All Other E&amp;G-4Yr'!E37</f>
        <v>0</v>
      </c>
      <c r="F37" s="105">
        <f>+'Tuition-4Yr'!F37+'State Appropriations-4Yr'!F37+'Local Appropriations-4Yr'!F37+'Fed Contracts Grnts-4Yr'!F37+'Other Contract Grnts-4Yr'!F37+'Investment Income-4Yr'!F37+'All Other E&amp;G-4Yr'!F37</f>
        <v>0</v>
      </c>
      <c r="G37" s="105">
        <f>+'Tuition-4Yr'!G37+'State Appropriations-4Yr'!G37+'Local Appropriations-4Yr'!G37+'Fed Contracts Grnts-4Yr'!G37+'Other Contract Grnts-4Yr'!G37+'Investment Income-4Yr'!G37+'All Other E&amp;G-4Yr'!G37</f>
        <v>0</v>
      </c>
      <c r="H37" s="105">
        <f>+'Tuition-4Yr'!H37+'State Appropriations-4Yr'!H37+'Local Appropriations-4Yr'!H37+'Fed Contracts Grnts-4Yr'!H37+'Other Contract Grnts-4Yr'!H37+'Investment Income-4Yr'!H37+'All Other E&amp;G-4Yr'!H37</f>
        <v>0</v>
      </c>
      <c r="I37" s="105">
        <f>+'Tuition-4Yr'!I37+'State Appropriations-4Yr'!I37+'Local Appropriations-4Yr'!I37+'Fed Contracts Grnts-4Yr'!I37+'Other Contract Grnts-4Yr'!I37+'Investment Income-4Yr'!I37+'All Other E&amp;G-4Yr'!I37</f>
        <v>0</v>
      </c>
      <c r="J37" s="105">
        <f>+'Tuition-4Yr'!J37+'State Appropriations-4Yr'!J37+'Local Appropriations-4Yr'!J37+'Fed Contracts Grnts-4Yr'!J37+'Other Contract Grnts-4Yr'!J37+'Investment Income-4Yr'!J37+'All Other E&amp;G-4Yr'!J37</f>
        <v>160266.74200000003</v>
      </c>
      <c r="K37" s="105">
        <f>+'Tuition-4Yr'!K37+'State Appropriations-4Yr'!K37+'Local Appropriations-4Yr'!K37+'Fed Contracts Grnts-4Yr'!K37+'Other Contract Grnts-4Yr'!K37+'Investment Income-4Yr'!K37+'All Other E&amp;G-4Yr'!K37</f>
        <v>0</v>
      </c>
      <c r="L37" s="105">
        <f>+'Tuition-4Yr'!L37+'State Appropriations-4Yr'!L37+'Local Appropriations-4Yr'!L37+'Fed Contracts Grnts-4Yr'!L37+'Other Contract Grnts-4Yr'!L37+'Investment Income-4Yr'!L37+'All Other E&amp;G-4Yr'!L37</f>
        <v>0</v>
      </c>
      <c r="M37" s="105">
        <f>+'Tuition-4Yr'!M37+'State Appropriations-4Yr'!M37+'Local Appropriations-4Yr'!M37+'Fed Contracts Grnts-4Yr'!M37+'Other Contract Grnts-4Yr'!M37+'Investment Income-4Yr'!M37+'All Other E&amp;G-4Yr'!M37</f>
        <v>179092.647</v>
      </c>
      <c r="N37" s="105">
        <f>+'Tuition-4Yr'!N37+'State Appropriations-4Yr'!N37+'Local Appropriations-4Yr'!N37+'Fed Contracts Grnts-4Yr'!N37+'Other Contract Grnts-4Yr'!N37+'Investment Income-4Yr'!N37+'All Other E&amp;G-4Yr'!N37</f>
        <v>0</v>
      </c>
      <c r="O37" s="105">
        <f>+'Tuition-4Yr'!O37+'State Appropriations-4Yr'!O37+'Local Appropriations-4Yr'!O37+'Fed Contracts Grnts-4Yr'!O37+'Other Contract Grnts-4Yr'!O37+'Investment Income-4Yr'!O37+'All Other E&amp;G-4Yr'!O37</f>
        <v>184786.26</v>
      </c>
      <c r="P37" s="105">
        <f>+'Tuition-4Yr'!P37+'State Appropriations-4Yr'!P37+'Local Appropriations-4Yr'!P37+'Fed Contracts Grnts-4Yr'!P37+'Other Contract Grnts-4Yr'!P37+'Investment Income-4Yr'!P37+'All Other E&amp;G-4Yr'!P37</f>
        <v>0</v>
      </c>
      <c r="Q37" s="105">
        <f>+'Tuition-4Yr'!Q37+'State Appropriations-4Yr'!Q37+'Local Appropriations-4Yr'!Q37+'Fed Contracts Grnts-4Yr'!Q37+'Other Contract Grnts-4Yr'!Q37+'Investment Income-4Yr'!Q37+'All Other E&amp;G-4Yr'!Q37</f>
        <v>0</v>
      </c>
      <c r="R37" s="105">
        <f>+'Tuition-4Yr'!R37+'State Appropriations-4Yr'!R37+'Local Appropriations-4Yr'!R37+'Fed Contracts Grnts-4Yr'!R37+'Other Contract Grnts-4Yr'!R37+'Investment Income-4Yr'!R37+'All Other E&amp;G-4Yr'!R37</f>
        <v>206781.40900000001</v>
      </c>
      <c r="S37" s="105">
        <f>+'Tuition-4Yr'!S37+'State Appropriations-4Yr'!S37+'Local Appropriations-4Yr'!S37+'Fed Contracts Grnts-4Yr'!S37+'Other Contract Grnts-4Yr'!S37+'Investment Income-4Yr'!S37+'All Other E&amp;G-4Yr'!S37</f>
        <v>230118.079</v>
      </c>
      <c r="T37" s="105">
        <f>+'Tuition-4Yr'!T37+'State Appropriations-4Yr'!T37+'Local Appropriations-4Yr'!T37+'Fed Contracts Grnts-4Yr'!T37+'Other Contract Grnts-4Yr'!T37+'Investment Income-4Yr'!T37+'All Other E&amp;G-4Yr'!T37</f>
        <v>227814.65800000002</v>
      </c>
      <c r="U37" s="105">
        <f>+'Tuition-4Yr'!U37+'State Appropriations-4Yr'!U37+'Local Appropriations-4Yr'!U37+'Fed Contracts Grnts-4Yr'!U37+'Other Contract Grnts-4Yr'!U37+'Investment Income-4Yr'!U37+'All Other E&amp;G-4Yr'!U37</f>
        <v>247752.78699999995</v>
      </c>
      <c r="V37" s="105">
        <f>+'Tuition-4Yr'!V37+'State Appropriations-4Yr'!V37+'Local Appropriations-4Yr'!V37+'Fed Contracts Grnts-4Yr'!V37+'Other Contract Grnts-4Yr'!V37+'Investment Income-4Yr'!V37+'All Other E&amp;G-4Yr'!V37</f>
        <v>267877.71000000002</v>
      </c>
      <c r="W37" s="105">
        <f>+'Tuition-4Yr'!W37+'State Appropriations-4Yr'!W37+'Local Appropriations-4Yr'!W37+'Fed Contracts Grnts-4Yr'!W37+'Other Contract Grnts-4Yr'!W37+'Investment Income-4Yr'!W37+'All Other E&amp;G-4Yr'!W37</f>
        <v>296570.5</v>
      </c>
      <c r="X37" s="105">
        <f>+'Tuition-4Yr'!X37+'State Appropriations-4Yr'!X37+'Local Appropriations-4Yr'!X37+'Fed Contracts Grnts-4Yr'!X37+'Other Contract Grnts-4Yr'!X37+'Investment Income-4Yr'!X37+'All Other E&amp;G-4Yr'!X37</f>
        <v>306881.67700000003</v>
      </c>
      <c r="Y37" s="105">
        <f>+'Tuition-4Yr'!Y37+'State Appropriations-4Yr'!Y37+'Local Appropriations-4Yr'!Y37+'Fed Contracts Grnts-4Yr'!Y37+'Other Contract Grnts-4Yr'!Y37+'Investment Income-4Yr'!Y37+'All Other E&amp;G-4Yr'!Y37</f>
        <v>349355.54599999997</v>
      </c>
      <c r="Z37" s="105">
        <f>+'Tuition-4Yr'!Z37+'State Appropriations-4Yr'!Z37+'Local Appropriations-4Yr'!Z37+'Fed Contracts Grnts-4Yr'!Z37+'Other Contract Grnts-4Yr'!Z37+'Investment Income-4Yr'!Z37+'All Other E&amp;G-4Yr'!Z37</f>
        <v>346559.26699999999</v>
      </c>
      <c r="AA37" s="105">
        <f>+'Tuition-4Yr'!AA37+'State Appropriations-4Yr'!AA37+'Local Appropriations-4Yr'!AA37+'Fed Contracts Grnts-4Yr'!AA37+'Other Contract Grnts-4Yr'!AA37+'Investment Income-4Yr'!AA37+'All Other E&amp;G-4Yr'!AA37</f>
        <v>362807.21400000004</v>
      </c>
      <c r="AB37" s="105">
        <f>+'Tuition-4Yr'!AB37+'State Appropriations-4Yr'!AB37+'Local Appropriations-4Yr'!AB37+'Fed Contracts Grnts-4Yr'!AB37+'Other Contract Grnts-4Yr'!AB37+'Investment Income-4Yr'!AB37+'All Other E&amp;G-4Yr'!AB37</f>
        <v>429552.50899999996</v>
      </c>
      <c r="AC37" s="105">
        <f>+'Tuition-4Yr'!AC37+'State Appropriations-4Yr'!AC37+'Local Appropriations-4Yr'!AC37+'Fed Contracts Grnts-4Yr'!AC37+'Other Contract Grnts-4Yr'!AC37+'Investment Income-4Yr'!AC37+'All Other E&amp;G-4Yr'!AC37</f>
        <v>490896</v>
      </c>
      <c r="AD37" s="105">
        <f>+'Tuition-4Yr'!AD37+'State Appropriations-4Yr'!AD37+'Local Appropriations-4Yr'!AD37+'Fed Contracts Grnts-4Yr'!AD37+'Other Contract Grnts-4Yr'!AD37+'Investment Income-4Yr'!AD37+'All Other E&amp;G-4Yr'!AD37</f>
        <v>472465.804</v>
      </c>
      <c r="AE37" s="105">
        <f>+'Tuition-4Yr'!AE37+'State Appropriations-4Yr'!AE37+'Local Appropriations-4Yr'!AE37+'Fed Contracts Grnts-4Yr'!AE37+'Other Contract Grnts-4Yr'!AE37+'Investment Income-4Yr'!AE37+'All Other E&amp;G-4Yr'!AE37</f>
        <v>503678.14799999999</v>
      </c>
      <c r="AF37" s="105">
        <f>+'Tuition-4Yr'!AF37+'State Appropriations-4Yr'!AF37+'Local Appropriations-4Yr'!AF37+'Fed Contracts Grnts-4Yr'!AF37+'Other Contract Grnts-4Yr'!AF37+'Investment Income-4Yr'!AF37+'All Other E&amp;G-4Yr'!AF37</f>
        <v>466795.49200000003</v>
      </c>
      <c r="AG37" s="105">
        <f>+'Tuition-4Yr'!AG37+'State Appropriations-4Yr'!AG37+'Local Appropriations-4Yr'!AG37+'Fed Contracts Grnts-4Yr'!AG37+'Other Contract Grnts-4Yr'!AG37+'Investment Income-4Yr'!AG37+'All Other E&amp;G-4Yr'!AG37</f>
        <v>506002.11899999995</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row>
    <row r="38" spans="1:213" s="65" customFormat="1" ht="12.75" customHeight="1">
      <c r="A38" s="84" t="s">
        <v>145</v>
      </c>
      <c r="B38" s="104">
        <f>+'Tuition-4Yr'!B38+'State Appropriations-4Yr'!B38+'Local Appropriations-4Yr'!B38+'Fed Contracts Grnts-4Yr'!B38+'Other Contract Grnts-4Yr'!B38+'Investment Income-4Yr'!B38+'All Other E&amp;G-4Yr'!B38</f>
        <v>0</v>
      </c>
      <c r="C38" s="104">
        <f>+'Tuition-4Yr'!C38+'State Appropriations-4Yr'!C38+'Local Appropriations-4Yr'!C38+'Fed Contracts Grnts-4Yr'!C38+'Other Contract Grnts-4Yr'!C38+'Investment Income-4Yr'!C38+'All Other E&amp;G-4Yr'!C38</f>
        <v>0</v>
      </c>
      <c r="D38" s="104">
        <f>+'Tuition-4Yr'!D38+'State Appropriations-4Yr'!D38+'Local Appropriations-4Yr'!D38+'Fed Contracts Grnts-4Yr'!D38+'Other Contract Grnts-4Yr'!D38+'Investment Income-4Yr'!D38+'All Other E&amp;G-4Yr'!D38</f>
        <v>0</v>
      </c>
      <c r="E38" s="104">
        <f>+'Tuition-4Yr'!E38+'State Appropriations-4Yr'!E38+'Local Appropriations-4Yr'!E38+'Fed Contracts Grnts-4Yr'!E38+'Other Contract Grnts-4Yr'!E38+'Investment Income-4Yr'!E38+'All Other E&amp;G-4Yr'!E38</f>
        <v>0</v>
      </c>
      <c r="F38" s="104">
        <f>+'Tuition-4Yr'!F38+'State Appropriations-4Yr'!F38+'Local Appropriations-4Yr'!F38+'Fed Contracts Grnts-4Yr'!F38+'Other Contract Grnts-4Yr'!F38+'Investment Income-4Yr'!F38+'All Other E&amp;G-4Yr'!F38</f>
        <v>0</v>
      </c>
      <c r="G38" s="104">
        <f>+'Tuition-4Yr'!G38+'State Appropriations-4Yr'!G38+'Local Appropriations-4Yr'!G38+'Fed Contracts Grnts-4Yr'!G38+'Other Contract Grnts-4Yr'!G38+'Investment Income-4Yr'!G38+'All Other E&amp;G-4Yr'!G38</f>
        <v>0</v>
      </c>
      <c r="H38" s="104">
        <f>+'Tuition-4Yr'!H38+'State Appropriations-4Yr'!H38+'Local Appropriations-4Yr'!H38+'Fed Contracts Grnts-4Yr'!H38+'Other Contract Grnts-4Yr'!H38+'Investment Income-4Yr'!H38+'All Other E&amp;G-4Yr'!H38</f>
        <v>0</v>
      </c>
      <c r="I38" s="104">
        <f>+'Tuition-4Yr'!I38+'State Appropriations-4Yr'!I38+'Local Appropriations-4Yr'!I38+'Fed Contracts Grnts-4Yr'!I38+'Other Contract Grnts-4Yr'!I38+'Investment Income-4Yr'!I38+'All Other E&amp;G-4Yr'!I38</f>
        <v>0</v>
      </c>
      <c r="J38" s="104">
        <f>+'Tuition-4Yr'!J38+'State Appropriations-4Yr'!J38+'Local Appropriations-4Yr'!J38+'Fed Contracts Grnts-4Yr'!J38+'Other Contract Grnts-4Yr'!J38+'Investment Income-4Yr'!J38+'All Other E&amp;G-4Yr'!J38</f>
        <v>17309638.938999999</v>
      </c>
      <c r="K38" s="104">
        <f>+'Tuition-4Yr'!K38+'State Appropriations-4Yr'!K38+'Local Appropriations-4Yr'!K38+'Fed Contracts Grnts-4Yr'!K38+'Other Contract Grnts-4Yr'!K38+'Investment Income-4Yr'!K38+'All Other E&amp;G-4Yr'!K38</f>
        <v>0</v>
      </c>
      <c r="L38" s="104">
        <f>+'Tuition-4Yr'!L38+'State Appropriations-4Yr'!L38+'Local Appropriations-4Yr'!L38+'Fed Contracts Grnts-4Yr'!L38+'Other Contract Grnts-4Yr'!L38+'Investment Income-4Yr'!L38+'All Other E&amp;G-4Yr'!L38</f>
        <v>0</v>
      </c>
      <c r="M38" s="104">
        <f>+'Tuition-4Yr'!M38+'State Appropriations-4Yr'!M38+'Local Appropriations-4Yr'!M38+'Fed Contracts Grnts-4Yr'!M38+'Other Contract Grnts-4Yr'!M38+'Investment Income-4Yr'!M38+'All Other E&amp;G-4Yr'!M38</f>
        <v>19487703.546999998</v>
      </c>
      <c r="N38" s="104">
        <f>+'Tuition-4Yr'!N38+'State Appropriations-4Yr'!N38+'Local Appropriations-4Yr'!N38+'Fed Contracts Grnts-4Yr'!N38+'Other Contract Grnts-4Yr'!N38+'Investment Income-4Yr'!N38+'All Other E&amp;G-4Yr'!N38</f>
        <v>0</v>
      </c>
      <c r="O38" s="104">
        <f>+'Tuition-4Yr'!O38+'State Appropriations-4Yr'!O38+'Local Appropriations-4Yr'!O38+'Fed Contracts Grnts-4Yr'!O38+'Other Contract Grnts-4Yr'!O38+'Investment Income-4Yr'!O38+'All Other E&amp;G-4Yr'!O38</f>
        <v>21638793.457819998</v>
      </c>
      <c r="P38" s="104">
        <f>+'Tuition-4Yr'!P38+'State Appropriations-4Yr'!P38+'Local Appropriations-4Yr'!P38+'Fed Contracts Grnts-4Yr'!P38+'Other Contract Grnts-4Yr'!P38+'Investment Income-4Yr'!P38+'All Other E&amp;G-4Yr'!P38</f>
        <v>0</v>
      </c>
      <c r="Q38" s="104">
        <f>+'Tuition-4Yr'!Q38+'State Appropriations-4Yr'!Q38+'Local Appropriations-4Yr'!Q38+'Fed Contracts Grnts-4Yr'!Q38+'Other Contract Grnts-4Yr'!Q38+'Investment Income-4Yr'!Q38+'All Other E&amp;G-4Yr'!Q38</f>
        <v>0</v>
      </c>
      <c r="R38" s="104">
        <f>+'Tuition-4Yr'!R38+'State Appropriations-4Yr'!R38+'Local Appropriations-4Yr'!R38+'Fed Contracts Grnts-4Yr'!R38+'Other Contract Grnts-4Yr'!R38+'Investment Income-4Yr'!R38+'All Other E&amp;G-4Yr'!R38</f>
        <v>25502108.827999998</v>
      </c>
      <c r="S38" s="104">
        <f>+'Tuition-4Yr'!S38+'State Appropriations-4Yr'!S38+'Local Appropriations-4Yr'!S38+'Fed Contracts Grnts-4Yr'!S38+'Other Contract Grnts-4Yr'!S38+'Investment Income-4Yr'!S38+'All Other E&amp;G-4Yr'!S38</f>
        <v>27633721.881000008</v>
      </c>
      <c r="T38" s="104">
        <f>+'Tuition-4Yr'!T38+'State Appropriations-4Yr'!T38+'Local Appropriations-4Yr'!T38+'Fed Contracts Grnts-4Yr'!T38+'Other Contract Grnts-4Yr'!T38+'Investment Income-4Yr'!T38+'All Other E&amp;G-4Yr'!T38</f>
        <v>29050891.111000001</v>
      </c>
      <c r="U38" s="104">
        <f>+'Tuition-4Yr'!U38+'State Appropriations-4Yr'!U38+'Local Appropriations-4Yr'!U38+'Fed Contracts Grnts-4Yr'!U38+'Other Contract Grnts-4Yr'!U38+'Investment Income-4Yr'!U38+'All Other E&amp;G-4Yr'!U38</f>
        <v>29891377.033999998</v>
      </c>
      <c r="V38" s="104">
        <f>+'Tuition-4Yr'!V38+'State Appropriations-4Yr'!V38+'Local Appropriations-4Yr'!V38+'Fed Contracts Grnts-4Yr'!V38+'Other Contract Grnts-4Yr'!V38+'Investment Income-4Yr'!V38+'All Other E&amp;G-4Yr'!V38</f>
        <v>33082028.740999997</v>
      </c>
      <c r="W38" s="104">
        <f>+'Tuition-4Yr'!W38+'State Appropriations-4Yr'!W38+'Local Appropriations-4Yr'!W38+'Fed Contracts Grnts-4Yr'!W38+'Other Contract Grnts-4Yr'!W38+'Investment Income-4Yr'!W38+'All Other E&amp;G-4Yr'!W38</f>
        <v>35709067.969000004</v>
      </c>
      <c r="X38" s="104">
        <f>+'Tuition-4Yr'!X38+'State Appropriations-4Yr'!X38+'Local Appropriations-4Yr'!X38+'Fed Contracts Grnts-4Yr'!X38+'Other Contract Grnts-4Yr'!X38+'Investment Income-4Yr'!X38+'All Other E&amp;G-4Yr'!X38</f>
        <v>35606630.225999996</v>
      </c>
      <c r="Y38" s="104">
        <f>+'Tuition-4Yr'!Y38+'State Appropriations-4Yr'!Y38+'Local Appropriations-4Yr'!Y38+'Fed Contracts Grnts-4Yr'!Y38+'Other Contract Grnts-4Yr'!Y38+'Investment Income-4Yr'!Y38+'All Other E&amp;G-4Yr'!Y38</f>
        <v>38457710.008999996</v>
      </c>
      <c r="Z38" s="104">
        <f>+'Tuition-4Yr'!Z38+'State Appropriations-4Yr'!Z38+'Local Appropriations-4Yr'!Z38+'Fed Contracts Grnts-4Yr'!Z38+'Other Contract Grnts-4Yr'!Z38+'Investment Income-4Yr'!Z38+'All Other E&amp;G-4Yr'!Z38</f>
        <v>37272673.517000005</v>
      </c>
      <c r="AA38" s="104">
        <f>+'Tuition-4Yr'!AA38+'State Appropriations-4Yr'!AA38+'Local Appropriations-4Yr'!AA38+'Fed Contracts Grnts-4Yr'!AA38+'Other Contract Grnts-4Yr'!AA38+'Investment Income-4Yr'!AA38+'All Other E&amp;G-4Yr'!AA38</f>
        <v>36283183.037</v>
      </c>
      <c r="AB38" s="104">
        <f>+'Tuition-4Yr'!AB38+'State Appropriations-4Yr'!AB38+'Local Appropriations-4Yr'!AB38+'Fed Contracts Grnts-4Yr'!AB38+'Other Contract Grnts-4Yr'!AB38+'Investment Income-4Yr'!AB38+'All Other E&amp;G-4Yr'!AB38</f>
        <v>45781186.213</v>
      </c>
      <c r="AC38" s="104">
        <f>+'Tuition-4Yr'!AC38+'State Appropriations-4Yr'!AC38+'Local Appropriations-4Yr'!AC38+'Fed Contracts Grnts-4Yr'!AC38+'Other Contract Grnts-4Yr'!AC38+'Investment Income-4Yr'!AC38+'All Other E&amp;G-4Yr'!AC38</f>
        <v>49468684</v>
      </c>
      <c r="AD38" s="104">
        <f>+'Tuition-4Yr'!AD38+'State Appropriations-4Yr'!AD38+'Local Appropriations-4Yr'!AD38+'Fed Contracts Grnts-4Yr'!AD38+'Other Contract Grnts-4Yr'!AD38+'Investment Income-4Yr'!AD38+'All Other E&amp;G-4Yr'!AD38</f>
        <v>46558091.397999994</v>
      </c>
      <c r="AE38" s="104">
        <f>+'Tuition-4Yr'!AE38+'State Appropriations-4Yr'!AE38+'Local Appropriations-4Yr'!AE38+'Fed Contracts Grnts-4Yr'!AE38+'Other Contract Grnts-4Yr'!AE38+'Investment Income-4Yr'!AE38+'All Other E&amp;G-4Yr'!AE38</f>
        <v>55463752.217</v>
      </c>
      <c r="AF38" s="104">
        <f>+'Tuition-4Yr'!AF38+'State Appropriations-4Yr'!AF38+'Local Appropriations-4Yr'!AF38+'Fed Contracts Grnts-4Yr'!AF38+'Other Contract Grnts-4Yr'!AF38+'Investment Income-4Yr'!AF38+'All Other E&amp;G-4Yr'!AF38</f>
        <v>50312550.188999996</v>
      </c>
      <c r="AG38" s="104">
        <f>+'Tuition-4Yr'!AG38+'State Appropriations-4Yr'!AG38+'Local Appropriations-4Yr'!AG38+'Fed Contracts Grnts-4Yr'!AG38+'Other Contract Grnts-4Yr'!AG38+'Investment Income-4Yr'!AG38+'All Other E&amp;G-4Yr'!AG38</f>
        <v>50691989.719000012</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row>
    <row r="39" spans="1:213" s="65" customFormat="1" ht="12.75" customHeight="1">
      <c r="A39" s="84" t="s">
        <v>143</v>
      </c>
      <c r="B39" s="104">
        <f>+'Tuition-4Yr'!B39+'State Appropriations-4Yr'!B39+'Local Appropriations-4Yr'!B39+'Fed Contracts Grnts-4Yr'!B39+'Other Contract Grnts-4Yr'!B39+'Investment Income-4Yr'!B39+'All Other E&amp;G-4Yr'!B39</f>
        <v>0</v>
      </c>
      <c r="C39" s="104">
        <f>+'Tuition-4Yr'!C39+'State Appropriations-4Yr'!C39+'Local Appropriations-4Yr'!C39+'Fed Contracts Grnts-4Yr'!C39+'Other Contract Grnts-4Yr'!C39+'Investment Income-4Yr'!C39+'All Other E&amp;G-4Yr'!C39</f>
        <v>0</v>
      </c>
      <c r="D39" s="104">
        <f>+'Tuition-4Yr'!D39+'State Appropriations-4Yr'!D39+'Local Appropriations-4Yr'!D39+'Fed Contracts Grnts-4Yr'!D39+'Other Contract Grnts-4Yr'!D39+'Investment Income-4Yr'!D39+'All Other E&amp;G-4Yr'!D39</f>
        <v>0</v>
      </c>
      <c r="E39" s="104">
        <f>+'Tuition-4Yr'!E39+'State Appropriations-4Yr'!E39+'Local Appropriations-4Yr'!E39+'Fed Contracts Grnts-4Yr'!E39+'Other Contract Grnts-4Yr'!E39+'Investment Income-4Yr'!E39+'All Other E&amp;G-4Yr'!E39</f>
        <v>0</v>
      </c>
      <c r="F39" s="104">
        <f>+'Tuition-4Yr'!F39+'State Appropriations-4Yr'!F39+'Local Appropriations-4Yr'!F39+'Fed Contracts Grnts-4Yr'!F39+'Other Contract Grnts-4Yr'!F39+'Investment Income-4Yr'!F39+'All Other E&amp;G-4Yr'!F39</f>
        <v>0</v>
      </c>
      <c r="G39" s="104">
        <f>+'Tuition-4Yr'!G39+'State Appropriations-4Yr'!G39+'Local Appropriations-4Yr'!G39+'Fed Contracts Grnts-4Yr'!G39+'Other Contract Grnts-4Yr'!G39+'Investment Income-4Yr'!G39+'All Other E&amp;G-4Yr'!G39</f>
        <v>0</v>
      </c>
      <c r="H39" s="104">
        <f>+'Tuition-4Yr'!H39+'State Appropriations-4Yr'!H39+'Local Appropriations-4Yr'!H39+'Fed Contracts Grnts-4Yr'!H39+'Other Contract Grnts-4Yr'!H39+'Investment Income-4Yr'!H39+'All Other E&amp;G-4Yr'!H39</f>
        <v>0</v>
      </c>
      <c r="I39" s="104">
        <f>+'Tuition-4Yr'!I39+'State Appropriations-4Yr'!I39+'Local Appropriations-4Yr'!I39+'Fed Contracts Grnts-4Yr'!I39+'Other Contract Grnts-4Yr'!I39+'Investment Income-4Yr'!I39+'All Other E&amp;G-4Yr'!I39</f>
        <v>0</v>
      </c>
      <c r="J39" s="104">
        <f>+'Tuition-4Yr'!J39+'State Appropriations-4Yr'!J39+'Local Appropriations-4Yr'!J39+'Fed Contracts Grnts-4Yr'!J39+'Other Contract Grnts-4Yr'!J39+'Investment Income-4Yr'!J39+'All Other E&amp;G-4Yr'!J39</f>
        <v>0</v>
      </c>
      <c r="K39" s="104">
        <f>+'Tuition-4Yr'!K39+'State Appropriations-4Yr'!K39+'Local Appropriations-4Yr'!K39+'Fed Contracts Grnts-4Yr'!K39+'Other Contract Grnts-4Yr'!K39+'Investment Income-4Yr'!K39+'All Other E&amp;G-4Yr'!K39</f>
        <v>0</v>
      </c>
      <c r="L39" s="104">
        <f>+'Tuition-4Yr'!L39+'State Appropriations-4Yr'!L39+'Local Appropriations-4Yr'!L39+'Fed Contracts Grnts-4Yr'!L39+'Other Contract Grnts-4Yr'!L39+'Investment Income-4Yr'!L39+'All Other E&amp;G-4Yr'!L39</f>
        <v>0</v>
      </c>
      <c r="M39" s="104">
        <f>+'Tuition-4Yr'!M39+'State Appropriations-4Yr'!M39+'Local Appropriations-4Yr'!M39+'Fed Contracts Grnts-4Yr'!M39+'Other Contract Grnts-4Yr'!M39+'Investment Income-4Yr'!M39+'All Other E&amp;G-4Yr'!M39</f>
        <v>0</v>
      </c>
      <c r="N39" s="104">
        <f>+'Tuition-4Yr'!N39+'State Appropriations-4Yr'!N39+'Local Appropriations-4Yr'!N39+'Fed Contracts Grnts-4Yr'!N39+'Other Contract Grnts-4Yr'!N39+'Investment Income-4Yr'!N39+'All Other E&amp;G-4Yr'!N39</f>
        <v>0</v>
      </c>
      <c r="O39" s="104">
        <f>+'Tuition-4Yr'!O39+'State Appropriations-4Yr'!O39+'Local Appropriations-4Yr'!O39+'Fed Contracts Grnts-4Yr'!O39+'Other Contract Grnts-4Yr'!O39+'Investment Income-4Yr'!O39+'All Other E&amp;G-4Yr'!O39</f>
        <v>0</v>
      </c>
      <c r="P39" s="104">
        <f>+'Tuition-4Yr'!P39+'State Appropriations-4Yr'!P39+'Local Appropriations-4Yr'!P39+'Fed Contracts Grnts-4Yr'!P39+'Other Contract Grnts-4Yr'!P39+'Investment Income-4Yr'!P39+'All Other E&amp;G-4Yr'!P39</f>
        <v>0</v>
      </c>
      <c r="Q39" s="104">
        <f>+'Tuition-4Yr'!Q39+'State Appropriations-4Yr'!Q39+'Local Appropriations-4Yr'!Q39+'Fed Contracts Grnts-4Yr'!Q39+'Other Contract Grnts-4Yr'!Q39+'Investment Income-4Yr'!Q39+'All Other E&amp;G-4Yr'!Q39</f>
        <v>0</v>
      </c>
      <c r="R39" s="104">
        <f>+'Tuition-4Yr'!R39+'State Appropriations-4Yr'!R39+'Local Appropriations-4Yr'!R39+'Fed Contracts Grnts-4Yr'!R39+'Other Contract Grnts-4Yr'!R39+'Investment Income-4Yr'!R39+'All Other E&amp;G-4Yr'!R39</f>
        <v>0</v>
      </c>
      <c r="S39" s="104">
        <f>+'Tuition-4Yr'!S39+'State Appropriations-4Yr'!S39+'Local Appropriations-4Yr'!S39+'Fed Contracts Grnts-4Yr'!S39+'Other Contract Grnts-4Yr'!S39+'Investment Income-4Yr'!S39+'All Other E&amp;G-4Yr'!S39</f>
        <v>0</v>
      </c>
      <c r="T39" s="104">
        <f>+'Tuition-4Yr'!T39+'State Appropriations-4Yr'!T39+'Local Appropriations-4Yr'!T39+'Fed Contracts Grnts-4Yr'!T39+'Other Contract Grnts-4Yr'!T39+'Investment Income-4Yr'!T39+'All Other E&amp;G-4Yr'!T39</f>
        <v>0</v>
      </c>
      <c r="U39" s="104">
        <f>+'Tuition-4Yr'!U39+'State Appropriations-4Yr'!U39+'Local Appropriations-4Yr'!U39+'Fed Contracts Grnts-4Yr'!U39+'Other Contract Grnts-4Yr'!U39+'Investment Income-4Yr'!U39+'All Other E&amp;G-4Yr'!U39</f>
        <v>0</v>
      </c>
      <c r="V39" s="104">
        <f>+'Tuition-4Yr'!V39+'State Appropriations-4Yr'!V39+'Local Appropriations-4Yr'!V39+'Fed Contracts Grnts-4Yr'!V39+'Other Contract Grnts-4Yr'!V39+'Investment Income-4Yr'!V39+'All Other E&amp;G-4Yr'!V39</f>
        <v>0</v>
      </c>
      <c r="W39" s="104">
        <f>+'Tuition-4Yr'!W39+'State Appropriations-4Yr'!W39+'Local Appropriations-4Yr'!W39+'Fed Contracts Grnts-4Yr'!W39+'Other Contract Grnts-4Yr'!W39+'Investment Income-4Yr'!W39+'All Other E&amp;G-4Yr'!W39</f>
        <v>0</v>
      </c>
      <c r="X39" s="104">
        <f>+'Tuition-4Yr'!X39+'State Appropriations-4Yr'!X39+'Local Appropriations-4Yr'!X39+'Fed Contracts Grnts-4Yr'!X39+'Other Contract Grnts-4Yr'!X39+'Investment Income-4Yr'!X39+'All Other E&amp;G-4Yr'!X39</f>
        <v>0</v>
      </c>
      <c r="Y39" s="104">
        <f>+'Tuition-4Yr'!Y39+'State Appropriations-4Yr'!Y39+'Local Appropriations-4Yr'!Y39+'Fed Contracts Grnts-4Yr'!Y39+'Other Contract Grnts-4Yr'!Y39+'Investment Income-4Yr'!Y39+'All Other E&amp;G-4Yr'!Y39</f>
        <v>0</v>
      </c>
      <c r="Z39" s="104">
        <f>+'Tuition-4Yr'!Z39+'State Appropriations-4Yr'!Z39+'Local Appropriations-4Yr'!Z39+'Fed Contracts Grnts-4Yr'!Z39+'Other Contract Grnts-4Yr'!Z39+'Investment Income-4Yr'!Z39+'All Other E&amp;G-4Yr'!Z39</f>
        <v>0</v>
      </c>
      <c r="AA39" s="104">
        <f>+'Tuition-4Yr'!AA39+'State Appropriations-4Yr'!AA39+'Local Appropriations-4Yr'!AA39+'Fed Contracts Grnts-4Yr'!AA39+'Other Contract Grnts-4Yr'!AA39+'Investment Income-4Yr'!AA39+'All Other E&amp;G-4Yr'!AA39</f>
        <v>0</v>
      </c>
      <c r="AB39" s="104">
        <f>+'Tuition-4Yr'!AB39+'State Appropriations-4Yr'!AB39+'Local Appropriations-4Yr'!AB39+'Fed Contracts Grnts-4Yr'!AB39+'Other Contract Grnts-4Yr'!AB39+'Investment Income-4Yr'!AB39+'All Other E&amp;G-4Yr'!AB39</f>
        <v>0</v>
      </c>
      <c r="AC39" s="104">
        <f>+'Tuition-4Yr'!AC39+'State Appropriations-4Yr'!AC39+'Local Appropriations-4Yr'!AC39+'Fed Contracts Grnts-4Yr'!AC39+'Other Contract Grnts-4Yr'!AC39+'Investment Income-4Yr'!AC39+'All Other E&amp;G-4Yr'!AC39</f>
        <v>0</v>
      </c>
      <c r="AD39" s="104">
        <f>+'Tuition-4Yr'!AD39+'State Appropriations-4Yr'!AD39+'Local Appropriations-4Yr'!AD39+'Fed Contracts Grnts-4Yr'!AD39+'Other Contract Grnts-4Yr'!AD39+'Investment Income-4Yr'!AD39+'All Other E&amp;G-4Yr'!AD39</f>
        <v>0</v>
      </c>
      <c r="AE39" s="104">
        <f>+'Tuition-4Yr'!AE39+'State Appropriations-4Yr'!AE39+'Local Appropriations-4Yr'!AE39+'Fed Contracts Grnts-4Yr'!AE39+'Other Contract Grnts-4Yr'!AE39+'Investment Income-4Yr'!AE39+'All Other E&amp;G-4Yr'!AE39</f>
        <v>0</v>
      </c>
      <c r="AF39" s="104">
        <f>+'Tuition-4Yr'!AF39+'State Appropriations-4Yr'!AF39+'Local Appropriations-4Yr'!AF39+'Fed Contracts Grnts-4Yr'!AF39+'Other Contract Grnts-4Yr'!AF39+'Investment Income-4Yr'!AF39+'All Other E&amp;G-4Yr'!AF39</f>
        <v>0</v>
      </c>
      <c r="AG39" s="104">
        <f>+'Tuition-4Yr'!AG39+'State Appropriations-4Yr'!AG39+'Local Appropriations-4Yr'!AG39+'Fed Contracts Grnts-4Yr'!AG39+'Other Contract Grnts-4Yr'!AG39+'Investment Income-4Yr'!AG39+'All Other E&amp;G-4Yr'!AG39</f>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row>
    <row r="40" spans="1:213" s="65" customFormat="1" ht="12.75" customHeight="1">
      <c r="A40" s="23" t="s">
        <v>117</v>
      </c>
      <c r="B40" s="104">
        <f>+'Tuition-4Yr'!B40+'State Appropriations-4Yr'!B40+'Local Appropriations-4Yr'!B40+'Fed Contracts Grnts-4Yr'!B40+'Other Contract Grnts-4Yr'!B40+'Investment Income-4Yr'!B40+'All Other E&amp;G-4Yr'!B40</f>
        <v>0</v>
      </c>
      <c r="C40" s="104">
        <f>+'Tuition-4Yr'!C40+'State Appropriations-4Yr'!C40+'Local Appropriations-4Yr'!C40+'Fed Contracts Grnts-4Yr'!C40+'Other Contract Grnts-4Yr'!C40+'Investment Income-4Yr'!C40+'All Other E&amp;G-4Yr'!C40</f>
        <v>0</v>
      </c>
      <c r="D40" s="104">
        <f>+'Tuition-4Yr'!D40+'State Appropriations-4Yr'!D40+'Local Appropriations-4Yr'!D40+'Fed Contracts Grnts-4Yr'!D40+'Other Contract Grnts-4Yr'!D40+'Investment Income-4Yr'!D40+'All Other E&amp;G-4Yr'!D40</f>
        <v>0</v>
      </c>
      <c r="E40" s="104">
        <f>+'Tuition-4Yr'!E40+'State Appropriations-4Yr'!E40+'Local Appropriations-4Yr'!E40+'Fed Contracts Grnts-4Yr'!E40+'Other Contract Grnts-4Yr'!E40+'Investment Income-4Yr'!E40+'All Other E&amp;G-4Yr'!E40</f>
        <v>0</v>
      </c>
      <c r="F40" s="104">
        <f>+'Tuition-4Yr'!F40+'State Appropriations-4Yr'!F40+'Local Appropriations-4Yr'!F40+'Fed Contracts Grnts-4Yr'!F40+'Other Contract Grnts-4Yr'!F40+'Investment Income-4Yr'!F40+'All Other E&amp;G-4Yr'!F40</f>
        <v>0</v>
      </c>
      <c r="G40" s="104">
        <f>+'Tuition-4Yr'!G40+'State Appropriations-4Yr'!G40+'Local Appropriations-4Yr'!G40+'Fed Contracts Grnts-4Yr'!G40+'Other Contract Grnts-4Yr'!G40+'Investment Income-4Yr'!G40+'All Other E&amp;G-4Yr'!G40</f>
        <v>0</v>
      </c>
      <c r="H40" s="104">
        <f>+'Tuition-4Yr'!H40+'State Appropriations-4Yr'!H40+'Local Appropriations-4Yr'!H40+'Fed Contracts Grnts-4Yr'!H40+'Other Contract Grnts-4Yr'!H40+'Investment Income-4Yr'!H40+'All Other E&amp;G-4Yr'!H40</f>
        <v>0</v>
      </c>
      <c r="I40" s="104">
        <f>+'Tuition-4Yr'!I40+'State Appropriations-4Yr'!I40+'Local Appropriations-4Yr'!I40+'Fed Contracts Grnts-4Yr'!I40+'Other Contract Grnts-4Yr'!I40+'Investment Income-4Yr'!I40+'All Other E&amp;G-4Yr'!I40</f>
        <v>0</v>
      </c>
      <c r="J40" s="104">
        <f>+'Tuition-4Yr'!J40+'State Appropriations-4Yr'!J40+'Local Appropriations-4Yr'!J40+'Fed Contracts Grnts-4Yr'!J40+'Other Contract Grnts-4Yr'!J40+'Investment Income-4Yr'!J40+'All Other E&amp;G-4Yr'!J40</f>
        <v>2189982.9840000002</v>
      </c>
      <c r="K40" s="104">
        <f>+'Tuition-4Yr'!K40+'State Appropriations-4Yr'!K40+'Local Appropriations-4Yr'!K40+'Fed Contracts Grnts-4Yr'!K40+'Other Contract Grnts-4Yr'!K40+'Investment Income-4Yr'!K40+'All Other E&amp;G-4Yr'!K40</f>
        <v>0</v>
      </c>
      <c r="L40" s="104">
        <f>+'Tuition-4Yr'!L40+'State Appropriations-4Yr'!L40+'Local Appropriations-4Yr'!L40+'Fed Contracts Grnts-4Yr'!L40+'Other Contract Grnts-4Yr'!L40+'Investment Income-4Yr'!L40+'All Other E&amp;G-4Yr'!L40</f>
        <v>0</v>
      </c>
      <c r="M40" s="104">
        <f>+'Tuition-4Yr'!M40+'State Appropriations-4Yr'!M40+'Local Appropriations-4Yr'!M40+'Fed Contracts Grnts-4Yr'!M40+'Other Contract Grnts-4Yr'!M40+'Investment Income-4Yr'!M40+'All Other E&amp;G-4Yr'!M40</f>
        <v>2497914.281</v>
      </c>
      <c r="N40" s="104">
        <f>+'Tuition-4Yr'!N40+'State Appropriations-4Yr'!N40+'Local Appropriations-4Yr'!N40+'Fed Contracts Grnts-4Yr'!N40+'Other Contract Grnts-4Yr'!N40+'Investment Income-4Yr'!N40+'All Other E&amp;G-4Yr'!N40</f>
        <v>0</v>
      </c>
      <c r="O40" s="104">
        <f>+'Tuition-4Yr'!O40+'State Appropriations-4Yr'!O40+'Local Appropriations-4Yr'!O40+'Fed Contracts Grnts-4Yr'!O40+'Other Contract Grnts-4Yr'!O40+'Investment Income-4Yr'!O40+'All Other E&amp;G-4Yr'!O40</f>
        <v>2839985.2910000002</v>
      </c>
      <c r="P40" s="104">
        <f>+'Tuition-4Yr'!P40+'State Appropriations-4Yr'!P40+'Local Appropriations-4Yr'!P40+'Fed Contracts Grnts-4Yr'!P40+'Other Contract Grnts-4Yr'!P40+'Investment Income-4Yr'!P40+'All Other E&amp;G-4Yr'!P40</f>
        <v>0</v>
      </c>
      <c r="Q40" s="104">
        <f>+'Tuition-4Yr'!Q40+'State Appropriations-4Yr'!Q40+'Local Appropriations-4Yr'!Q40+'Fed Contracts Grnts-4Yr'!Q40+'Other Contract Grnts-4Yr'!Q40+'Investment Income-4Yr'!Q40+'All Other E&amp;G-4Yr'!Q40</f>
        <v>0</v>
      </c>
      <c r="R40" s="104">
        <f>+'Tuition-4Yr'!R40+'State Appropriations-4Yr'!R40+'Local Appropriations-4Yr'!R40+'Fed Contracts Grnts-4Yr'!R40+'Other Contract Grnts-4Yr'!R40+'Investment Income-4Yr'!R40+'All Other E&amp;G-4Yr'!R40</f>
        <v>3290183.4009999996</v>
      </c>
      <c r="S40" s="104">
        <f>+'Tuition-4Yr'!S40+'State Appropriations-4Yr'!S40+'Local Appropriations-4Yr'!S40+'Fed Contracts Grnts-4Yr'!S40+'Other Contract Grnts-4Yr'!S40+'Investment Income-4Yr'!S40+'All Other E&amp;G-4Yr'!S40</f>
        <v>3509086.3549999995</v>
      </c>
      <c r="T40" s="104">
        <f>+'Tuition-4Yr'!T40+'State Appropriations-4Yr'!T40+'Local Appropriations-4Yr'!T40+'Fed Contracts Grnts-4Yr'!T40+'Other Contract Grnts-4Yr'!T40+'Investment Income-4Yr'!T40+'All Other E&amp;G-4Yr'!T40</f>
        <v>4150596.0180000002</v>
      </c>
      <c r="U40" s="104">
        <f>+'Tuition-4Yr'!U40+'State Appropriations-4Yr'!U40+'Local Appropriations-4Yr'!U40+'Fed Contracts Grnts-4Yr'!U40+'Other Contract Grnts-4Yr'!U40+'Investment Income-4Yr'!U40+'All Other E&amp;G-4Yr'!U40</f>
        <v>4248860.9469999997</v>
      </c>
      <c r="V40" s="104">
        <f>+'Tuition-4Yr'!V40+'State Appropriations-4Yr'!V40+'Local Appropriations-4Yr'!V40+'Fed Contracts Grnts-4Yr'!V40+'Other Contract Grnts-4Yr'!V40+'Investment Income-4Yr'!V40+'All Other E&amp;G-4Yr'!V40</f>
        <v>5277062.4730000002</v>
      </c>
      <c r="W40" s="104">
        <f>+'Tuition-4Yr'!W40+'State Appropriations-4Yr'!W40+'Local Appropriations-4Yr'!W40+'Fed Contracts Grnts-4Yr'!W40+'Other Contract Grnts-4Yr'!W40+'Investment Income-4Yr'!W40+'All Other E&amp;G-4Yr'!W40</f>
        <v>4639167.8610000005</v>
      </c>
      <c r="X40" s="104">
        <f>+'Tuition-4Yr'!X40+'State Appropriations-4Yr'!X40+'Local Appropriations-4Yr'!X40+'Fed Contracts Grnts-4Yr'!X40+'Other Contract Grnts-4Yr'!X40+'Investment Income-4Yr'!X40+'All Other E&amp;G-4Yr'!X40</f>
        <v>4818922.1239999998</v>
      </c>
      <c r="Y40" s="104">
        <f>+'Tuition-4Yr'!Y40+'State Appropriations-4Yr'!Y40+'Local Appropriations-4Yr'!Y40+'Fed Contracts Grnts-4Yr'!Y40+'Other Contract Grnts-4Yr'!Y40+'Investment Income-4Yr'!Y40+'All Other E&amp;G-4Yr'!Y40</f>
        <v>5003197.6009999998</v>
      </c>
      <c r="Z40" s="104">
        <f>+'Tuition-4Yr'!Z40+'State Appropriations-4Yr'!Z40+'Local Appropriations-4Yr'!Z40+'Fed Contracts Grnts-4Yr'!Z40+'Other Contract Grnts-4Yr'!Z40+'Investment Income-4Yr'!Z40+'All Other E&amp;G-4Yr'!Z40</f>
        <v>5278624.2220000001</v>
      </c>
      <c r="AA40" s="104">
        <f>+'Tuition-4Yr'!AA40+'State Appropriations-4Yr'!AA40+'Local Appropriations-4Yr'!AA40+'Fed Contracts Grnts-4Yr'!AA40+'Other Contract Grnts-4Yr'!AA40+'Investment Income-4Yr'!AA40+'All Other E&amp;G-4Yr'!AA40</f>
        <v>5851082.0779999997</v>
      </c>
      <c r="AB40" s="104">
        <f>+'Tuition-4Yr'!AB40+'State Appropriations-4Yr'!AB40+'Local Appropriations-4Yr'!AB40+'Fed Contracts Grnts-4Yr'!AB40+'Other Contract Grnts-4Yr'!AB40+'Investment Income-4Yr'!AB40+'All Other E&amp;G-4Yr'!AB40</f>
        <v>6463249.1290000007</v>
      </c>
      <c r="AC40" s="104">
        <f>+'Tuition-4Yr'!AC40+'State Appropriations-4Yr'!AC40+'Local Appropriations-4Yr'!AC40+'Fed Contracts Grnts-4Yr'!AC40+'Other Contract Grnts-4Yr'!AC40+'Investment Income-4Yr'!AC40+'All Other E&amp;G-4Yr'!AC40</f>
        <v>6744528</v>
      </c>
      <c r="AD40" s="104">
        <f>+'Tuition-4Yr'!AD40+'State Appropriations-4Yr'!AD40+'Local Appropriations-4Yr'!AD40+'Fed Contracts Grnts-4Yr'!AD40+'Other Contract Grnts-4Yr'!AD40+'Investment Income-4Yr'!AD40+'All Other E&amp;G-4Yr'!AD40</f>
        <v>7135360.0700000003</v>
      </c>
      <c r="AE40" s="104">
        <f>+'Tuition-4Yr'!AE40+'State Appropriations-4Yr'!AE40+'Local Appropriations-4Yr'!AE40+'Fed Contracts Grnts-4Yr'!AE40+'Other Contract Grnts-4Yr'!AE40+'Investment Income-4Yr'!AE40+'All Other E&amp;G-4Yr'!AE40</f>
        <v>7602614.7919999994</v>
      </c>
      <c r="AF40" s="104">
        <f>+'Tuition-4Yr'!AF40+'State Appropriations-4Yr'!AF40+'Local Appropriations-4Yr'!AF40+'Fed Contracts Grnts-4Yr'!AF40+'Other Contract Grnts-4Yr'!AF40+'Investment Income-4Yr'!AF40+'All Other E&amp;G-4Yr'!AF40</f>
        <v>7267155.2180000003</v>
      </c>
      <c r="AG40" s="104">
        <f>+'Tuition-4Yr'!AG40+'State Appropriations-4Yr'!AG40+'Local Appropriations-4Yr'!AG40+'Fed Contracts Grnts-4Yr'!AG40+'Other Contract Grnts-4Yr'!AG40+'Investment Income-4Yr'!AG40+'All Other E&amp;G-4Yr'!AG40</f>
        <v>7909387.5799999991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row>
    <row r="41" spans="1:213" s="65" customFormat="1" ht="12.75" customHeight="1">
      <c r="A41" s="23" t="s">
        <v>66</v>
      </c>
      <c r="B41" s="104">
        <f>+'Tuition-4Yr'!B41+'State Appropriations-4Yr'!B41+'Local Appropriations-4Yr'!B41+'Fed Contracts Grnts-4Yr'!B41+'Other Contract Grnts-4Yr'!B41+'Investment Income-4Yr'!B41+'All Other E&amp;G-4Yr'!B41</f>
        <v>0</v>
      </c>
      <c r="C41" s="104">
        <f>+'Tuition-4Yr'!C41+'State Appropriations-4Yr'!C41+'Local Appropriations-4Yr'!C41+'Fed Contracts Grnts-4Yr'!C41+'Other Contract Grnts-4Yr'!C41+'Investment Income-4Yr'!C41+'All Other E&amp;G-4Yr'!C41</f>
        <v>0</v>
      </c>
      <c r="D41" s="104">
        <f>+'Tuition-4Yr'!D41+'State Appropriations-4Yr'!D41+'Local Appropriations-4Yr'!D41+'Fed Contracts Grnts-4Yr'!D41+'Other Contract Grnts-4Yr'!D41+'Investment Income-4Yr'!D41+'All Other E&amp;G-4Yr'!D41</f>
        <v>0</v>
      </c>
      <c r="E41" s="104">
        <f>+'Tuition-4Yr'!E41+'State Appropriations-4Yr'!E41+'Local Appropriations-4Yr'!E41+'Fed Contracts Grnts-4Yr'!E41+'Other Contract Grnts-4Yr'!E41+'Investment Income-4Yr'!E41+'All Other E&amp;G-4Yr'!E41</f>
        <v>0</v>
      </c>
      <c r="F41" s="104">
        <f>+'Tuition-4Yr'!F41+'State Appropriations-4Yr'!F41+'Local Appropriations-4Yr'!F41+'Fed Contracts Grnts-4Yr'!F41+'Other Contract Grnts-4Yr'!F41+'Investment Income-4Yr'!F41+'All Other E&amp;G-4Yr'!F41</f>
        <v>0</v>
      </c>
      <c r="G41" s="104">
        <f>+'Tuition-4Yr'!G41+'State Appropriations-4Yr'!G41+'Local Appropriations-4Yr'!G41+'Fed Contracts Grnts-4Yr'!G41+'Other Contract Grnts-4Yr'!G41+'Investment Income-4Yr'!G41+'All Other E&amp;G-4Yr'!G41</f>
        <v>0</v>
      </c>
      <c r="H41" s="104">
        <f>+'Tuition-4Yr'!H41+'State Appropriations-4Yr'!H41+'Local Appropriations-4Yr'!H41+'Fed Contracts Grnts-4Yr'!H41+'Other Contract Grnts-4Yr'!H41+'Investment Income-4Yr'!H41+'All Other E&amp;G-4Yr'!H41</f>
        <v>0</v>
      </c>
      <c r="I41" s="104">
        <f>+'Tuition-4Yr'!I41+'State Appropriations-4Yr'!I41+'Local Appropriations-4Yr'!I41+'Fed Contracts Grnts-4Yr'!I41+'Other Contract Grnts-4Yr'!I41+'Investment Income-4Yr'!I41+'All Other E&amp;G-4Yr'!I41</f>
        <v>0</v>
      </c>
      <c r="J41" s="104">
        <f>+'Tuition-4Yr'!J41+'State Appropriations-4Yr'!J41+'Local Appropriations-4Yr'!J41+'Fed Contracts Grnts-4Yr'!J41+'Other Contract Grnts-4Yr'!J41+'Investment Income-4Yr'!J41+'All Other E&amp;G-4Yr'!J41</f>
        <v>1887342.5089999996</v>
      </c>
      <c r="K41" s="104">
        <f>+'Tuition-4Yr'!K41+'State Appropriations-4Yr'!K41+'Local Appropriations-4Yr'!K41+'Fed Contracts Grnts-4Yr'!K41+'Other Contract Grnts-4Yr'!K41+'Investment Income-4Yr'!K41+'All Other E&amp;G-4Yr'!K41</f>
        <v>0</v>
      </c>
      <c r="L41" s="104">
        <f>+'Tuition-4Yr'!L41+'State Appropriations-4Yr'!L41+'Local Appropriations-4Yr'!L41+'Fed Contracts Grnts-4Yr'!L41+'Other Contract Grnts-4Yr'!L41+'Investment Income-4Yr'!L41+'All Other E&amp;G-4Yr'!L41</f>
        <v>0</v>
      </c>
      <c r="M41" s="104">
        <f>+'Tuition-4Yr'!M41+'State Appropriations-4Yr'!M41+'Local Appropriations-4Yr'!M41+'Fed Contracts Grnts-4Yr'!M41+'Other Contract Grnts-4Yr'!M41+'Investment Income-4Yr'!M41+'All Other E&amp;G-4Yr'!M41</f>
        <v>2089694.7579999999</v>
      </c>
      <c r="N41" s="104">
        <f>+'Tuition-4Yr'!N41+'State Appropriations-4Yr'!N41+'Local Appropriations-4Yr'!N41+'Fed Contracts Grnts-4Yr'!N41+'Other Contract Grnts-4Yr'!N41+'Investment Income-4Yr'!N41+'All Other E&amp;G-4Yr'!N41</f>
        <v>0</v>
      </c>
      <c r="O41" s="104">
        <f>+'Tuition-4Yr'!O41+'State Appropriations-4Yr'!O41+'Local Appropriations-4Yr'!O41+'Fed Contracts Grnts-4Yr'!O41+'Other Contract Grnts-4Yr'!O41+'Investment Income-4Yr'!O41+'All Other E&amp;G-4Yr'!O41</f>
        <v>2315781.5219999999</v>
      </c>
      <c r="P41" s="104">
        <f>+'Tuition-4Yr'!P41+'State Appropriations-4Yr'!P41+'Local Appropriations-4Yr'!P41+'Fed Contracts Grnts-4Yr'!P41+'Other Contract Grnts-4Yr'!P41+'Investment Income-4Yr'!P41+'All Other E&amp;G-4Yr'!P41</f>
        <v>0</v>
      </c>
      <c r="Q41" s="104">
        <f>+'Tuition-4Yr'!Q41+'State Appropriations-4Yr'!Q41+'Local Appropriations-4Yr'!Q41+'Fed Contracts Grnts-4Yr'!Q41+'Other Contract Grnts-4Yr'!Q41+'Investment Income-4Yr'!Q41+'All Other E&amp;G-4Yr'!Q41</f>
        <v>0</v>
      </c>
      <c r="R41" s="104">
        <f>+'Tuition-4Yr'!R41+'State Appropriations-4Yr'!R41+'Local Appropriations-4Yr'!R41+'Fed Contracts Grnts-4Yr'!R41+'Other Contract Grnts-4Yr'!R41+'Investment Income-4Yr'!R41+'All Other E&amp;G-4Yr'!R41</f>
        <v>2780044.5210000002</v>
      </c>
      <c r="S41" s="104">
        <f>+'Tuition-4Yr'!S41+'State Appropriations-4Yr'!S41+'Local Appropriations-4Yr'!S41+'Fed Contracts Grnts-4Yr'!S41+'Other Contract Grnts-4Yr'!S41+'Investment Income-4Yr'!S41+'All Other E&amp;G-4Yr'!S41</f>
        <v>3009608.923</v>
      </c>
      <c r="T41" s="104">
        <f>+'Tuition-4Yr'!T41+'State Appropriations-4Yr'!T41+'Local Appropriations-4Yr'!T41+'Fed Contracts Grnts-4Yr'!T41+'Other Contract Grnts-4Yr'!T41+'Investment Income-4Yr'!T41+'All Other E&amp;G-4Yr'!T41</f>
        <v>3191586.014</v>
      </c>
      <c r="U41" s="104">
        <f>+'Tuition-4Yr'!U41+'State Appropriations-4Yr'!U41+'Local Appropriations-4Yr'!U41+'Fed Contracts Grnts-4Yr'!U41+'Other Contract Grnts-4Yr'!U41+'Investment Income-4Yr'!U41+'All Other E&amp;G-4Yr'!U41</f>
        <v>3287144.6410000003</v>
      </c>
      <c r="V41" s="104">
        <f>+'Tuition-4Yr'!V41+'State Appropriations-4Yr'!V41+'Local Appropriations-4Yr'!V41+'Fed Contracts Grnts-4Yr'!V41+'Other Contract Grnts-4Yr'!V41+'Investment Income-4Yr'!V41+'All Other E&amp;G-4Yr'!V41</f>
        <v>3634199.7920000004</v>
      </c>
      <c r="W41" s="104">
        <f>+'Tuition-4Yr'!W41+'State Appropriations-4Yr'!W41+'Local Appropriations-4Yr'!W41+'Fed Contracts Grnts-4Yr'!W41+'Other Contract Grnts-4Yr'!W41+'Investment Income-4Yr'!W41+'All Other E&amp;G-4Yr'!W41</f>
        <v>4056339.6510000001</v>
      </c>
      <c r="X41" s="104">
        <f>+'Tuition-4Yr'!X41+'State Appropriations-4Yr'!X41+'Local Appropriations-4Yr'!X41+'Fed Contracts Grnts-4Yr'!X41+'Other Contract Grnts-4Yr'!X41+'Investment Income-4Yr'!X41+'All Other E&amp;G-4Yr'!X41</f>
        <v>3977458.7709999997</v>
      </c>
      <c r="Y41" s="104">
        <f>+'Tuition-4Yr'!Y41+'State Appropriations-4Yr'!Y41+'Local Appropriations-4Yr'!Y41+'Fed Contracts Grnts-4Yr'!Y41+'Other Contract Grnts-4Yr'!Y41+'Investment Income-4Yr'!Y41+'All Other E&amp;G-4Yr'!Y41</f>
        <v>4322770.7799999993</v>
      </c>
      <c r="Z41" s="104">
        <f>+'Tuition-4Yr'!Z41+'State Appropriations-4Yr'!Z41+'Local Appropriations-4Yr'!Z41+'Fed Contracts Grnts-4Yr'!Z41+'Other Contract Grnts-4Yr'!Z41+'Investment Income-4Yr'!Z41+'All Other E&amp;G-4Yr'!Z41</f>
        <v>4383900.5449999999</v>
      </c>
      <c r="AA41" s="104">
        <f>+'Tuition-4Yr'!AA41+'State Appropriations-4Yr'!AA41+'Local Appropriations-4Yr'!AA41+'Fed Contracts Grnts-4Yr'!AA41+'Other Contract Grnts-4Yr'!AA41+'Investment Income-4Yr'!AA41+'All Other E&amp;G-4Yr'!AA41</f>
        <v>4579677.1620000005</v>
      </c>
      <c r="AB41" s="104">
        <f>+'Tuition-4Yr'!AB41+'State Appropriations-4Yr'!AB41+'Local Appropriations-4Yr'!AB41+'Fed Contracts Grnts-4Yr'!AB41+'Other Contract Grnts-4Yr'!AB41+'Investment Income-4Yr'!AB41+'All Other E&amp;G-4Yr'!AB41</f>
        <v>5372996.6189999999</v>
      </c>
      <c r="AC41" s="104">
        <f>+'Tuition-4Yr'!AC41+'State Appropriations-4Yr'!AC41+'Local Appropriations-4Yr'!AC41+'Fed Contracts Grnts-4Yr'!AC41+'Other Contract Grnts-4Yr'!AC41+'Investment Income-4Yr'!AC41+'All Other E&amp;G-4Yr'!AC41</f>
        <v>5689700</v>
      </c>
      <c r="AD41" s="104">
        <f>+'Tuition-4Yr'!AD41+'State Appropriations-4Yr'!AD41+'Local Appropriations-4Yr'!AD41+'Fed Contracts Grnts-4Yr'!AD41+'Other Contract Grnts-4Yr'!AD41+'Investment Income-4Yr'!AD41+'All Other E&amp;G-4Yr'!AD41</f>
        <v>5529893.682</v>
      </c>
      <c r="AE41" s="104">
        <f>+'Tuition-4Yr'!AE41+'State Appropriations-4Yr'!AE41+'Local Appropriations-4Yr'!AE41+'Fed Contracts Grnts-4Yr'!AE41+'Other Contract Grnts-4Yr'!AE41+'Investment Income-4Yr'!AE41+'All Other E&amp;G-4Yr'!AE41</f>
        <v>5546102.5930000003</v>
      </c>
      <c r="AF41" s="104">
        <f>+'Tuition-4Yr'!AF41+'State Appropriations-4Yr'!AF41+'Local Appropriations-4Yr'!AF41+'Fed Contracts Grnts-4Yr'!AF41+'Other Contract Grnts-4Yr'!AF41+'Investment Income-4Yr'!AF41+'All Other E&amp;G-4Yr'!AF41</f>
        <v>5692613.7829999998</v>
      </c>
      <c r="AG41" s="104">
        <f>+'Tuition-4Yr'!AG41+'State Appropriations-4Yr'!AG41+'Local Appropriations-4Yr'!AG41+'Fed Contracts Grnts-4Yr'!AG41+'Other Contract Grnts-4Yr'!AG41+'Investment Income-4Yr'!AG41+'All Other E&amp;G-4Yr'!AG41</f>
        <v>5728360.0440000007</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row>
    <row r="42" spans="1:213" s="65" customFormat="1" ht="12.75" customHeight="1">
      <c r="A42" s="23" t="s">
        <v>118</v>
      </c>
      <c r="B42" s="104">
        <f>+'Tuition-4Yr'!B42+'State Appropriations-4Yr'!B42+'Local Appropriations-4Yr'!B42+'Fed Contracts Grnts-4Yr'!B42+'Other Contract Grnts-4Yr'!B42+'Investment Income-4Yr'!B42+'All Other E&amp;G-4Yr'!B42</f>
        <v>0</v>
      </c>
      <c r="C42" s="104">
        <f>+'Tuition-4Yr'!C42+'State Appropriations-4Yr'!C42+'Local Appropriations-4Yr'!C42+'Fed Contracts Grnts-4Yr'!C42+'Other Contract Grnts-4Yr'!C42+'Investment Income-4Yr'!C42+'All Other E&amp;G-4Yr'!C42</f>
        <v>0</v>
      </c>
      <c r="D42" s="104">
        <f>+'Tuition-4Yr'!D42+'State Appropriations-4Yr'!D42+'Local Appropriations-4Yr'!D42+'Fed Contracts Grnts-4Yr'!D42+'Other Contract Grnts-4Yr'!D42+'Investment Income-4Yr'!D42+'All Other E&amp;G-4Yr'!D42</f>
        <v>0</v>
      </c>
      <c r="E42" s="104">
        <f>+'Tuition-4Yr'!E42+'State Appropriations-4Yr'!E42+'Local Appropriations-4Yr'!E42+'Fed Contracts Grnts-4Yr'!E42+'Other Contract Grnts-4Yr'!E42+'Investment Income-4Yr'!E42+'All Other E&amp;G-4Yr'!E42</f>
        <v>0</v>
      </c>
      <c r="F42" s="104">
        <f>+'Tuition-4Yr'!F42+'State Appropriations-4Yr'!F42+'Local Appropriations-4Yr'!F42+'Fed Contracts Grnts-4Yr'!F42+'Other Contract Grnts-4Yr'!F42+'Investment Income-4Yr'!F42+'All Other E&amp;G-4Yr'!F42</f>
        <v>0</v>
      </c>
      <c r="G42" s="104">
        <f>+'Tuition-4Yr'!G42+'State Appropriations-4Yr'!G42+'Local Appropriations-4Yr'!G42+'Fed Contracts Grnts-4Yr'!G42+'Other Contract Grnts-4Yr'!G42+'Investment Income-4Yr'!G42+'All Other E&amp;G-4Yr'!G42</f>
        <v>0</v>
      </c>
      <c r="H42" s="104">
        <f>+'Tuition-4Yr'!H42+'State Appropriations-4Yr'!H42+'Local Appropriations-4Yr'!H42+'Fed Contracts Grnts-4Yr'!H42+'Other Contract Grnts-4Yr'!H42+'Investment Income-4Yr'!H42+'All Other E&amp;G-4Yr'!H42</f>
        <v>0</v>
      </c>
      <c r="I42" s="104">
        <f>+'Tuition-4Yr'!I42+'State Appropriations-4Yr'!I42+'Local Appropriations-4Yr'!I42+'Fed Contracts Grnts-4Yr'!I42+'Other Contract Grnts-4Yr'!I42+'Investment Income-4Yr'!I42+'All Other E&amp;G-4Yr'!I42</f>
        <v>0</v>
      </c>
      <c r="J42" s="104">
        <f>+'Tuition-4Yr'!J42+'State Appropriations-4Yr'!J42+'Local Appropriations-4Yr'!J42+'Fed Contracts Grnts-4Yr'!J42+'Other Contract Grnts-4Yr'!J42+'Investment Income-4Yr'!J42+'All Other E&amp;G-4Yr'!J42</f>
        <v>998385.72900000005</v>
      </c>
      <c r="K42" s="104">
        <f>+'Tuition-4Yr'!K42+'State Appropriations-4Yr'!K42+'Local Appropriations-4Yr'!K42+'Fed Contracts Grnts-4Yr'!K42+'Other Contract Grnts-4Yr'!K42+'Investment Income-4Yr'!K42+'All Other E&amp;G-4Yr'!K42</f>
        <v>0</v>
      </c>
      <c r="L42" s="104">
        <f>+'Tuition-4Yr'!L42+'State Appropriations-4Yr'!L42+'Local Appropriations-4Yr'!L42+'Fed Contracts Grnts-4Yr'!L42+'Other Contract Grnts-4Yr'!L42+'Investment Income-4Yr'!L42+'All Other E&amp;G-4Yr'!L42</f>
        <v>0</v>
      </c>
      <c r="M42" s="104">
        <f>+'Tuition-4Yr'!M42+'State Appropriations-4Yr'!M42+'Local Appropriations-4Yr'!M42+'Fed Contracts Grnts-4Yr'!M42+'Other Contract Grnts-4Yr'!M42+'Investment Income-4Yr'!M42+'All Other E&amp;G-4Yr'!M42</f>
        <v>1161149.0180000002</v>
      </c>
      <c r="N42" s="104">
        <f>+'Tuition-4Yr'!N42+'State Appropriations-4Yr'!N42+'Local Appropriations-4Yr'!N42+'Fed Contracts Grnts-4Yr'!N42+'Other Contract Grnts-4Yr'!N42+'Investment Income-4Yr'!N42+'All Other E&amp;G-4Yr'!N42</f>
        <v>0</v>
      </c>
      <c r="O42" s="104">
        <f>+'Tuition-4Yr'!O42+'State Appropriations-4Yr'!O42+'Local Appropriations-4Yr'!O42+'Fed Contracts Grnts-4Yr'!O42+'Other Contract Grnts-4Yr'!O42+'Investment Income-4Yr'!O42+'All Other E&amp;G-4Yr'!O42</f>
        <v>1287339.797</v>
      </c>
      <c r="P42" s="104">
        <f>+'Tuition-4Yr'!P42+'State Appropriations-4Yr'!P42+'Local Appropriations-4Yr'!P42+'Fed Contracts Grnts-4Yr'!P42+'Other Contract Grnts-4Yr'!P42+'Investment Income-4Yr'!P42+'All Other E&amp;G-4Yr'!P42</f>
        <v>0</v>
      </c>
      <c r="Q42" s="104">
        <f>+'Tuition-4Yr'!Q42+'State Appropriations-4Yr'!Q42+'Local Appropriations-4Yr'!Q42+'Fed Contracts Grnts-4Yr'!Q42+'Other Contract Grnts-4Yr'!Q42+'Investment Income-4Yr'!Q42+'All Other E&amp;G-4Yr'!Q42</f>
        <v>0</v>
      </c>
      <c r="R42" s="104">
        <f>+'Tuition-4Yr'!R42+'State Appropriations-4Yr'!R42+'Local Appropriations-4Yr'!R42+'Fed Contracts Grnts-4Yr'!R42+'Other Contract Grnts-4Yr'!R42+'Investment Income-4Yr'!R42+'All Other E&amp;G-4Yr'!R42</f>
        <v>1502571.8299999996</v>
      </c>
      <c r="S42" s="104">
        <f>+'Tuition-4Yr'!S42+'State Appropriations-4Yr'!S42+'Local Appropriations-4Yr'!S42+'Fed Contracts Grnts-4Yr'!S42+'Other Contract Grnts-4Yr'!S42+'Investment Income-4Yr'!S42+'All Other E&amp;G-4Yr'!S42</f>
        <v>1583064.7549999999</v>
      </c>
      <c r="T42" s="104">
        <f>+'Tuition-4Yr'!T42+'State Appropriations-4Yr'!T42+'Local Appropriations-4Yr'!T42+'Fed Contracts Grnts-4Yr'!T42+'Other Contract Grnts-4Yr'!T42+'Investment Income-4Yr'!T42+'All Other E&amp;G-4Yr'!T42</f>
        <v>1819136.2550000001</v>
      </c>
      <c r="U42" s="104">
        <f>+'Tuition-4Yr'!U42+'State Appropriations-4Yr'!U42+'Local Appropriations-4Yr'!U42+'Fed Contracts Grnts-4Yr'!U42+'Other Contract Grnts-4Yr'!U42+'Investment Income-4Yr'!U42+'All Other E&amp;G-4Yr'!U42</f>
        <v>1713418.4360000002</v>
      </c>
      <c r="V42" s="104">
        <f>+'Tuition-4Yr'!V42+'State Appropriations-4Yr'!V42+'Local Appropriations-4Yr'!V42+'Fed Contracts Grnts-4Yr'!V42+'Other Contract Grnts-4Yr'!V42+'Investment Income-4Yr'!V42+'All Other E&amp;G-4Yr'!V42</f>
        <v>1759903.74</v>
      </c>
      <c r="W42" s="104">
        <f>+'Tuition-4Yr'!W42+'State Appropriations-4Yr'!W42+'Local Appropriations-4Yr'!W42+'Fed Contracts Grnts-4Yr'!W42+'Other Contract Grnts-4Yr'!W42+'Investment Income-4Yr'!W42+'All Other E&amp;G-4Yr'!W42</f>
        <v>1920835.7660000001</v>
      </c>
      <c r="X42" s="104">
        <f>+'Tuition-4Yr'!X42+'State Appropriations-4Yr'!X42+'Local Appropriations-4Yr'!X42+'Fed Contracts Grnts-4Yr'!X42+'Other Contract Grnts-4Yr'!X42+'Investment Income-4Yr'!X42+'All Other E&amp;G-4Yr'!X42</f>
        <v>1961311.1470000001</v>
      </c>
      <c r="Y42" s="104">
        <f>+'Tuition-4Yr'!Y42+'State Appropriations-4Yr'!Y42+'Local Appropriations-4Yr'!Y42+'Fed Contracts Grnts-4Yr'!Y42+'Other Contract Grnts-4Yr'!Y42+'Investment Income-4Yr'!Y42+'All Other E&amp;G-4Yr'!Y42</f>
        <v>2009369.412</v>
      </c>
      <c r="Z42" s="104">
        <f>+'Tuition-4Yr'!Z42+'State Appropriations-4Yr'!Z42+'Local Appropriations-4Yr'!Z42+'Fed Contracts Grnts-4Yr'!Z42+'Other Contract Grnts-4Yr'!Z42+'Investment Income-4Yr'!Z42+'All Other E&amp;G-4Yr'!Z42</f>
        <v>2113029.1409999998</v>
      </c>
      <c r="AA42" s="104">
        <f>+'Tuition-4Yr'!AA42+'State Appropriations-4Yr'!AA42+'Local Appropriations-4Yr'!AA42+'Fed Contracts Grnts-4Yr'!AA42+'Other Contract Grnts-4Yr'!AA42+'Investment Income-4Yr'!AA42+'All Other E&amp;G-4Yr'!AA42</f>
        <v>2206184.58</v>
      </c>
      <c r="AB42" s="104">
        <f>+'Tuition-4Yr'!AB42+'State Appropriations-4Yr'!AB42+'Local Appropriations-4Yr'!AB42+'Fed Contracts Grnts-4Yr'!AB42+'Other Contract Grnts-4Yr'!AB42+'Investment Income-4Yr'!AB42+'All Other E&amp;G-4Yr'!AB42</f>
        <v>2388298.6180000002</v>
      </c>
      <c r="AC42" s="104">
        <f>+'Tuition-4Yr'!AC42+'State Appropriations-4Yr'!AC42+'Local Appropriations-4Yr'!AC42+'Fed Contracts Grnts-4Yr'!AC42+'Other Contract Grnts-4Yr'!AC42+'Investment Income-4Yr'!AC42+'All Other E&amp;G-4Yr'!AC42</f>
        <v>2480650</v>
      </c>
      <c r="AD42" s="104">
        <f>+'Tuition-4Yr'!AD42+'State Appropriations-4Yr'!AD42+'Local Appropriations-4Yr'!AD42+'Fed Contracts Grnts-4Yr'!AD42+'Other Contract Grnts-4Yr'!AD42+'Investment Income-4Yr'!AD42+'All Other E&amp;G-4Yr'!AD42</f>
        <v>2477657.753</v>
      </c>
      <c r="AE42" s="104">
        <f>+'Tuition-4Yr'!AE42+'State Appropriations-4Yr'!AE42+'Local Appropriations-4Yr'!AE42+'Fed Contracts Grnts-4Yr'!AE42+'Other Contract Grnts-4Yr'!AE42+'Investment Income-4Yr'!AE42+'All Other E&amp;G-4Yr'!AE42</f>
        <v>2553165.21</v>
      </c>
      <c r="AF42" s="104">
        <f>+'Tuition-4Yr'!AF42+'State Appropriations-4Yr'!AF42+'Local Appropriations-4Yr'!AF42+'Fed Contracts Grnts-4Yr'!AF42+'Other Contract Grnts-4Yr'!AF42+'Investment Income-4Yr'!AF42+'All Other E&amp;G-4Yr'!AF42</f>
        <v>2700439.594</v>
      </c>
      <c r="AG42" s="104">
        <f>+'Tuition-4Yr'!AG42+'State Appropriations-4Yr'!AG42+'Local Appropriations-4Yr'!AG42+'Fed Contracts Grnts-4Yr'!AG42+'Other Contract Grnts-4Yr'!AG42+'Investment Income-4Yr'!AG42+'All Other E&amp;G-4Yr'!AG42</f>
        <v>2724433.0610000002</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row>
    <row r="43" spans="1:213" s="65" customFormat="1" ht="12.75" customHeight="1">
      <c r="A43" s="23" t="s">
        <v>119</v>
      </c>
      <c r="B43" s="104">
        <f>+'Tuition-4Yr'!B43+'State Appropriations-4Yr'!B43+'Local Appropriations-4Yr'!B43+'Fed Contracts Grnts-4Yr'!B43+'Other Contract Grnts-4Yr'!B43+'Investment Income-4Yr'!B43+'All Other E&amp;G-4Yr'!B43</f>
        <v>0</v>
      </c>
      <c r="C43" s="104">
        <f>+'Tuition-4Yr'!C43+'State Appropriations-4Yr'!C43+'Local Appropriations-4Yr'!C43+'Fed Contracts Grnts-4Yr'!C43+'Other Contract Grnts-4Yr'!C43+'Investment Income-4Yr'!C43+'All Other E&amp;G-4Yr'!C43</f>
        <v>0</v>
      </c>
      <c r="D43" s="104">
        <f>+'Tuition-4Yr'!D43+'State Appropriations-4Yr'!D43+'Local Appropriations-4Yr'!D43+'Fed Contracts Grnts-4Yr'!D43+'Other Contract Grnts-4Yr'!D43+'Investment Income-4Yr'!D43+'All Other E&amp;G-4Yr'!D43</f>
        <v>0</v>
      </c>
      <c r="E43" s="104">
        <f>+'Tuition-4Yr'!E43+'State Appropriations-4Yr'!E43+'Local Appropriations-4Yr'!E43+'Fed Contracts Grnts-4Yr'!E43+'Other Contract Grnts-4Yr'!E43+'Investment Income-4Yr'!E43+'All Other E&amp;G-4Yr'!E43</f>
        <v>0</v>
      </c>
      <c r="F43" s="104">
        <f>+'Tuition-4Yr'!F43+'State Appropriations-4Yr'!F43+'Local Appropriations-4Yr'!F43+'Fed Contracts Grnts-4Yr'!F43+'Other Contract Grnts-4Yr'!F43+'Investment Income-4Yr'!F43+'All Other E&amp;G-4Yr'!F43</f>
        <v>0</v>
      </c>
      <c r="G43" s="104">
        <f>+'Tuition-4Yr'!G43+'State Appropriations-4Yr'!G43+'Local Appropriations-4Yr'!G43+'Fed Contracts Grnts-4Yr'!G43+'Other Contract Grnts-4Yr'!G43+'Investment Income-4Yr'!G43+'All Other E&amp;G-4Yr'!G43</f>
        <v>0</v>
      </c>
      <c r="H43" s="104">
        <f>+'Tuition-4Yr'!H43+'State Appropriations-4Yr'!H43+'Local Appropriations-4Yr'!H43+'Fed Contracts Grnts-4Yr'!H43+'Other Contract Grnts-4Yr'!H43+'Investment Income-4Yr'!H43+'All Other E&amp;G-4Yr'!H43</f>
        <v>0</v>
      </c>
      <c r="I43" s="104">
        <f>+'Tuition-4Yr'!I43+'State Appropriations-4Yr'!I43+'Local Appropriations-4Yr'!I43+'Fed Contracts Grnts-4Yr'!I43+'Other Contract Grnts-4Yr'!I43+'Investment Income-4Yr'!I43+'All Other E&amp;G-4Yr'!I43</f>
        <v>0</v>
      </c>
      <c r="J43" s="104">
        <f>+'Tuition-4Yr'!J43+'State Appropriations-4Yr'!J43+'Local Appropriations-4Yr'!J43+'Fed Contracts Grnts-4Yr'!J43+'Other Contract Grnts-4Yr'!J43+'Investment Income-4Yr'!J43+'All Other E&amp;G-4Yr'!J43</f>
        <v>841946.01899999997</v>
      </c>
      <c r="K43" s="104">
        <f>+'Tuition-4Yr'!K43+'State Appropriations-4Yr'!K43+'Local Appropriations-4Yr'!K43+'Fed Contracts Grnts-4Yr'!K43+'Other Contract Grnts-4Yr'!K43+'Investment Income-4Yr'!K43+'All Other E&amp;G-4Yr'!K43</f>
        <v>0</v>
      </c>
      <c r="L43" s="104">
        <f>+'Tuition-4Yr'!L43+'State Appropriations-4Yr'!L43+'Local Appropriations-4Yr'!L43+'Fed Contracts Grnts-4Yr'!L43+'Other Contract Grnts-4Yr'!L43+'Investment Income-4Yr'!L43+'All Other E&amp;G-4Yr'!L43</f>
        <v>0</v>
      </c>
      <c r="M43" s="104">
        <f>+'Tuition-4Yr'!M43+'State Appropriations-4Yr'!M43+'Local Appropriations-4Yr'!M43+'Fed Contracts Grnts-4Yr'!M43+'Other Contract Grnts-4Yr'!M43+'Investment Income-4Yr'!M43+'All Other E&amp;G-4Yr'!M43</f>
        <v>988836.88400000008</v>
      </c>
      <c r="N43" s="104">
        <f>+'Tuition-4Yr'!N43+'State Appropriations-4Yr'!N43+'Local Appropriations-4Yr'!N43+'Fed Contracts Grnts-4Yr'!N43+'Other Contract Grnts-4Yr'!N43+'Investment Income-4Yr'!N43+'All Other E&amp;G-4Yr'!N43</f>
        <v>0</v>
      </c>
      <c r="O43" s="104">
        <f>+'Tuition-4Yr'!O43+'State Appropriations-4Yr'!O43+'Local Appropriations-4Yr'!O43+'Fed Contracts Grnts-4Yr'!O43+'Other Contract Grnts-4Yr'!O43+'Investment Income-4Yr'!O43+'All Other E&amp;G-4Yr'!O43</f>
        <v>1066979.1523799999</v>
      </c>
      <c r="P43" s="104">
        <f>+'Tuition-4Yr'!P43+'State Appropriations-4Yr'!P43+'Local Appropriations-4Yr'!P43+'Fed Contracts Grnts-4Yr'!P43+'Other Contract Grnts-4Yr'!P43+'Investment Income-4Yr'!P43+'All Other E&amp;G-4Yr'!P43</f>
        <v>0</v>
      </c>
      <c r="Q43" s="104">
        <f>+'Tuition-4Yr'!Q43+'State Appropriations-4Yr'!Q43+'Local Appropriations-4Yr'!Q43+'Fed Contracts Grnts-4Yr'!Q43+'Other Contract Grnts-4Yr'!Q43+'Investment Income-4Yr'!Q43+'All Other E&amp;G-4Yr'!Q43</f>
        <v>0</v>
      </c>
      <c r="R43" s="104">
        <f>+'Tuition-4Yr'!R43+'State Appropriations-4Yr'!R43+'Local Appropriations-4Yr'!R43+'Fed Contracts Grnts-4Yr'!R43+'Other Contract Grnts-4Yr'!R43+'Investment Income-4Yr'!R43+'All Other E&amp;G-4Yr'!R43</f>
        <v>1305537.2860000001</v>
      </c>
      <c r="S43" s="104">
        <f>+'Tuition-4Yr'!S43+'State Appropriations-4Yr'!S43+'Local Appropriations-4Yr'!S43+'Fed Contracts Grnts-4Yr'!S43+'Other Contract Grnts-4Yr'!S43+'Investment Income-4Yr'!S43+'All Other E&amp;G-4Yr'!S43</f>
        <v>1369947.9040000001</v>
      </c>
      <c r="T43" s="104">
        <f>+'Tuition-4Yr'!T43+'State Appropriations-4Yr'!T43+'Local Appropriations-4Yr'!T43+'Fed Contracts Grnts-4Yr'!T43+'Other Contract Grnts-4Yr'!T43+'Investment Income-4Yr'!T43+'All Other E&amp;G-4Yr'!T43</f>
        <v>1431305.344</v>
      </c>
      <c r="U43" s="104">
        <f>+'Tuition-4Yr'!U43+'State Appropriations-4Yr'!U43+'Local Appropriations-4Yr'!U43+'Fed Contracts Grnts-4Yr'!U43+'Other Contract Grnts-4Yr'!U43+'Investment Income-4Yr'!U43+'All Other E&amp;G-4Yr'!U43</f>
        <v>1528019.9909999999</v>
      </c>
      <c r="V43" s="104">
        <f>+'Tuition-4Yr'!V43+'State Appropriations-4Yr'!V43+'Local Appropriations-4Yr'!V43+'Fed Contracts Grnts-4Yr'!V43+'Other Contract Grnts-4Yr'!V43+'Investment Income-4Yr'!V43+'All Other E&amp;G-4Yr'!V43</f>
        <v>1646322.7140000002</v>
      </c>
      <c r="W43" s="104">
        <f>+'Tuition-4Yr'!W43+'State Appropriations-4Yr'!W43+'Local Appropriations-4Yr'!W43+'Fed Contracts Grnts-4Yr'!W43+'Other Contract Grnts-4Yr'!W43+'Investment Income-4Yr'!W43+'All Other E&amp;G-4Yr'!W43</f>
        <v>1806344.2149999999</v>
      </c>
      <c r="X43" s="104">
        <f>+'Tuition-4Yr'!X43+'State Appropriations-4Yr'!X43+'Local Appropriations-4Yr'!X43+'Fed Contracts Grnts-4Yr'!X43+'Other Contract Grnts-4Yr'!X43+'Investment Income-4Yr'!X43+'All Other E&amp;G-4Yr'!X43</f>
        <v>1884086.0290000001</v>
      </c>
      <c r="Y43" s="104">
        <f>+'Tuition-4Yr'!Y43+'State Appropriations-4Yr'!Y43+'Local Appropriations-4Yr'!Y43+'Fed Contracts Grnts-4Yr'!Y43+'Other Contract Grnts-4Yr'!Y43+'Investment Income-4Yr'!Y43+'All Other E&amp;G-4Yr'!Y43</f>
        <v>1905856.702</v>
      </c>
      <c r="Z43" s="104">
        <f>+'Tuition-4Yr'!Z43+'State Appropriations-4Yr'!Z43+'Local Appropriations-4Yr'!Z43+'Fed Contracts Grnts-4Yr'!Z43+'Other Contract Grnts-4Yr'!Z43+'Investment Income-4Yr'!Z43+'All Other E&amp;G-4Yr'!Z43</f>
        <v>1842517.868</v>
      </c>
      <c r="AA43" s="104">
        <f>+'Tuition-4Yr'!AA43+'State Appropriations-4Yr'!AA43+'Local Appropriations-4Yr'!AA43+'Fed Contracts Grnts-4Yr'!AA43+'Other Contract Grnts-4Yr'!AA43+'Investment Income-4Yr'!AA43+'All Other E&amp;G-4Yr'!AA43</f>
        <v>1977508.2139999999</v>
      </c>
      <c r="AB43" s="104">
        <f>+'Tuition-4Yr'!AB43+'State Appropriations-4Yr'!AB43+'Local Appropriations-4Yr'!AB43+'Fed Contracts Grnts-4Yr'!AB43+'Other Contract Grnts-4Yr'!AB43+'Investment Income-4Yr'!AB43+'All Other E&amp;G-4Yr'!AB43</f>
        <v>2171336.0579999997</v>
      </c>
      <c r="AC43" s="104">
        <f>+'Tuition-4Yr'!AC43+'State Appropriations-4Yr'!AC43+'Local Appropriations-4Yr'!AC43+'Fed Contracts Grnts-4Yr'!AC43+'Other Contract Grnts-4Yr'!AC43+'Investment Income-4Yr'!AC43+'All Other E&amp;G-4Yr'!AC43</f>
        <v>2317908</v>
      </c>
      <c r="AD43" s="104">
        <f>+'Tuition-4Yr'!AD43+'State Appropriations-4Yr'!AD43+'Local Appropriations-4Yr'!AD43+'Fed Contracts Grnts-4Yr'!AD43+'Other Contract Grnts-4Yr'!AD43+'Investment Income-4Yr'!AD43+'All Other E&amp;G-4Yr'!AD43</f>
        <v>2363021.4019999998</v>
      </c>
      <c r="AE43" s="104">
        <f>+'Tuition-4Yr'!AE43+'State Appropriations-4Yr'!AE43+'Local Appropriations-4Yr'!AE43+'Fed Contracts Grnts-4Yr'!AE43+'Other Contract Grnts-4Yr'!AE43+'Investment Income-4Yr'!AE43+'All Other E&amp;G-4Yr'!AE43</f>
        <v>2386140.4990000003</v>
      </c>
      <c r="AF43" s="104">
        <f>+'Tuition-4Yr'!AF43+'State Appropriations-4Yr'!AF43+'Local Appropriations-4Yr'!AF43+'Fed Contracts Grnts-4Yr'!AF43+'Other Contract Grnts-4Yr'!AF43+'Investment Income-4Yr'!AF43+'All Other E&amp;G-4Yr'!AF43</f>
        <v>2261978.3429999999</v>
      </c>
      <c r="AG43" s="104">
        <f>+'Tuition-4Yr'!AG43+'State Appropriations-4Yr'!AG43+'Local Appropriations-4Yr'!AG43+'Fed Contracts Grnts-4Yr'!AG43+'Other Contract Grnts-4Yr'!AG43+'Investment Income-4Yr'!AG43+'All Other E&amp;G-4Yr'!AG43</f>
        <v>2489861.3660000004</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row>
    <row r="44" spans="1:213" s="65" customFormat="1" ht="12.75" customHeight="1">
      <c r="A44" s="23" t="s">
        <v>122</v>
      </c>
      <c r="B44" s="104">
        <f>+'Tuition-4Yr'!B44+'State Appropriations-4Yr'!B44+'Local Appropriations-4Yr'!B44+'Fed Contracts Grnts-4Yr'!B44+'Other Contract Grnts-4Yr'!B44+'Investment Income-4Yr'!B44+'All Other E&amp;G-4Yr'!B44</f>
        <v>0</v>
      </c>
      <c r="C44" s="104">
        <f>+'Tuition-4Yr'!C44+'State Appropriations-4Yr'!C44+'Local Appropriations-4Yr'!C44+'Fed Contracts Grnts-4Yr'!C44+'Other Contract Grnts-4Yr'!C44+'Investment Income-4Yr'!C44+'All Other E&amp;G-4Yr'!C44</f>
        <v>0</v>
      </c>
      <c r="D44" s="104">
        <f>+'Tuition-4Yr'!D44+'State Appropriations-4Yr'!D44+'Local Appropriations-4Yr'!D44+'Fed Contracts Grnts-4Yr'!D44+'Other Contract Grnts-4Yr'!D44+'Investment Income-4Yr'!D44+'All Other E&amp;G-4Yr'!D44</f>
        <v>0</v>
      </c>
      <c r="E44" s="104">
        <f>+'Tuition-4Yr'!E44+'State Appropriations-4Yr'!E44+'Local Appropriations-4Yr'!E44+'Fed Contracts Grnts-4Yr'!E44+'Other Contract Grnts-4Yr'!E44+'Investment Income-4Yr'!E44+'All Other E&amp;G-4Yr'!E44</f>
        <v>0</v>
      </c>
      <c r="F44" s="104">
        <f>+'Tuition-4Yr'!F44+'State Appropriations-4Yr'!F44+'Local Appropriations-4Yr'!F44+'Fed Contracts Grnts-4Yr'!F44+'Other Contract Grnts-4Yr'!F44+'Investment Income-4Yr'!F44+'All Other E&amp;G-4Yr'!F44</f>
        <v>0</v>
      </c>
      <c r="G44" s="104">
        <f>+'Tuition-4Yr'!G44+'State Appropriations-4Yr'!G44+'Local Appropriations-4Yr'!G44+'Fed Contracts Grnts-4Yr'!G44+'Other Contract Grnts-4Yr'!G44+'Investment Income-4Yr'!G44+'All Other E&amp;G-4Yr'!G44</f>
        <v>0</v>
      </c>
      <c r="H44" s="104">
        <f>+'Tuition-4Yr'!H44+'State Appropriations-4Yr'!H44+'Local Appropriations-4Yr'!H44+'Fed Contracts Grnts-4Yr'!H44+'Other Contract Grnts-4Yr'!H44+'Investment Income-4Yr'!H44+'All Other E&amp;G-4Yr'!H44</f>
        <v>0</v>
      </c>
      <c r="I44" s="104">
        <f>+'Tuition-4Yr'!I44+'State Appropriations-4Yr'!I44+'Local Appropriations-4Yr'!I44+'Fed Contracts Grnts-4Yr'!I44+'Other Contract Grnts-4Yr'!I44+'Investment Income-4Yr'!I44+'All Other E&amp;G-4Yr'!I44</f>
        <v>0</v>
      </c>
      <c r="J44" s="104">
        <f>+'Tuition-4Yr'!J44+'State Appropriations-4Yr'!J44+'Local Appropriations-4Yr'!J44+'Fed Contracts Grnts-4Yr'!J44+'Other Contract Grnts-4Yr'!J44+'Investment Income-4Yr'!J44+'All Other E&amp;G-4Yr'!J44</f>
        <v>3145435.8160000001</v>
      </c>
      <c r="K44" s="104">
        <f>+'Tuition-4Yr'!K44+'State Appropriations-4Yr'!K44+'Local Appropriations-4Yr'!K44+'Fed Contracts Grnts-4Yr'!K44+'Other Contract Grnts-4Yr'!K44+'Investment Income-4Yr'!K44+'All Other E&amp;G-4Yr'!K44</f>
        <v>0</v>
      </c>
      <c r="L44" s="104">
        <f>+'Tuition-4Yr'!L44+'State Appropriations-4Yr'!L44+'Local Appropriations-4Yr'!L44+'Fed Contracts Grnts-4Yr'!L44+'Other Contract Grnts-4Yr'!L44+'Investment Income-4Yr'!L44+'All Other E&amp;G-4Yr'!L44</f>
        <v>0</v>
      </c>
      <c r="M44" s="104">
        <f>+'Tuition-4Yr'!M44+'State Appropriations-4Yr'!M44+'Local Appropriations-4Yr'!M44+'Fed Contracts Grnts-4Yr'!M44+'Other Contract Grnts-4Yr'!M44+'Investment Income-4Yr'!M44+'All Other E&amp;G-4Yr'!M44</f>
        <v>3535171.8060000003</v>
      </c>
      <c r="N44" s="104">
        <f>+'Tuition-4Yr'!N44+'State Appropriations-4Yr'!N44+'Local Appropriations-4Yr'!N44+'Fed Contracts Grnts-4Yr'!N44+'Other Contract Grnts-4Yr'!N44+'Investment Income-4Yr'!N44+'All Other E&amp;G-4Yr'!N44</f>
        <v>0</v>
      </c>
      <c r="O44" s="104">
        <f>+'Tuition-4Yr'!O44+'State Appropriations-4Yr'!O44+'Local Appropriations-4Yr'!O44+'Fed Contracts Grnts-4Yr'!O44+'Other Contract Grnts-4Yr'!O44+'Investment Income-4Yr'!O44+'All Other E&amp;G-4Yr'!O44</f>
        <v>3983679.5309999995</v>
      </c>
      <c r="P44" s="104">
        <f>+'Tuition-4Yr'!P44+'State Appropriations-4Yr'!P44+'Local Appropriations-4Yr'!P44+'Fed Contracts Grnts-4Yr'!P44+'Other Contract Grnts-4Yr'!P44+'Investment Income-4Yr'!P44+'All Other E&amp;G-4Yr'!P44</f>
        <v>0</v>
      </c>
      <c r="Q44" s="104">
        <f>+'Tuition-4Yr'!Q44+'State Appropriations-4Yr'!Q44+'Local Appropriations-4Yr'!Q44+'Fed Contracts Grnts-4Yr'!Q44+'Other Contract Grnts-4Yr'!Q44+'Investment Income-4Yr'!Q44+'All Other E&amp;G-4Yr'!Q44</f>
        <v>0</v>
      </c>
      <c r="R44" s="104">
        <f>+'Tuition-4Yr'!R44+'State Appropriations-4Yr'!R44+'Local Appropriations-4Yr'!R44+'Fed Contracts Grnts-4Yr'!R44+'Other Contract Grnts-4Yr'!R44+'Investment Income-4Yr'!R44+'All Other E&amp;G-4Yr'!R44</f>
        <v>4789212.1439999994</v>
      </c>
      <c r="S44" s="104">
        <f>+'Tuition-4Yr'!S44+'State Appropriations-4Yr'!S44+'Local Appropriations-4Yr'!S44+'Fed Contracts Grnts-4Yr'!S44+'Other Contract Grnts-4Yr'!S44+'Investment Income-4Yr'!S44+'All Other E&amp;G-4Yr'!S44</f>
        <v>5077063.0200000005</v>
      </c>
      <c r="T44" s="104">
        <f>+'Tuition-4Yr'!T44+'State Appropriations-4Yr'!T44+'Local Appropriations-4Yr'!T44+'Fed Contracts Grnts-4Yr'!T44+'Other Contract Grnts-4Yr'!T44+'Investment Income-4Yr'!T44+'All Other E&amp;G-4Yr'!T44</f>
        <v>5568789.4440000001</v>
      </c>
      <c r="U44" s="104">
        <f>+'Tuition-4Yr'!U44+'State Appropriations-4Yr'!U44+'Local Appropriations-4Yr'!U44+'Fed Contracts Grnts-4Yr'!U44+'Other Contract Grnts-4Yr'!U44+'Investment Income-4Yr'!U44+'All Other E&amp;G-4Yr'!U44</f>
        <v>5570133.9569999995</v>
      </c>
      <c r="V44" s="104">
        <f>+'Tuition-4Yr'!V44+'State Appropriations-4Yr'!V44+'Local Appropriations-4Yr'!V44+'Fed Contracts Grnts-4Yr'!V44+'Other Contract Grnts-4Yr'!V44+'Investment Income-4Yr'!V44+'All Other E&amp;G-4Yr'!V44</f>
        <v>6237140.4220000012</v>
      </c>
      <c r="W44" s="104">
        <f>+'Tuition-4Yr'!W44+'State Appropriations-4Yr'!W44+'Local Appropriations-4Yr'!W44+'Fed Contracts Grnts-4Yr'!W44+'Other Contract Grnts-4Yr'!W44+'Investment Income-4Yr'!W44+'All Other E&amp;G-4Yr'!W44</f>
        <v>7042221.8269999996</v>
      </c>
      <c r="X44" s="104">
        <f>+'Tuition-4Yr'!X44+'State Appropriations-4Yr'!X44+'Local Appropriations-4Yr'!X44+'Fed Contracts Grnts-4Yr'!X44+'Other Contract Grnts-4Yr'!X44+'Investment Income-4Yr'!X44+'All Other E&amp;G-4Yr'!X44</f>
        <v>6965041.2389999991</v>
      </c>
      <c r="Y44" s="104">
        <f>+'Tuition-4Yr'!Y44+'State Appropriations-4Yr'!Y44+'Local Appropriations-4Yr'!Y44+'Fed Contracts Grnts-4Yr'!Y44+'Other Contract Grnts-4Yr'!Y44+'Investment Income-4Yr'!Y44+'All Other E&amp;G-4Yr'!Y44</f>
        <v>7895099.6509999996</v>
      </c>
      <c r="Z44" s="104">
        <f>+'Tuition-4Yr'!Z44+'State Appropriations-4Yr'!Z44+'Local Appropriations-4Yr'!Z44+'Fed Contracts Grnts-4Yr'!Z44+'Other Contract Grnts-4Yr'!Z44+'Investment Income-4Yr'!Z44+'All Other E&amp;G-4Yr'!Z44</f>
        <v>6830768.1779999994</v>
      </c>
      <c r="AA44" s="104">
        <f>+'Tuition-4Yr'!AA44+'State Appropriations-4Yr'!AA44+'Local Appropriations-4Yr'!AA44+'Fed Contracts Grnts-4Yr'!AA44+'Other Contract Grnts-4Yr'!AA44+'Investment Income-4Yr'!AA44+'All Other E&amp;G-4Yr'!AA44</f>
        <v>4748204.4359999998</v>
      </c>
      <c r="AB44" s="104">
        <f>+'Tuition-4Yr'!AB44+'State Appropriations-4Yr'!AB44+'Local Appropriations-4Yr'!AB44+'Fed Contracts Grnts-4Yr'!AB44+'Other Contract Grnts-4Yr'!AB44+'Investment Income-4Yr'!AB44+'All Other E&amp;G-4Yr'!AB44</f>
        <v>8761845.932</v>
      </c>
      <c r="AC44" s="104">
        <f>+'Tuition-4Yr'!AC44+'State Appropriations-4Yr'!AC44+'Local Appropriations-4Yr'!AC44+'Fed Contracts Grnts-4Yr'!AC44+'Other Contract Grnts-4Yr'!AC44+'Investment Income-4Yr'!AC44+'All Other E&amp;G-4Yr'!AC44</f>
        <v>10114628</v>
      </c>
      <c r="AD44" s="104">
        <f>+'Tuition-4Yr'!AD44+'State Appropriations-4Yr'!AD44+'Local Appropriations-4Yr'!AD44+'Fed Contracts Grnts-4Yr'!AD44+'Other Contract Grnts-4Yr'!AD44+'Investment Income-4Yr'!AD44+'All Other E&amp;G-4Yr'!AD44</f>
        <v>8227260.2069999995</v>
      </c>
      <c r="AE44" s="104">
        <f>+'Tuition-4Yr'!AE44+'State Appropriations-4Yr'!AE44+'Local Appropriations-4Yr'!AE44+'Fed Contracts Grnts-4Yr'!AE44+'Other Contract Grnts-4Yr'!AE44+'Investment Income-4Yr'!AE44+'All Other E&amp;G-4Yr'!AE44</f>
        <v>9560647.9139999989</v>
      </c>
      <c r="AF44" s="104">
        <f>+'Tuition-4Yr'!AF44+'State Appropriations-4Yr'!AF44+'Local Appropriations-4Yr'!AF44+'Fed Contracts Grnts-4Yr'!AF44+'Other Contract Grnts-4Yr'!AF44+'Investment Income-4Yr'!AF44+'All Other E&amp;G-4Yr'!AF44</f>
        <v>10307577.704</v>
      </c>
      <c r="AG44" s="104">
        <f>+'Tuition-4Yr'!AG44+'State Appropriations-4Yr'!AG44+'Local Appropriations-4Yr'!AG44+'Fed Contracts Grnts-4Yr'!AG44+'Other Contract Grnts-4Yr'!AG44+'Investment Income-4Yr'!AG44+'All Other E&amp;G-4Yr'!AG44</f>
        <v>9464031.9509999994</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row>
    <row r="45" spans="1:213" s="65" customFormat="1" ht="12.75" customHeight="1">
      <c r="A45" s="23" t="s">
        <v>123</v>
      </c>
      <c r="B45" s="104">
        <f>+'Tuition-4Yr'!B45+'State Appropriations-4Yr'!B45+'Local Appropriations-4Yr'!B45+'Fed Contracts Grnts-4Yr'!B45+'Other Contract Grnts-4Yr'!B45+'Investment Income-4Yr'!B45+'All Other E&amp;G-4Yr'!B45</f>
        <v>0</v>
      </c>
      <c r="C45" s="104">
        <f>+'Tuition-4Yr'!C45+'State Appropriations-4Yr'!C45+'Local Appropriations-4Yr'!C45+'Fed Contracts Grnts-4Yr'!C45+'Other Contract Grnts-4Yr'!C45+'Investment Income-4Yr'!C45+'All Other E&amp;G-4Yr'!C45</f>
        <v>0</v>
      </c>
      <c r="D45" s="104">
        <f>+'Tuition-4Yr'!D45+'State Appropriations-4Yr'!D45+'Local Appropriations-4Yr'!D45+'Fed Contracts Grnts-4Yr'!D45+'Other Contract Grnts-4Yr'!D45+'Investment Income-4Yr'!D45+'All Other E&amp;G-4Yr'!D45</f>
        <v>0</v>
      </c>
      <c r="E45" s="104">
        <f>+'Tuition-4Yr'!E45+'State Appropriations-4Yr'!E45+'Local Appropriations-4Yr'!E45+'Fed Contracts Grnts-4Yr'!E45+'Other Contract Grnts-4Yr'!E45+'Investment Income-4Yr'!E45+'All Other E&amp;G-4Yr'!E45</f>
        <v>0</v>
      </c>
      <c r="F45" s="104">
        <f>+'Tuition-4Yr'!F45+'State Appropriations-4Yr'!F45+'Local Appropriations-4Yr'!F45+'Fed Contracts Grnts-4Yr'!F45+'Other Contract Grnts-4Yr'!F45+'Investment Income-4Yr'!F45+'All Other E&amp;G-4Yr'!F45</f>
        <v>0</v>
      </c>
      <c r="G45" s="104">
        <f>+'Tuition-4Yr'!G45+'State Appropriations-4Yr'!G45+'Local Appropriations-4Yr'!G45+'Fed Contracts Grnts-4Yr'!G45+'Other Contract Grnts-4Yr'!G45+'Investment Income-4Yr'!G45+'All Other E&amp;G-4Yr'!G45</f>
        <v>0</v>
      </c>
      <c r="H45" s="104">
        <f>+'Tuition-4Yr'!H45+'State Appropriations-4Yr'!H45+'Local Appropriations-4Yr'!H45+'Fed Contracts Grnts-4Yr'!H45+'Other Contract Grnts-4Yr'!H45+'Investment Income-4Yr'!H45+'All Other E&amp;G-4Yr'!H45</f>
        <v>0</v>
      </c>
      <c r="I45" s="104">
        <f>+'Tuition-4Yr'!I45+'State Appropriations-4Yr'!I45+'Local Appropriations-4Yr'!I45+'Fed Contracts Grnts-4Yr'!I45+'Other Contract Grnts-4Yr'!I45+'Investment Income-4Yr'!I45+'All Other E&amp;G-4Yr'!I45</f>
        <v>0</v>
      </c>
      <c r="J45" s="104">
        <f>+'Tuition-4Yr'!J45+'State Appropriations-4Yr'!J45+'Local Appropriations-4Yr'!J45+'Fed Contracts Grnts-4Yr'!J45+'Other Contract Grnts-4Yr'!J45+'Investment Income-4Yr'!J45+'All Other E&amp;G-4Yr'!J45</f>
        <v>1446968.1539999999</v>
      </c>
      <c r="K45" s="104">
        <f>+'Tuition-4Yr'!K45+'State Appropriations-4Yr'!K45+'Local Appropriations-4Yr'!K45+'Fed Contracts Grnts-4Yr'!K45+'Other Contract Grnts-4Yr'!K45+'Investment Income-4Yr'!K45+'All Other E&amp;G-4Yr'!K45</f>
        <v>0</v>
      </c>
      <c r="L45" s="104">
        <f>+'Tuition-4Yr'!L45+'State Appropriations-4Yr'!L45+'Local Appropriations-4Yr'!L45+'Fed Contracts Grnts-4Yr'!L45+'Other Contract Grnts-4Yr'!L45+'Investment Income-4Yr'!L45+'All Other E&amp;G-4Yr'!L45</f>
        <v>0</v>
      </c>
      <c r="M45" s="104">
        <f>+'Tuition-4Yr'!M45+'State Appropriations-4Yr'!M45+'Local Appropriations-4Yr'!M45+'Fed Contracts Grnts-4Yr'!M45+'Other Contract Grnts-4Yr'!M45+'Investment Income-4Yr'!M45+'All Other E&amp;G-4Yr'!M45</f>
        <v>1622596.4020000002</v>
      </c>
      <c r="N45" s="104">
        <f>+'Tuition-4Yr'!N45+'State Appropriations-4Yr'!N45+'Local Appropriations-4Yr'!N45+'Fed Contracts Grnts-4Yr'!N45+'Other Contract Grnts-4Yr'!N45+'Investment Income-4Yr'!N45+'All Other E&amp;G-4Yr'!N45</f>
        <v>0</v>
      </c>
      <c r="O45" s="104">
        <f>+'Tuition-4Yr'!O45+'State Appropriations-4Yr'!O45+'Local Appropriations-4Yr'!O45+'Fed Contracts Grnts-4Yr'!O45+'Other Contract Grnts-4Yr'!O45+'Investment Income-4Yr'!O45+'All Other E&amp;G-4Yr'!O45</f>
        <v>1746462.0210000002</v>
      </c>
      <c r="P45" s="104">
        <f>+'Tuition-4Yr'!P45+'State Appropriations-4Yr'!P45+'Local Appropriations-4Yr'!P45+'Fed Contracts Grnts-4Yr'!P45+'Other Contract Grnts-4Yr'!P45+'Investment Income-4Yr'!P45+'All Other E&amp;G-4Yr'!P45</f>
        <v>0</v>
      </c>
      <c r="Q45" s="104">
        <f>+'Tuition-4Yr'!Q45+'State Appropriations-4Yr'!Q45+'Local Appropriations-4Yr'!Q45+'Fed Contracts Grnts-4Yr'!Q45+'Other Contract Grnts-4Yr'!Q45+'Investment Income-4Yr'!Q45+'All Other E&amp;G-4Yr'!Q45</f>
        <v>0</v>
      </c>
      <c r="R45" s="104">
        <f>+'Tuition-4Yr'!R45+'State Appropriations-4Yr'!R45+'Local Appropriations-4Yr'!R45+'Fed Contracts Grnts-4Yr'!R45+'Other Contract Grnts-4Yr'!R45+'Investment Income-4Yr'!R45+'All Other E&amp;G-4Yr'!R45</f>
        <v>2071779.8930000002</v>
      </c>
      <c r="S45" s="104">
        <f>+'Tuition-4Yr'!S45+'State Appropriations-4Yr'!S45+'Local Appropriations-4Yr'!S45+'Fed Contracts Grnts-4Yr'!S45+'Other Contract Grnts-4Yr'!S45+'Investment Income-4Yr'!S45+'All Other E&amp;G-4Yr'!S45</f>
        <v>2207698.4069999997</v>
      </c>
      <c r="T45" s="104">
        <f>+'Tuition-4Yr'!T45+'State Appropriations-4Yr'!T45+'Local Appropriations-4Yr'!T45+'Fed Contracts Grnts-4Yr'!T45+'Other Contract Grnts-4Yr'!T45+'Investment Income-4Yr'!T45+'All Other E&amp;G-4Yr'!T45</f>
        <v>2322433.2560000001</v>
      </c>
      <c r="U45" s="104">
        <f>+'Tuition-4Yr'!U45+'State Appropriations-4Yr'!U45+'Local Appropriations-4Yr'!U45+'Fed Contracts Grnts-4Yr'!U45+'Other Contract Grnts-4Yr'!U45+'Investment Income-4Yr'!U45+'All Other E&amp;G-4Yr'!U45</f>
        <v>2439545.2070000004</v>
      </c>
      <c r="V45" s="104">
        <f>+'Tuition-4Yr'!V45+'State Appropriations-4Yr'!V45+'Local Appropriations-4Yr'!V45+'Fed Contracts Grnts-4Yr'!V45+'Other Contract Grnts-4Yr'!V45+'Investment Income-4Yr'!V45+'All Other E&amp;G-4Yr'!V45</f>
        <v>2595493.4280000003</v>
      </c>
      <c r="W45" s="104">
        <f>+'Tuition-4Yr'!W45+'State Appropriations-4Yr'!W45+'Local Appropriations-4Yr'!W45+'Fed Contracts Grnts-4Yr'!W45+'Other Contract Grnts-4Yr'!W45+'Investment Income-4Yr'!W45+'All Other E&amp;G-4Yr'!W45</f>
        <v>2871003.8380000005</v>
      </c>
      <c r="X45" s="104">
        <f>+'Tuition-4Yr'!X45+'State Appropriations-4Yr'!X45+'Local Appropriations-4Yr'!X45+'Fed Contracts Grnts-4Yr'!X45+'Other Contract Grnts-4Yr'!X45+'Investment Income-4Yr'!X45+'All Other E&amp;G-4Yr'!X45</f>
        <v>2809300.6880000001</v>
      </c>
      <c r="Y45" s="104">
        <f>+'Tuition-4Yr'!Y45+'State Appropriations-4Yr'!Y45+'Local Appropriations-4Yr'!Y45+'Fed Contracts Grnts-4Yr'!Y45+'Other Contract Grnts-4Yr'!Y45+'Investment Income-4Yr'!Y45+'All Other E&amp;G-4Yr'!Y45</f>
        <v>2957795.3470000001</v>
      </c>
      <c r="Z45" s="104">
        <f>+'Tuition-4Yr'!Z45+'State Appropriations-4Yr'!Z45+'Local Appropriations-4Yr'!Z45+'Fed Contracts Grnts-4Yr'!Z45+'Other Contract Grnts-4Yr'!Z45+'Investment Income-4Yr'!Z45+'All Other E&amp;G-4Yr'!Z45</f>
        <v>2974748.091</v>
      </c>
      <c r="AA45" s="104">
        <f>+'Tuition-4Yr'!AA45+'State Appropriations-4Yr'!AA45+'Local Appropriations-4Yr'!AA45+'Fed Contracts Grnts-4Yr'!AA45+'Other Contract Grnts-4Yr'!AA45+'Investment Income-4Yr'!AA45+'All Other E&amp;G-4Yr'!AA45</f>
        <v>2910151.26</v>
      </c>
      <c r="AB45" s="104">
        <f>+'Tuition-4Yr'!AB45+'State Appropriations-4Yr'!AB45+'Local Appropriations-4Yr'!AB45+'Fed Contracts Grnts-4Yr'!AB45+'Other Contract Grnts-4Yr'!AB45+'Investment Income-4Yr'!AB45+'All Other E&amp;G-4Yr'!AB45</f>
        <v>3684866.0019999999</v>
      </c>
      <c r="AC45" s="104">
        <f>+'Tuition-4Yr'!AC45+'State Appropriations-4Yr'!AC45+'Local Appropriations-4Yr'!AC45+'Fed Contracts Grnts-4Yr'!AC45+'Other Contract Grnts-4Yr'!AC45+'Investment Income-4Yr'!AC45+'All Other E&amp;G-4Yr'!AC45</f>
        <v>3841784</v>
      </c>
      <c r="AD45" s="104">
        <f>+'Tuition-4Yr'!AD45+'State Appropriations-4Yr'!AD45+'Local Appropriations-4Yr'!AD45+'Fed Contracts Grnts-4Yr'!AD45+'Other Contract Grnts-4Yr'!AD45+'Investment Income-4Yr'!AD45+'All Other E&amp;G-4Yr'!AD45</f>
        <v>3694263.4630000005</v>
      </c>
      <c r="AE45" s="104">
        <f>+'Tuition-4Yr'!AE45+'State Appropriations-4Yr'!AE45+'Local Appropriations-4Yr'!AE45+'Fed Contracts Grnts-4Yr'!AE45+'Other Contract Grnts-4Yr'!AE45+'Investment Income-4Yr'!AE45+'All Other E&amp;G-4Yr'!AE45</f>
        <v>3860913.858</v>
      </c>
      <c r="AF45" s="104">
        <f>+'Tuition-4Yr'!AF45+'State Appropriations-4Yr'!AF45+'Local Appropriations-4Yr'!AF45+'Fed Contracts Grnts-4Yr'!AF45+'Other Contract Grnts-4Yr'!AF45+'Investment Income-4Yr'!AF45+'All Other E&amp;G-4Yr'!AF45</f>
        <v>3930142.2909999997</v>
      </c>
      <c r="AG45" s="104">
        <f>+'Tuition-4Yr'!AG45+'State Appropriations-4Yr'!AG45+'Local Appropriations-4Yr'!AG45+'Fed Contracts Grnts-4Yr'!AG45+'Other Contract Grnts-4Yr'!AG45+'Investment Income-4Yr'!AG45+'All Other E&amp;G-4Yr'!AG45</f>
        <v>3979971.7349999999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row>
    <row r="46" spans="1:213" s="65" customFormat="1" ht="12.75" customHeight="1">
      <c r="A46" s="23" t="s">
        <v>67</v>
      </c>
      <c r="B46" s="104">
        <f>+'Tuition-4Yr'!B46+'State Appropriations-4Yr'!B46+'Local Appropriations-4Yr'!B46+'Fed Contracts Grnts-4Yr'!B46+'Other Contract Grnts-4Yr'!B46+'Investment Income-4Yr'!B46+'All Other E&amp;G-4Yr'!B46</f>
        <v>0</v>
      </c>
      <c r="C46" s="104">
        <f>+'Tuition-4Yr'!C46+'State Appropriations-4Yr'!C46+'Local Appropriations-4Yr'!C46+'Fed Contracts Grnts-4Yr'!C46+'Other Contract Grnts-4Yr'!C46+'Investment Income-4Yr'!C46+'All Other E&amp;G-4Yr'!C46</f>
        <v>0</v>
      </c>
      <c r="D46" s="104">
        <f>+'Tuition-4Yr'!D46+'State Appropriations-4Yr'!D46+'Local Appropriations-4Yr'!D46+'Fed Contracts Grnts-4Yr'!D46+'Other Contract Grnts-4Yr'!D46+'Investment Income-4Yr'!D46+'All Other E&amp;G-4Yr'!D46</f>
        <v>0</v>
      </c>
      <c r="E46" s="104">
        <f>+'Tuition-4Yr'!E46+'State Appropriations-4Yr'!E46+'Local Appropriations-4Yr'!E46+'Fed Contracts Grnts-4Yr'!E46+'Other Contract Grnts-4Yr'!E46+'Investment Income-4Yr'!E46+'All Other E&amp;G-4Yr'!E46</f>
        <v>0</v>
      </c>
      <c r="F46" s="104">
        <f>+'Tuition-4Yr'!F46+'State Appropriations-4Yr'!F46+'Local Appropriations-4Yr'!F46+'Fed Contracts Grnts-4Yr'!F46+'Other Contract Grnts-4Yr'!F46+'Investment Income-4Yr'!F46+'All Other E&amp;G-4Yr'!F46</f>
        <v>0</v>
      </c>
      <c r="G46" s="104">
        <f>+'Tuition-4Yr'!G46+'State Appropriations-4Yr'!G46+'Local Appropriations-4Yr'!G46+'Fed Contracts Grnts-4Yr'!G46+'Other Contract Grnts-4Yr'!G46+'Investment Income-4Yr'!G46+'All Other E&amp;G-4Yr'!G46</f>
        <v>0</v>
      </c>
      <c r="H46" s="104">
        <f>+'Tuition-4Yr'!H46+'State Appropriations-4Yr'!H46+'Local Appropriations-4Yr'!H46+'Fed Contracts Grnts-4Yr'!H46+'Other Contract Grnts-4Yr'!H46+'Investment Income-4Yr'!H46+'All Other E&amp;G-4Yr'!H46</f>
        <v>0</v>
      </c>
      <c r="I46" s="104">
        <f>+'Tuition-4Yr'!I46+'State Appropriations-4Yr'!I46+'Local Appropriations-4Yr'!I46+'Fed Contracts Grnts-4Yr'!I46+'Other Contract Grnts-4Yr'!I46+'Investment Income-4Yr'!I46+'All Other E&amp;G-4Yr'!I46</f>
        <v>0</v>
      </c>
      <c r="J46" s="104">
        <f>+'Tuition-4Yr'!J46+'State Appropriations-4Yr'!J46+'Local Appropriations-4Yr'!J46+'Fed Contracts Grnts-4Yr'!J46+'Other Contract Grnts-4Yr'!J46+'Investment Income-4Yr'!J46+'All Other E&amp;G-4Yr'!J46</f>
        <v>1032455.9029999999</v>
      </c>
      <c r="K46" s="104">
        <f>+'Tuition-4Yr'!K46+'State Appropriations-4Yr'!K46+'Local Appropriations-4Yr'!K46+'Fed Contracts Grnts-4Yr'!K46+'Other Contract Grnts-4Yr'!K46+'Investment Income-4Yr'!K46+'All Other E&amp;G-4Yr'!K46</f>
        <v>0</v>
      </c>
      <c r="L46" s="104">
        <f>+'Tuition-4Yr'!L46+'State Appropriations-4Yr'!L46+'Local Appropriations-4Yr'!L46+'Fed Contracts Grnts-4Yr'!L46+'Other Contract Grnts-4Yr'!L46+'Investment Income-4Yr'!L46+'All Other E&amp;G-4Yr'!L46</f>
        <v>0</v>
      </c>
      <c r="M46" s="104">
        <f>+'Tuition-4Yr'!M46+'State Appropriations-4Yr'!M46+'Local Appropriations-4Yr'!M46+'Fed Contracts Grnts-4Yr'!M46+'Other Contract Grnts-4Yr'!M46+'Investment Income-4Yr'!M46+'All Other E&amp;G-4Yr'!M46</f>
        <v>1245686.9479999999</v>
      </c>
      <c r="N46" s="104">
        <f>+'Tuition-4Yr'!N46+'State Appropriations-4Yr'!N46+'Local Appropriations-4Yr'!N46+'Fed Contracts Grnts-4Yr'!N46+'Other Contract Grnts-4Yr'!N46+'Investment Income-4Yr'!N46+'All Other E&amp;G-4Yr'!N46</f>
        <v>0</v>
      </c>
      <c r="O46" s="104">
        <f>+'Tuition-4Yr'!O46+'State Appropriations-4Yr'!O46+'Local Appropriations-4Yr'!O46+'Fed Contracts Grnts-4Yr'!O46+'Other Contract Grnts-4Yr'!O46+'Investment Income-4Yr'!O46+'All Other E&amp;G-4Yr'!O46</f>
        <v>1496719.0060000001</v>
      </c>
      <c r="P46" s="104">
        <f>+'Tuition-4Yr'!P46+'State Appropriations-4Yr'!P46+'Local Appropriations-4Yr'!P46+'Fed Contracts Grnts-4Yr'!P46+'Other Contract Grnts-4Yr'!P46+'Investment Income-4Yr'!P46+'All Other E&amp;G-4Yr'!P46</f>
        <v>0</v>
      </c>
      <c r="Q46" s="104">
        <f>+'Tuition-4Yr'!Q46+'State Appropriations-4Yr'!Q46+'Local Appropriations-4Yr'!Q46+'Fed Contracts Grnts-4Yr'!Q46+'Other Contract Grnts-4Yr'!Q46+'Investment Income-4Yr'!Q46+'All Other E&amp;G-4Yr'!Q46</f>
        <v>0</v>
      </c>
      <c r="R46" s="104">
        <f>+'Tuition-4Yr'!R46+'State Appropriations-4Yr'!R46+'Local Appropriations-4Yr'!R46+'Fed Contracts Grnts-4Yr'!R46+'Other Contract Grnts-4Yr'!R46+'Investment Income-4Yr'!R46+'All Other E&amp;G-4Yr'!R46</f>
        <v>1697019.3370000001</v>
      </c>
      <c r="S46" s="104">
        <f>+'Tuition-4Yr'!S46+'State Appropriations-4Yr'!S46+'Local Appropriations-4Yr'!S46+'Fed Contracts Grnts-4Yr'!S46+'Other Contract Grnts-4Yr'!S46+'Investment Income-4Yr'!S46+'All Other E&amp;G-4Yr'!S46</f>
        <v>2158441.9780000001</v>
      </c>
      <c r="T46" s="104">
        <f>+'Tuition-4Yr'!T46+'State Appropriations-4Yr'!T46+'Local Appropriations-4Yr'!T46+'Fed Contracts Grnts-4Yr'!T46+'Other Contract Grnts-4Yr'!T46+'Investment Income-4Yr'!T46+'All Other E&amp;G-4Yr'!T46</f>
        <v>1672318.4570000002</v>
      </c>
      <c r="U46" s="104">
        <f>+'Tuition-4Yr'!U46+'State Appropriations-4Yr'!U46+'Local Appropriations-4Yr'!U46+'Fed Contracts Grnts-4Yr'!U46+'Other Contract Grnts-4Yr'!U46+'Investment Income-4Yr'!U46+'All Other E&amp;G-4Yr'!U46</f>
        <v>1741771.0789999999</v>
      </c>
      <c r="V46" s="104">
        <f>+'Tuition-4Yr'!V46+'State Appropriations-4Yr'!V46+'Local Appropriations-4Yr'!V46+'Fed Contracts Grnts-4Yr'!V46+'Other Contract Grnts-4Yr'!V46+'Investment Income-4Yr'!V46+'All Other E&amp;G-4Yr'!V46</f>
        <v>1851471.1410000001</v>
      </c>
      <c r="W46" s="104">
        <f>+'Tuition-4Yr'!W46+'State Appropriations-4Yr'!W46+'Local Appropriations-4Yr'!W46+'Fed Contracts Grnts-4Yr'!W46+'Other Contract Grnts-4Yr'!W46+'Investment Income-4Yr'!W46+'All Other E&amp;G-4Yr'!W46</f>
        <v>2193863.3199999998</v>
      </c>
      <c r="X46" s="104">
        <f>+'Tuition-4Yr'!X46+'State Appropriations-4Yr'!X46+'Local Appropriations-4Yr'!X46+'Fed Contracts Grnts-4Yr'!X46+'Other Contract Grnts-4Yr'!X46+'Investment Income-4Yr'!X46+'All Other E&amp;G-4Yr'!X46</f>
        <v>2063581.9610000001</v>
      </c>
      <c r="Y46" s="104">
        <f>+'Tuition-4Yr'!Y46+'State Appropriations-4Yr'!Y46+'Local Appropriations-4Yr'!Y46+'Fed Contracts Grnts-4Yr'!Y46+'Other Contract Grnts-4Yr'!Y46+'Investment Income-4Yr'!Y46+'All Other E&amp;G-4Yr'!Y46</f>
        <v>2169918.4649999999</v>
      </c>
      <c r="Z46" s="104">
        <f>+'Tuition-4Yr'!Z46+'State Appropriations-4Yr'!Z46+'Local Appropriations-4Yr'!Z46+'Fed Contracts Grnts-4Yr'!Z46+'Other Contract Grnts-4Yr'!Z46+'Investment Income-4Yr'!Z46+'All Other E&amp;G-4Yr'!Z46</f>
        <v>2129429.7820000001</v>
      </c>
      <c r="AA46" s="104">
        <f>+'Tuition-4Yr'!AA46+'State Appropriations-4Yr'!AA46+'Local Appropriations-4Yr'!AA46+'Fed Contracts Grnts-4Yr'!AA46+'Other Contract Grnts-4Yr'!AA46+'Investment Income-4Yr'!AA46+'All Other E&amp;G-4Yr'!AA46</f>
        <v>2353655.69</v>
      </c>
      <c r="AB46" s="104">
        <f>+'Tuition-4Yr'!AB46+'State Appropriations-4Yr'!AB46+'Local Appropriations-4Yr'!AB46+'Fed Contracts Grnts-4Yr'!AB46+'Other Contract Grnts-4Yr'!AB46+'Investment Income-4Yr'!AB46+'All Other E&amp;G-4Yr'!AB46</f>
        <v>2708295.75</v>
      </c>
      <c r="AC46" s="104">
        <f>+'Tuition-4Yr'!AC46+'State Appropriations-4Yr'!AC46+'Local Appropriations-4Yr'!AC46+'Fed Contracts Grnts-4Yr'!AC46+'Other Contract Grnts-4Yr'!AC46+'Investment Income-4Yr'!AC46+'All Other E&amp;G-4Yr'!AC46</f>
        <v>2797189</v>
      </c>
      <c r="AD46" s="104">
        <f>+'Tuition-4Yr'!AD46+'State Appropriations-4Yr'!AD46+'Local Appropriations-4Yr'!AD46+'Fed Contracts Grnts-4Yr'!AD46+'Other Contract Grnts-4Yr'!AD46+'Investment Income-4Yr'!AD46+'All Other E&amp;G-4Yr'!AD46</f>
        <v>2754632.1509999996</v>
      </c>
      <c r="AE46" s="104">
        <f>+'Tuition-4Yr'!AE46+'State Appropriations-4Yr'!AE46+'Local Appropriations-4Yr'!AE46+'Fed Contracts Grnts-4Yr'!AE46+'Other Contract Grnts-4Yr'!AE46+'Investment Income-4Yr'!AE46+'All Other E&amp;G-4Yr'!AE46</f>
        <v>2860678.736</v>
      </c>
      <c r="AF46" s="104">
        <f>+'Tuition-4Yr'!AF46+'State Appropriations-4Yr'!AF46+'Local Appropriations-4Yr'!AF46+'Fed Contracts Grnts-4Yr'!AF46+'Other Contract Grnts-4Yr'!AF46+'Investment Income-4Yr'!AF46+'All Other E&amp;G-4Yr'!AF46</f>
        <v>2938146.8819999998</v>
      </c>
      <c r="AG46" s="104">
        <f>+'Tuition-4Yr'!AG46+'State Appropriations-4Yr'!AG46+'Local Appropriations-4Yr'!AG46+'Fed Contracts Grnts-4Yr'!AG46+'Other Contract Grnts-4Yr'!AG46+'Investment Income-4Yr'!AG46+'All Other E&amp;G-4Yr'!AG46</f>
        <v>2954039.7249999996</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row>
    <row r="47" spans="1:213" s="65" customFormat="1" ht="12.75" customHeight="1">
      <c r="A47" s="23" t="s">
        <v>125</v>
      </c>
      <c r="B47" s="104">
        <f>+'Tuition-4Yr'!B47+'State Appropriations-4Yr'!B47+'Local Appropriations-4Yr'!B47+'Fed Contracts Grnts-4Yr'!B47+'Other Contract Grnts-4Yr'!B47+'Investment Income-4Yr'!B47+'All Other E&amp;G-4Yr'!B47</f>
        <v>0</v>
      </c>
      <c r="C47" s="104">
        <f>+'Tuition-4Yr'!C47+'State Appropriations-4Yr'!C47+'Local Appropriations-4Yr'!C47+'Fed Contracts Grnts-4Yr'!C47+'Other Contract Grnts-4Yr'!C47+'Investment Income-4Yr'!C47+'All Other E&amp;G-4Yr'!C47</f>
        <v>0</v>
      </c>
      <c r="D47" s="104">
        <f>+'Tuition-4Yr'!D47+'State Appropriations-4Yr'!D47+'Local Appropriations-4Yr'!D47+'Fed Contracts Grnts-4Yr'!D47+'Other Contract Grnts-4Yr'!D47+'Investment Income-4Yr'!D47+'All Other E&amp;G-4Yr'!D47</f>
        <v>0</v>
      </c>
      <c r="E47" s="104">
        <f>+'Tuition-4Yr'!E47+'State Appropriations-4Yr'!E47+'Local Appropriations-4Yr'!E47+'Fed Contracts Grnts-4Yr'!E47+'Other Contract Grnts-4Yr'!E47+'Investment Income-4Yr'!E47+'All Other E&amp;G-4Yr'!E47</f>
        <v>0</v>
      </c>
      <c r="F47" s="104">
        <f>+'Tuition-4Yr'!F47+'State Appropriations-4Yr'!F47+'Local Appropriations-4Yr'!F47+'Fed Contracts Grnts-4Yr'!F47+'Other Contract Grnts-4Yr'!F47+'Investment Income-4Yr'!F47+'All Other E&amp;G-4Yr'!F47</f>
        <v>0</v>
      </c>
      <c r="G47" s="104">
        <f>+'Tuition-4Yr'!G47+'State Appropriations-4Yr'!G47+'Local Appropriations-4Yr'!G47+'Fed Contracts Grnts-4Yr'!G47+'Other Contract Grnts-4Yr'!G47+'Investment Income-4Yr'!G47+'All Other E&amp;G-4Yr'!G47</f>
        <v>0</v>
      </c>
      <c r="H47" s="104">
        <f>+'Tuition-4Yr'!H47+'State Appropriations-4Yr'!H47+'Local Appropriations-4Yr'!H47+'Fed Contracts Grnts-4Yr'!H47+'Other Contract Grnts-4Yr'!H47+'Investment Income-4Yr'!H47+'All Other E&amp;G-4Yr'!H47</f>
        <v>0</v>
      </c>
      <c r="I47" s="104">
        <f>+'Tuition-4Yr'!I47+'State Appropriations-4Yr'!I47+'Local Appropriations-4Yr'!I47+'Fed Contracts Grnts-4Yr'!I47+'Other Contract Grnts-4Yr'!I47+'Investment Income-4Yr'!I47+'All Other E&amp;G-4Yr'!I47</f>
        <v>0</v>
      </c>
      <c r="J47" s="104">
        <f>+'Tuition-4Yr'!J47+'State Appropriations-4Yr'!J47+'Local Appropriations-4Yr'!J47+'Fed Contracts Grnts-4Yr'!J47+'Other Contract Grnts-4Yr'!J47+'Investment Income-4Yr'!J47+'All Other E&amp;G-4Yr'!J47</f>
        <v>580409.16899999988</v>
      </c>
      <c r="K47" s="104">
        <f>+'Tuition-4Yr'!K47+'State Appropriations-4Yr'!K47+'Local Appropriations-4Yr'!K47+'Fed Contracts Grnts-4Yr'!K47+'Other Contract Grnts-4Yr'!K47+'Investment Income-4Yr'!K47+'All Other E&amp;G-4Yr'!K47</f>
        <v>0</v>
      </c>
      <c r="L47" s="104">
        <f>+'Tuition-4Yr'!L47+'State Appropriations-4Yr'!L47+'Local Appropriations-4Yr'!L47+'Fed Contracts Grnts-4Yr'!L47+'Other Contract Grnts-4Yr'!L47+'Investment Income-4Yr'!L47+'All Other E&amp;G-4Yr'!L47</f>
        <v>0</v>
      </c>
      <c r="M47" s="104">
        <f>+'Tuition-4Yr'!M47+'State Appropriations-4Yr'!M47+'Local Appropriations-4Yr'!M47+'Fed Contracts Grnts-4Yr'!M47+'Other Contract Grnts-4Yr'!M47+'Investment Income-4Yr'!M47+'All Other E&amp;G-4Yr'!M47</f>
        <v>643868.88499999989</v>
      </c>
      <c r="N47" s="104">
        <f>+'Tuition-4Yr'!N47+'State Appropriations-4Yr'!N47+'Local Appropriations-4Yr'!N47+'Fed Contracts Grnts-4Yr'!N47+'Other Contract Grnts-4Yr'!N47+'Investment Income-4Yr'!N47+'All Other E&amp;G-4Yr'!N47</f>
        <v>0</v>
      </c>
      <c r="O47" s="104">
        <f>+'Tuition-4Yr'!O47+'State Appropriations-4Yr'!O47+'Local Appropriations-4Yr'!O47+'Fed Contracts Grnts-4Yr'!O47+'Other Contract Grnts-4Yr'!O47+'Investment Income-4Yr'!O47+'All Other E&amp;G-4Yr'!O47</f>
        <v>747525.13600000006</v>
      </c>
      <c r="P47" s="104">
        <f>+'Tuition-4Yr'!P47+'State Appropriations-4Yr'!P47+'Local Appropriations-4Yr'!P47+'Fed Contracts Grnts-4Yr'!P47+'Other Contract Grnts-4Yr'!P47+'Investment Income-4Yr'!P47+'All Other E&amp;G-4Yr'!P47</f>
        <v>0</v>
      </c>
      <c r="Q47" s="104">
        <f>+'Tuition-4Yr'!Q47+'State Appropriations-4Yr'!Q47+'Local Appropriations-4Yr'!Q47+'Fed Contracts Grnts-4Yr'!Q47+'Other Contract Grnts-4Yr'!Q47+'Investment Income-4Yr'!Q47+'All Other E&amp;G-4Yr'!Q47</f>
        <v>0</v>
      </c>
      <c r="R47" s="104">
        <f>+'Tuition-4Yr'!R47+'State Appropriations-4Yr'!R47+'Local Appropriations-4Yr'!R47+'Fed Contracts Grnts-4Yr'!R47+'Other Contract Grnts-4Yr'!R47+'Investment Income-4Yr'!R47+'All Other E&amp;G-4Yr'!R47</f>
        <v>822509.99900000007</v>
      </c>
      <c r="S47" s="104">
        <f>+'Tuition-4Yr'!S47+'State Appropriations-4Yr'!S47+'Local Appropriations-4Yr'!S47+'Fed Contracts Grnts-4Yr'!S47+'Other Contract Grnts-4Yr'!S47+'Investment Income-4Yr'!S47+'All Other E&amp;G-4Yr'!S47</f>
        <v>884718.54700000025</v>
      </c>
      <c r="T47" s="104">
        <f>+'Tuition-4Yr'!T47+'State Appropriations-4Yr'!T47+'Local Appropriations-4Yr'!T47+'Fed Contracts Grnts-4Yr'!T47+'Other Contract Grnts-4Yr'!T47+'Investment Income-4Yr'!T47+'All Other E&amp;G-4Yr'!T47</f>
        <v>1069928.95</v>
      </c>
      <c r="U47" s="104">
        <f>+'Tuition-4Yr'!U47+'State Appropriations-4Yr'!U47+'Local Appropriations-4Yr'!U47+'Fed Contracts Grnts-4Yr'!U47+'Other Contract Grnts-4Yr'!U47+'Investment Income-4Yr'!U47+'All Other E&amp;G-4Yr'!U47</f>
        <v>1043496.0009999999</v>
      </c>
      <c r="V47" s="104">
        <f>+'Tuition-4Yr'!V47+'State Appropriations-4Yr'!V47+'Local Appropriations-4Yr'!V47+'Fed Contracts Grnts-4Yr'!V47+'Other Contract Grnts-4Yr'!V47+'Investment Income-4Yr'!V47+'All Other E&amp;G-4Yr'!V47</f>
        <v>1053937.9369999999</v>
      </c>
      <c r="W47" s="104">
        <f>+'Tuition-4Yr'!W47+'State Appropriations-4Yr'!W47+'Local Appropriations-4Yr'!W47+'Fed Contracts Grnts-4Yr'!W47+'Other Contract Grnts-4Yr'!W47+'Investment Income-4Yr'!W47+'All Other E&amp;G-4Yr'!W47</f>
        <v>1170233.4280000001</v>
      </c>
      <c r="X47" s="104">
        <f>+'Tuition-4Yr'!X47+'State Appropriations-4Yr'!X47+'Local Appropriations-4Yr'!X47+'Fed Contracts Grnts-4Yr'!X47+'Other Contract Grnts-4Yr'!X47+'Investment Income-4Yr'!X47+'All Other E&amp;G-4Yr'!X47</f>
        <v>1217914.571</v>
      </c>
      <c r="Y47" s="104">
        <f>+'Tuition-4Yr'!Y47+'State Appropriations-4Yr'!Y47+'Local Appropriations-4Yr'!Y47+'Fed Contracts Grnts-4Yr'!Y47+'Other Contract Grnts-4Yr'!Y47+'Investment Income-4Yr'!Y47+'All Other E&amp;G-4Yr'!Y47</f>
        <v>1277065.1500000001</v>
      </c>
      <c r="Z47" s="104">
        <f>+'Tuition-4Yr'!Z47+'State Appropriations-4Yr'!Z47+'Local Appropriations-4Yr'!Z47+'Fed Contracts Grnts-4Yr'!Z47+'Other Contract Grnts-4Yr'!Z47+'Investment Income-4Yr'!Z47+'All Other E&amp;G-4Yr'!Z47</f>
        <v>1402000.7779999999</v>
      </c>
      <c r="AA47" s="104">
        <f>+'Tuition-4Yr'!AA47+'State Appropriations-4Yr'!AA47+'Local Appropriations-4Yr'!AA47+'Fed Contracts Grnts-4Yr'!AA47+'Other Contract Grnts-4Yr'!AA47+'Investment Income-4Yr'!AA47+'All Other E&amp;G-4Yr'!AA47</f>
        <v>1072089.3489999999</v>
      </c>
      <c r="AB47" s="104">
        <f>+'Tuition-4Yr'!AB47+'State Appropriations-4Yr'!AB47+'Local Appropriations-4Yr'!AB47+'Fed Contracts Grnts-4Yr'!AB47+'Other Contract Grnts-4Yr'!AB47+'Investment Income-4Yr'!AB47+'All Other E&amp;G-4Yr'!AB47</f>
        <v>1596273.6889999998</v>
      </c>
      <c r="AC47" s="104">
        <f>+'Tuition-4Yr'!AC47+'State Appropriations-4Yr'!AC47+'Local Appropriations-4Yr'!AC47+'Fed Contracts Grnts-4Yr'!AC47+'Other Contract Grnts-4Yr'!AC47+'Investment Income-4Yr'!AC47+'All Other E&amp;G-4Yr'!AC47</f>
        <v>1671151</v>
      </c>
      <c r="AD47" s="104">
        <f>+'Tuition-4Yr'!AD47+'State Appropriations-4Yr'!AD47+'Local Appropriations-4Yr'!AD47+'Fed Contracts Grnts-4Yr'!AD47+'Other Contract Grnts-4Yr'!AD47+'Investment Income-4Yr'!AD47+'All Other E&amp;G-4Yr'!AD47</f>
        <v>1629481.2520000001</v>
      </c>
      <c r="AE47" s="104">
        <f>+'Tuition-4Yr'!AE47+'State Appropriations-4Yr'!AE47+'Local Appropriations-4Yr'!AE47+'Fed Contracts Grnts-4Yr'!AE47+'Other Contract Grnts-4Yr'!AE47+'Investment Income-4Yr'!AE47+'All Other E&amp;G-4Yr'!AE47</f>
        <v>1716721.513</v>
      </c>
      <c r="AF47" s="104">
        <f>+'Tuition-4Yr'!AF47+'State Appropriations-4Yr'!AF47+'Local Appropriations-4Yr'!AF47+'Fed Contracts Grnts-4Yr'!AF47+'Other Contract Grnts-4Yr'!AF47+'Investment Income-4Yr'!AF47+'All Other E&amp;G-4Yr'!AF47</f>
        <v>1714874.5689999999</v>
      </c>
      <c r="AG47" s="104">
        <f>+'Tuition-4Yr'!AG47+'State Appropriations-4Yr'!AG47+'Local Appropriations-4Yr'!AG47+'Fed Contracts Grnts-4Yr'!AG47+'Other Contract Grnts-4Yr'!AG47+'Investment Income-4Yr'!AG47+'All Other E&amp;G-4Yr'!AG47</f>
        <v>1981701.1140000001</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row>
    <row r="48" spans="1:213" s="65" customFormat="1" ht="12.75" customHeight="1">
      <c r="A48" s="23" t="s">
        <v>131</v>
      </c>
      <c r="B48" s="104">
        <f>+'Tuition-4Yr'!B48+'State Appropriations-4Yr'!B48+'Local Appropriations-4Yr'!B48+'Fed Contracts Grnts-4Yr'!B48+'Other Contract Grnts-4Yr'!B48+'Investment Income-4Yr'!B48+'All Other E&amp;G-4Yr'!B48</f>
        <v>0</v>
      </c>
      <c r="C48" s="104">
        <f>+'Tuition-4Yr'!C48+'State Appropriations-4Yr'!C48+'Local Appropriations-4Yr'!C48+'Fed Contracts Grnts-4Yr'!C48+'Other Contract Grnts-4Yr'!C48+'Investment Income-4Yr'!C48+'All Other E&amp;G-4Yr'!C48</f>
        <v>0</v>
      </c>
      <c r="D48" s="104">
        <f>+'Tuition-4Yr'!D48+'State Appropriations-4Yr'!D48+'Local Appropriations-4Yr'!D48+'Fed Contracts Grnts-4Yr'!D48+'Other Contract Grnts-4Yr'!D48+'Investment Income-4Yr'!D48+'All Other E&amp;G-4Yr'!D48</f>
        <v>0</v>
      </c>
      <c r="E48" s="104">
        <f>+'Tuition-4Yr'!E48+'State Appropriations-4Yr'!E48+'Local Appropriations-4Yr'!E48+'Fed Contracts Grnts-4Yr'!E48+'Other Contract Grnts-4Yr'!E48+'Investment Income-4Yr'!E48+'All Other E&amp;G-4Yr'!E48</f>
        <v>0</v>
      </c>
      <c r="F48" s="104">
        <f>+'Tuition-4Yr'!F48+'State Appropriations-4Yr'!F48+'Local Appropriations-4Yr'!F48+'Fed Contracts Grnts-4Yr'!F48+'Other Contract Grnts-4Yr'!F48+'Investment Income-4Yr'!F48+'All Other E&amp;G-4Yr'!F48</f>
        <v>0</v>
      </c>
      <c r="G48" s="104">
        <f>+'Tuition-4Yr'!G48+'State Appropriations-4Yr'!G48+'Local Appropriations-4Yr'!G48+'Fed Contracts Grnts-4Yr'!G48+'Other Contract Grnts-4Yr'!G48+'Investment Income-4Yr'!G48+'All Other E&amp;G-4Yr'!G48</f>
        <v>0</v>
      </c>
      <c r="H48" s="104">
        <f>+'Tuition-4Yr'!H48+'State Appropriations-4Yr'!H48+'Local Appropriations-4Yr'!H48+'Fed Contracts Grnts-4Yr'!H48+'Other Contract Grnts-4Yr'!H48+'Investment Income-4Yr'!H48+'All Other E&amp;G-4Yr'!H48</f>
        <v>0</v>
      </c>
      <c r="I48" s="104">
        <f>+'Tuition-4Yr'!I48+'State Appropriations-4Yr'!I48+'Local Appropriations-4Yr'!I48+'Fed Contracts Grnts-4Yr'!I48+'Other Contract Grnts-4Yr'!I48+'Investment Income-4Yr'!I48+'All Other E&amp;G-4Yr'!I48</f>
        <v>0</v>
      </c>
      <c r="J48" s="104">
        <f>+'Tuition-4Yr'!J48+'State Appropriations-4Yr'!J48+'Local Appropriations-4Yr'!J48+'Fed Contracts Grnts-4Yr'!J48+'Other Contract Grnts-4Yr'!J48+'Investment Income-4Yr'!J48+'All Other E&amp;G-4Yr'!J48</f>
        <v>304484.02399999998</v>
      </c>
      <c r="K48" s="104">
        <f>+'Tuition-4Yr'!K48+'State Appropriations-4Yr'!K48+'Local Appropriations-4Yr'!K48+'Fed Contracts Grnts-4Yr'!K48+'Other Contract Grnts-4Yr'!K48+'Investment Income-4Yr'!K48+'All Other E&amp;G-4Yr'!K48</f>
        <v>0</v>
      </c>
      <c r="L48" s="104">
        <f>+'Tuition-4Yr'!L48+'State Appropriations-4Yr'!L48+'Local Appropriations-4Yr'!L48+'Fed Contracts Grnts-4Yr'!L48+'Other Contract Grnts-4Yr'!L48+'Investment Income-4Yr'!L48+'All Other E&amp;G-4Yr'!L48</f>
        <v>0</v>
      </c>
      <c r="M48" s="104">
        <f>+'Tuition-4Yr'!M48+'State Appropriations-4Yr'!M48+'Local Appropriations-4Yr'!M48+'Fed Contracts Grnts-4Yr'!M48+'Other Contract Grnts-4Yr'!M48+'Investment Income-4Yr'!M48+'All Other E&amp;G-4Yr'!M48</f>
        <v>336053.00899999996</v>
      </c>
      <c r="N48" s="104">
        <f>+'Tuition-4Yr'!N48+'State Appropriations-4Yr'!N48+'Local Appropriations-4Yr'!N48+'Fed Contracts Grnts-4Yr'!N48+'Other Contract Grnts-4Yr'!N48+'Investment Income-4Yr'!N48+'All Other E&amp;G-4Yr'!N48</f>
        <v>0</v>
      </c>
      <c r="O48" s="104">
        <f>+'Tuition-4Yr'!O48+'State Appropriations-4Yr'!O48+'Local Appropriations-4Yr'!O48+'Fed Contracts Grnts-4Yr'!O48+'Other Contract Grnts-4Yr'!O48+'Investment Income-4Yr'!O48+'All Other E&amp;G-4Yr'!O48</f>
        <v>352559.39700000006</v>
      </c>
      <c r="P48" s="104">
        <f>+'Tuition-4Yr'!P48+'State Appropriations-4Yr'!P48+'Local Appropriations-4Yr'!P48+'Fed Contracts Grnts-4Yr'!P48+'Other Contract Grnts-4Yr'!P48+'Investment Income-4Yr'!P48+'All Other E&amp;G-4Yr'!P48</f>
        <v>0</v>
      </c>
      <c r="Q48" s="104">
        <f>+'Tuition-4Yr'!Q48+'State Appropriations-4Yr'!Q48+'Local Appropriations-4Yr'!Q48+'Fed Contracts Grnts-4Yr'!Q48+'Other Contract Grnts-4Yr'!Q48+'Investment Income-4Yr'!Q48+'All Other E&amp;G-4Yr'!Q48</f>
        <v>0</v>
      </c>
      <c r="R48" s="104">
        <f>+'Tuition-4Yr'!R48+'State Appropriations-4Yr'!R48+'Local Appropriations-4Yr'!R48+'Fed Contracts Grnts-4Yr'!R48+'Other Contract Grnts-4Yr'!R48+'Investment Income-4Yr'!R48+'All Other E&amp;G-4Yr'!R48</f>
        <v>383573.06800000003</v>
      </c>
      <c r="S48" s="104">
        <f>+'Tuition-4Yr'!S48+'State Appropriations-4Yr'!S48+'Local Appropriations-4Yr'!S48+'Fed Contracts Grnts-4Yr'!S48+'Other Contract Grnts-4Yr'!S48+'Investment Income-4Yr'!S48+'All Other E&amp;G-4Yr'!S48</f>
        <v>430666.01699999999</v>
      </c>
      <c r="T48" s="104">
        <f>+'Tuition-4Yr'!T48+'State Appropriations-4Yr'!T48+'Local Appropriations-4Yr'!T48+'Fed Contracts Grnts-4Yr'!T48+'Other Contract Grnts-4Yr'!T48+'Investment Income-4Yr'!T48+'All Other E&amp;G-4Yr'!T48</f>
        <v>466543.45399999997</v>
      </c>
      <c r="U48" s="104">
        <f>+'Tuition-4Yr'!U48+'State Appropriations-4Yr'!U48+'Local Appropriations-4Yr'!U48+'Fed Contracts Grnts-4Yr'!U48+'Other Contract Grnts-4Yr'!U48+'Investment Income-4Yr'!U48+'All Other E&amp;G-4Yr'!U48</f>
        <v>490827.03499999997</v>
      </c>
      <c r="V48" s="104">
        <f>+'Tuition-4Yr'!V48+'State Appropriations-4Yr'!V48+'Local Appropriations-4Yr'!V48+'Fed Contracts Grnts-4Yr'!V48+'Other Contract Grnts-4Yr'!V48+'Investment Income-4Yr'!V48+'All Other E&amp;G-4Yr'!V48</f>
        <v>538581.46600000001</v>
      </c>
      <c r="W48" s="104">
        <f>+'Tuition-4Yr'!W48+'State Appropriations-4Yr'!W48+'Local Appropriations-4Yr'!W48+'Fed Contracts Grnts-4Yr'!W48+'Other Contract Grnts-4Yr'!W48+'Investment Income-4Yr'!W48+'All Other E&amp;G-4Yr'!W48</f>
        <v>601560.66899999999</v>
      </c>
      <c r="X48" s="104">
        <f>+'Tuition-4Yr'!X48+'State Appropriations-4Yr'!X48+'Local Appropriations-4Yr'!X48+'Fed Contracts Grnts-4Yr'!X48+'Other Contract Grnts-4Yr'!X48+'Investment Income-4Yr'!X48+'All Other E&amp;G-4Yr'!X48</f>
        <v>610472.33100000001</v>
      </c>
      <c r="Y48" s="104">
        <f>+'Tuition-4Yr'!Y48+'State Appropriations-4Yr'!Y48+'Local Appropriations-4Yr'!Y48+'Fed Contracts Grnts-4Yr'!Y48+'Other Contract Grnts-4Yr'!Y48+'Investment Income-4Yr'!Y48+'All Other E&amp;G-4Yr'!Y48</f>
        <v>644111.32200000004</v>
      </c>
      <c r="Z48" s="104">
        <f>+'Tuition-4Yr'!Z48+'State Appropriations-4Yr'!Z48+'Local Appropriations-4Yr'!Z48+'Fed Contracts Grnts-4Yr'!Z48+'Other Contract Grnts-4Yr'!Z48+'Investment Income-4Yr'!Z48+'All Other E&amp;G-4Yr'!Z48</f>
        <v>702566.29000000015</v>
      </c>
      <c r="AA48" s="104">
        <f>+'Tuition-4Yr'!AA48+'State Appropriations-4Yr'!AA48+'Local Appropriations-4Yr'!AA48+'Fed Contracts Grnts-4Yr'!AA48+'Other Contract Grnts-4Yr'!AA48+'Investment Income-4Yr'!AA48+'All Other E&amp;G-4Yr'!AA48</f>
        <v>734322.85400000005</v>
      </c>
      <c r="AB48" s="104">
        <f>+'Tuition-4Yr'!AB48+'State Appropriations-4Yr'!AB48+'Local Appropriations-4Yr'!AB48+'Fed Contracts Grnts-4Yr'!AB48+'Other Contract Grnts-4Yr'!AB48+'Investment Income-4Yr'!AB48+'All Other E&amp;G-4Yr'!AB48</f>
        <v>806231.79700000002</v>
      </c>
      <c r="AC48" s="104">
        <f>+'Tuition-4Yr'!AC48+'State Appropriations-4Yr'!AC48+'Local Appropriations-4Yr'!AC48+'Fed Contracts Grnts-4Yr'!AC48+'Other Contract Grnts-4Yr'!AC48+'Investment Income-4Yr'!AC48+'All Other E&amp;G-4Yr'!AC48</f>
        <v>835364</v>
      </c>
      <c r="AD48" s="104">
        <f>+'Tuition-4Yr'!AD48+'State Appropriations-4Yr'!AD48+'Local Appropriations-4Yr'!AD48+'Fed Contracts Grnts-4Yr'!AD48+'Other Contract Grnts-4Yr'!AD48+'Investment Income-4Yr'!AD48+'All Other E&amp;G-4Yr'!AD48</f>
        <v>852917.74800000002</v>
      </c>
      <c r="AE48" s="104">
        <f>+'Tuition-4Yr'!AE48+'State Appropriations-4Yr'!AE48+'Local Appropriations-4Yr'!AE48+'Fed Contracts Grnts-4Yr'!AE48+'Other Contract Grnts-4Yr'!AE48+'Investment Income-4Yr'!AE48+'All Other E&amp;G-4Yr'!AE48</f>
        <v>886835.71500000008</v>
      </c>
      <c r="AF48" s="104">
        <f>+'Tuition-4Yr'!AF48+'State Appropriations-4Yr'!AF48+'Local Appropriations-4Yr'!AF48+'Fed Contracts Grnts-4Yr'!AF48+'Other Contract Grnts-4Yr'!AF48+'Investment Income-4Yr'!AF48+'All Other E&amp;G-4Yr'!AF48</f>
        <v>839119.24100000004</v>
      </c>
      <c r="AG48" s="104">
        <f>+'Tuition-4Yr'!AG48+'State Appropriations-4Yr'!AG48+'Local Appropriations-4Yr'!AG48+'Fed Contracts Grnts-4Yr'!AG48+'Other Contract Grnts-4Yr'!AG48+'Investment Income-4Yr'!AG48+'All Other E&amp;G-4Yr'!AG48</f>
        <v>934526.72400000005</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row>
    <row r="49" spans="1:213" s="65" customFormat="1" ht="12.75" customHeight="1">
      <c r="A49" s="23" t="s">
        <v>132</v>
      </c>
      <c r="B49" s="104">
        <f>+'Tuition-4Yr'!B49+'State Appropriations-4Yr'!B49+'Local Appropriations-4Yr'!B49+'Fed Contracts Grnts-4Yr'!B49+'Other Contract Grnts-4Yr'!B49+'Investment Income-4Yr'!B49+'All Other E&amp;G-4Yr'!B49</f>
        <v>0</v>
      </c>
      <c r="C49" s="104">
        <f>+'Tuition-4Yr'!C49+'State Appropriations-4Yr'!C49+'Local Appropriations-4Yr'!C49+'Fed Contracts Grnts-4Yr'!C49+'Other Contract Grnts-4Yr'!C49+'Investment Income-4Yr'!C49+'All Other E&amp;G-4Yr'!C49</f>
        <v>0</v>
      </c>
      <c r="D49" s="104">
        <f>+'Tuition-4Yr'!D49+'State Appropriations-4Yr'!D49+'Local Appropriations-4Yr'!D49+'Fed Contracts Grnts-4Yr'!D49+'Other Contract Grnts-4Yr'!D49+'Investment Income-4Yr'!D49+'All Other E&amp;G-4Yr'!D49</f>
        <v>0</v>
      </c>
      <c r="E49" s="104">
        <f>+'Tuition-4Yr'!E49+'State Appropriations-4Yr'!E49+'Local Appropriations-4Yr'!E49+'Fed Contracts Grnts-4Yr'!E49+'Other Contract Grnts-4Yr'!E49+'Investment Income-4Yr'!E49+'All Other E&amp;G-4Yr'!E49</f>
        <v>0</v>
      </c>
      <c r="F49" s="104">
        <f>+'Tuition-4Yr'!F49+'State Appropriations-4Yr'!F49+'Local Appropriations-4Yr'!F49+'Fed Contracts Grnts-4Yr'!F49+'Other Contract Grnts-4Yr'!F49+'Investment Income-4Yr'!F49+'All Other E&amp;G-4Yr'!F49</f>
        <v>0</v>
      </c>
      <c r="G49" s="104">
        <f>+'Tuition-4Yr'!G49+'State Appropriations-4Yr'!G49+'Local Appropriations-4Yr'!G49+'Fed Contracts Grnts-4Yr'!G49+'Other Contract Grnts-4Yr'!G49+'Investment Income-4Yr'!G49+'All Other E&amp;G-4Yr'!G49</f>
        <v>0</v>
      </c>
      <c r="H49" s="104">
        <f>+'Tuition-4Yr'!H49+'State Appropriations-4Yr'!H49+'Local Appropriations-4Yr'!H49+'Fed Contracts Grnts-4Yr'!H49+'Other Contract Grnts-4Yr'!H49+'Investment Income-4Yr'!H49+'All Other E&amp;G-4Yr'!H49</f>
        <v>0</v>
      </c>
      <c r="I49" s="104">
        <f>+'Tuition-4Yr'!I49+'State Appropriations-4Yr'!I49+'Local Appropriations-4Yr'!I49+'Fed Contracts Grnts-4Yr'!I49+'Other Contract Grnts-4Yr'!I49+'Investment Income-4Yr'!I49+'All Other E&amp;G-4Yr'!I49</f>
        <v>0</v>
      </c>
      <c r="J49" s="104">
        <f>+'Tuition-4Yr'!J49+'State Appropriations-4Yr'!J49+'Local Appropriations-4Yr'!J49+'Fed Contracts Grnts-4Yr'!J49+'Other Contract Grnts-4Yr'!J49+'Investment Income-4Yr'!J49+'All Other E&amp;G-4Yr'!J49</f>
        <v>2909685.95</v>
      </c>
      <c r="K49" s="104">
        <f>+'Tuition-4Yr'!K49+'State Appropriations-4Yr'!K49+'Local Appropriations-4Yr'!K49+'Fed Contracts Grnts-4Yr'!K49+'Other Contract Grnts-4Yr'!K49+'Investment Income-4Yr'!K49+'All Other E&amp;G-4Yr'!K49</f>
        <v>0</v>
      </c>
      <c r="L49" s="104">
        <f>+'Tuition-4Yr'!L49+'State Appropriations-4Yr'!L49+'Local Appropriations-4Yr'!L49+'Fed Contracts Grnts-4Yr'!L49+'Other Contract Grnts-4Yr'!L49+'Investment Income-4Yr'!L49+'All Other E&amp;G-4Yr'!L49</f>
        <v>0</v>
      </c>
      <c r="M49" s="104">
        <f>+'Tuition-4Yr'!M49+'State Appropriations-4Yr'!M49+'Local Appropriations-4Yr'!M49+'Fed Contracts Grnts-4Yr'!M49+'Other Contract Grnts-4Yr'!M49+'Investment Income-4Yr'!M49+'All Other E&amp;G-4Yr'!M49</f>
        <v>3186238.8220000002</v>
      </c>
      <c r="N49" s="104">
        <f>+'Tuition-4Yr'!N49+'State Appropriations-4Yr'!N49+'Local Appropriations-4Yr'!N49+'Fed Contracts Grnts-4Yr'!N49+'Other Contract Grnts-4Yr'!N49+'Investment Income-4Yr'!N49+'All Other E&amp;G-4Yr'!N49</f>
        <v>0</v>
      </c>
      <c r="O49" s="104">
        <f>+'Tuition-4Yr'!O49+'State Appropriations-4Yr'!O49+'Local Appropriations-4Yr'!O49+'Fed Contracts Grnts-4Yr'!O49+'Other Contract Grnts-4Yr'!O49+'Investment Income-4Yr'!O49+'All Other E&amp;G-4Yr'!O49</f>
        <v>3496452.1840000004</v>
      </c>
      <c r="P49" s="104">
        <f>+'Tuition-4Yr'!P49+'State Appropriations-4Yr'!P49+'Local Appropriations-4Yr'!P49+'Fed Contracts Grnts-4Yr'!P49+'Other Contract Grnts-4Yr'!P49+'Investment Income-4Yr'!P49+'All Other E&amp;G-4Yr'!P49</f>
        <v>0</v>
      </c>
      <c r="Q49" s="104">
        <f>+'Tuition-4Yr'!Q49+'State Appropriations-4Yr'!Q49+'Local Appropriations-4Yr'!Q49+'Fed Contracts Grnts-4Yr'!Q49+'Other Contract Grnts-4Yr'!Q49+'Investment Income-4Yr'!Q49+'All Other E&amp;G-4Yr'!Q49</f>
        <v>0</v>
      </c>
      <c r="R49" s="104">
        <f>+'Tuition-4Yr'!R49+'State Appropriations-4Yr'!R49+'Local Appropriations-4Yr'!R49+'Fed Contracts Grnts-4Yr'!R49+'Other Contract Grnts-4Yr'!R49+'Investment Income-4Yr'!R49+'All Other E&amp;G-4Yr'!R49</f>
        <v>4057228.1730000004</v>
      </c>
      <c r="S49" s="104">
        <f>+'Tuition-4Yr'!S49+'State Appropriations-4Yr'!S49+'Local Appropriations-4Yr'!S49+'Fed Contracts Grnts-4Yr'!S49+'Other Contract Grnts-4Yr'!S49+'Investment Income-4Yr'!S49+'All Other E&amp;G-4Yr'!S49</f>
        <v>4376762.926</v>
      </c>
      <c r="T49" s="104">
        <f>+'Tuition-4Yr'!T49+'State Appropriations-4Yr'!T49+'Local Appropriations-4Yr'!T49+'Fed Contracts Grnts-4Yr'!T49+'Other Contract Grnts-4Yr'!T49+'Investment Income-4Yr'!T49+'All Other E&amp;G-4Yr'!T49</f>
        <v>4554534.0120000001</v>
      </c>
      <c r="U49" s="104">
        <f>+'Tuition-4Yr'!U49+'State Appropriations-4Yr'!U49+'Local Appropriations-4Yr'!U49+'Fed Contracts Grnts-4Yr'!U49+'Other Contract Grnts-4Yr'!U49+'Investment Income-4Yr'!U49+'All Other E&amp;G-4Yr'!U49</f>
        <v>4752467.9579999996</v>
      </c>
      <c r="V49" s="104">
        <f>+'Tuition-4Yr'!V49+'State Appropriations-4Yr'!V49+'Local Appropriations-4Yr'!V49+'Fed Contracts Grnts-4Yr'!V49+'Other Contract Grnts-4Yr'!V49+'Investment Income-4Yr'!V49+'All Other E&amp;G-4Yr'!V49</f>
        <v>5317411.6119999997</v>
      </c>
      <c r="W49" s="104">
        <f>+'Tuition-4Yr'!W49+'State Appropriations-4Yr'!W49+'Local Appropriations-4Yr'!W49+'Fed Contracts Grnts-4Yr'!W49+'Other Contract Grnts-4Yr'!W49+'Investment Income-4Yr'!W49+'All Other E&amp;G-4Yr'!W49</f>
        <v>5962466.6409999998</v>
      </c>
      <c r="X49" s="104">
        <f>+'Tuition-4Yr'!X49+'State Appropriations-4Yr'!X49+'Local Appropriations-4Yr'!X49+'Fed Contracts Grnts-4Yr'!X49+'Other Contract Grnts-4Yr'!X49+'Investment Income-4Yr'!X49+'All Other E&amp;G-4Yr'!X49</f>
        <v>5808360.1460000006</v>
      </c>
      <c r="Y49" s="104">
        <f>+'Tuition-4Yr'!Y49+'State Appropriations-4Yr'!Y49+'Local Appropriations-4Yr'!Y49+'Fed Contracts Grnts-4Yr'!Y49+'Other Contract Grnts-4Yr'!Y49+'Investment Income-4Yr'!Y49+'All Other E&amp;G-4Yr'!Y49</f>
        <v>6478377.012000001</v>
      </c>
      <c r="Z49" s="104">
        <f>+'Tuition-4Yr'!Z49+'State Appropriations-4Yr'!Z49+'Local Appropriations-4Yr'!Z49+'Fed Contracts Grnts-4Yr'!Z49+'Other Contract Grnts-4Yr'!Z49+'Investment Income-4Yr'!Z49+'All Other E&amp;G-4Yr'!Z49</f>
        <v>5693470.7780000009</v>
      </c>
      <c r="AA49" s="104">
        <f>+'Tuition-4Yr'!AA49+'State Appropriations-4Yr'!AA49+'Local Appropriations-4Yr'!AA49+'Fed Contracts Grnts-4Yr'!AA49+'Other Contract Grnts-4Yr'!AA49+'Investment Income-4Yr'!AA49+'All Other E&amp;G-4Yr'!AA49</f>
        <v>5481817.3820000002</v>
      </c>
      <c r="AB49" s="104">
        <f>+'Tuition-4Yr'!AB49+'State Appropriations-4Yr'!AB49+'Local Appropriations-4Yr'!AB49+'Fed Contracts Grnts-4Yr'!AB49+'Other Contract Grnts-4Yr'!AB49+'Investment Income-4Yr'!AB49+'All Other E&amp;G-4Yr'!AB49</f>
        <v>7373083.2379999999</v>
      </c>
      <c r="AC49" s="104">
        <f>+'Tuition-4Yr'!AC49+'State Appropriations-4Yr'!AC49+'Local Appropriations-4Yr'!AC49+'Fed Contracts Grnts-4Yr'!AC49+'Other Contract Grnts-4Yr'!AC49+'Investment Income-4Yr'!AC49+'All Other E&amp;G-4Yr'!AC49</f>
        <v>8215991</v>
      </c>
      <c r="AD49" s="104">
        <f>+'Tuition-4Yr'!AD49+'State Appropriations-4Yr'!AD49+'Local Appropriations-4Yr'!AD49+'Fed Contracts Grnts-4Yr'!AD49+'Other Contract Grnts-4Yr'!AD49+'Investment Income-4Yr'!AD49+'All Other E&amp;G-4Yr'!AD49</f>
        <v>7209883.3260000004</v>
      </c>
      <c r="AE49" s="104">
        <f>+'Tuition-4Yr'!AE49+'State Appropriations-4Yr'!AE49+'Local Appropriations-4Yr'!AE49+'Fed Contracts Grnts-4Yr'!AE49+'Other Contract Grnts-4Yr'!AE49+'Investment Income-4Yr'!AE49+'All Other E&amp;G-4Yr'!AE49</f>
        <v>7784841.8990000002</v>
      </c>
      <c r="AF49" s="104">
        <f>+'Tuition-4Yr'!AF49+'State Appropriations-4Yr'!AF49+'Local Appropriations-4Yr'!AF49+'Fed Contracts Grnts-4Yr'!AF49+'Other Contract Grnts-4Yr'!AF49+'Investment Income-4Yr'!AF49+'All Other E&amp;G-4Yr'!AF49</f>
        <v>8094396.6239999998</v>
      </c>
      <c r="AG49" s="104">
        <f>+'Tuition-4Yr'!AG49+'State Appropriations-4Yr'!AG49+'Local Appropriations-4Yr'!AG49+'Fed Contracts Grnts-4Yr'!AG49+'Other Contract Grnts-4Yr'!AG49+'Investment Income-4Yr'!AG49+'All Other E&amp;G-4Yr'!AG49</f>
        <v>7638648.4080000008</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row>
    <row r="50" spans="1:213" s="65" customFormat="1" ht="12.75" customHeight="1">
      <c r="A50" s="23" t="s">
        <v>136</v>
      </c>
      <c r="B50" s="104">
        <f>+'Tuition-4Yr'!B50+'State Appropriations-4Yr'!B50+'Local Appropriations-4Yr'!B50+'Fed Contracts Grnts-4Yr'!B50+'Other Contract Grnts-4Yr'!B50+'Investment Income-4Yr'!B50+'All Other E&amp;G-4Yr'!B50</f>
        <v>0</v>
      </c>
      <c r="C50" s="104">
        <f>+'Tuition-4Yr'!C50+'State Appropriations-4Yr'!C50+'Local Appropriations-4Yr'!C50+'Fed Contracts Grnts-4Yr'!C50+'Other Contract Grnts-4Yr'!C50+'Investment Income-4Yr'!C50+'All Other E&amp;G-4Yr'!C50</f>
        <v>0</v>
      </c>
      <c r="D50" s="104">
        <f>+'Tuition-4Yr'!D50+'State Appropriations-4Yr'!D50+'Local Appropriations-4Yr'!D50+'Fed Contracts Grnts-4Yr'!D50+'Other Contract Grnts-4Yr'!D50+'Investment Income-4Yr'!D50+'All Other E&amp;G-4Yr'!D50</f>
        <v>0</v>
      </c>
      <c r="E50" s="104">
        <f>+'Tuition-4Yr'!E50+'State Appropriations-4Yr'!E50+'Local Appropriations-4Yr'!E50+'Fed Contracts Grnts-4Yr'!E50+'Other Contract Grnts-4Yr'!E50+'Investment Income-4Yr'!E50+'All Other E&amp;G-4Yr'!E50</f>
        <v>0</v>
      </c>
      <c r="F50" s="104">
        <f>+'Tuition-4Yr'!F50+'State Appropriations-4Yr'!F50+'Local Appropriations-4Yr'!F50+'Fed Contracts Grnts-4Yr'!F50+'Other Contract Grnts-4Yr'!F50+'Investment Income-4Yr'!F50+'All Other E&amp;G-4Yr'!F50</f>
        <v>0</v>
      </c>
      <c r="G50" s="104">
        <f>+'Tuition-4Yr'!G50+'State Appropriations-4Yr'!G50+'Local Appropriations-4Yr'!G50+'Fed Contracts Grnts-4Yr'!G50+'Other Contract Grnts-4Yr'!G50+'Investment Income-4Yr'!G50+'All Other E&amp;G-4Yr'!G50</f>
        <v>0</v>
      </c>
      <c r="H50" s="104">
        <f>+'Tuition-4Yr'!H50+'State Appropriations-4Yr'!H50+'Local Appropriations-4Yr'!H50+'Fed Contracts Grnts-4Yr'!H50+'Other Contract Grnts-4Yr'!H50+'Investment Income-4Yr'!H50+'All Other E&amp;G-4Yr'!H50</f>
        <v>0</v>
      </c>
      <c r="I50" s="104">
        <f>+'Tuition-4Yr'!I50+'State Appropriations-4Yr'!I50+'Local Appropriations-4Yr'!I50+'Fed Contracts Grnts-4Yr'!I50+'Other Contract Grnts-4Yr'!I50+'Investment Income-4Yr'!I50+'All Other E&amp;G-4Yr'!I50</f>
        <v>0</v>
      </c>
      <c r="J50" s="104">
        <f>+'Tuition-4Yr'!J50+'State Appropriations-4Yr'!J50+'Local Appropriations-4Yr'!J50+'Fed Contracts Grnts-4Yr'!J50+'Other Contract Grnts-4Yr'!J50+'Investment Income-4Yr'!J50+'All Other E&amp;G-4Yr'!J50</f>
        <v>209870.34700000001</v>
      </c>
      <c r="K50" s="104">
        <f>+'Tuition-4Yr'!K50+'State Appropriations-4Yr'!K50+'Local Appropriations-4Yr'!K50+'Fed Contracts Grnts-4Yr'!K50+'Other Contract Grnts-4Yr'!K50+'Investment Income-4Yr'!K50+'All Other E&amp;G-4Yr'!K50</f>
        <v>0</v>
      </c>
      <c r="L50" s="104">
        <f>+'Tuition-4Yr'!L50+'State Appropriations-4Yr'!L50+'Local Appropriations-4Yr'!L50+'Fed Contracts Grnts-4Yr'!L50+'Other Contract Grnts-4Yr'!L50+'Investment Income-4Yr'!L50+'All Other E&amp;G-4Yr'!L50</f>
        <v>0</v>
      </c>
      <c r="M50" s="104">
        <f>+'Tuition-4Yr'!M50+'State Appropriations-4Yr'!M50+'Local Appropriations-4Yr'!M50+'Fed Contracts Grnts-4Yr'!M50+'Other Contract Grnts-4Yr'!M50+'Investment Income-4Yr'!M50+'All Other E&amp;G-4Yr'!M50</f>
        <v>241848.37000000002</v>
      </c>
      <c r="N50" s="104">
        <f>+'Tuition-4Yr'!N50+'State Appropriations-4Yr'!N50+'Local Appropriations-4Yr'!N50+'Fed Contracts Grnts-4Yr'!N50+'Other Contract Grnts-4Yr'!N50+'Investment Income-4Yr'!N50+'All Other E&amp;G-4Yr'!N50</f>
        <v>0</v>
      </c>
      <c r="O50" s="104">
        <f>+'Tuition-4Yr'!O50+'State Appropriations-4Yr'!O50+'Local Appropriations-4Yr'!O50+'Fed Contracts Grnts-4Yr'!O50+'Other Contract Grnts-4Yr'!O50+'Investment Income-4Yr'!O50+'All Other E&amp;G-4Yr'!O50</f>
        <v>249258.31943999999</v>
      </c>
      <c r="P50" s="104">
        <f>+'Tuition-4Yr'!P50+'State Appropriations-4Yr'!P50+'Local Appropriations-4Yr'!P50+'Fed Contracts Grnts-4Yr'!P50+'Other Contract Grnts-4Yr'!P50+'Investment Income-4Yr'!P50+'All Other E&amp;G-4Yr'!P50</f>
        <v>0</v>
      </c>
      <c r="Q50" s="104">
        <f>+'Tuition-4Yr'!Q50+'State Appropriations-4Yr'!Q50+'Local Appropriations-4Yr'!Q50+'Fed Contracts Grnts-4Yr'!Q50+'Other Contract Grnts-4Yr'!Q50+'Investment Income-4Yr'!Q50+'All Other E&amp;G-4Yr'!Q50</f>
        <v>0</v>
      </c>
      <c r="R50" s="104">
        <f>+'Tuition-4Yr'!R50+'State Appropriations-4Yr'!R50+'Local Appropriations-4Yr'!R50+'Fed Contracts Grnts-4Yr'!R50+'Other Contract Grnts-4Yr'!R50+'Investment Income-4Yr'!R50+'All Other E&amp;G-4Yr'!R50</f>
        <v>308354.79800000001</v>
      </c>
      <c r="S50" s="104">
        <f>+'Tuition-4Yr'!S50+'State Appropriations-4Yr'!S50+'Local Appropriations-4Yr'!S50+'Fed Contracts Grnts-4Yr'!S50+'Other Contract Grnts-4Yr'!S50+'Investment Income-4Yr'!S50+'All Other E&amp;G-4Yr'!S50</f>
        <v>323307.39600000001</v>
      </c>
      <c r="T50" s="104">
        <f>+'Tuition-4Yr'!T50+'State Appropriations-4Yr'!T50+'Local Appropriations-4Yr'!T50+'Fed Contracts Grnts-4Yr'!T50+'Other Contract Grnts-4Yr'!T50+'Investment Income-4Yr'!T50+'All Other E&amp;G-4Yr'!T50</f>
        <v>328667.41200000001</v>
      </c>
      <c r="U50" s="104">
        <f>+'Tuition-4Yr'!U50+'State Appropriations-4Yr'!U50+'Local Appropriations-4Yr'!U50+'Fed Contracts Grnts-4Yr'!U50+'Other Contract Grnts-4Yr'!U50+'Investment Income-4Yr'!U50+'All Other E&amp;G-4Yr'!U50</f>
        <v>351695.90699999995</v>
      </c>
      <c r="V50" s="104">
        <f>+'Tuition-4Yr'!V50+'State Appropriations-4Yr'!V50+'Local Appropriations-4Yr'!V50+'Fed Contracts Grnts-4Yr'!V50+'Other Contract Grnts-4Yr'!V50+'Investment Income-4Yr'!V50+'All Other E&amp;G-4Yr'!V50</f>
        <v>374672.47000000003</v>
      </c>
      <c r="W50" s="104">
        <f>+'Tuition-4Yr'!W50+'State Appropriations-4Yr'!W50+'Local Appropriations-4Yr'!W50+'Fed Contracts Grnts-4Yr'!W50+'Other Contract Grnts-4Yr'!W50+'Investment Income-4Yr'!W50+'All Other E&amp;G-4Yr'!W50</f>
        <v>404639.22200000001</v>
      </c>
      <c r="X50" s="104">
        <f>+'Tuition-4Yr'!X50+'State Appropriations-4Yr'!X50+'Local Appropriations-4Yr'!X50+'Fed Contracts Grnts-4Yr'!X50+'Other Contract Grnts-4Yr'!X50+'Investment Income-4Yr'!X50+'All Other E&amp;G-4Yr'!X50</f>
        <v>416534.22299999994</v>
      </c>
      <c r="Y50" s="104">
        <f>+'Tuition-4Yr'!Y50+'State Appropriations-4Yr'!Y50+'Local Appropriations-4Yr'!Y50+'Fed Contracts Grnts-4Yr'!Y50+'Other Contract Grnts-4Yr'!Y50+'Investment Income-4Yr'!Y50+'All Other E&amp;G-4Yr'!Y50</f>
        <v>452142.33299999998</v>
      </c>
      <c r="Z50" s="104">
        <f>+'Tuition-4Yr'!Z50+'State Appropriations-4Yr'!Z50+'Local Appropriations-4Yr'!Z50+'Fed Contracts Grnts-4Yr'!Z50+'Other Contract Grnts-4Yr'!Z50+'Investment Income-4Yr'!Z50+'All Other E&amp;G-4Yr'!Z50</f>
        <v>486148.3980000001</v>
      </c>
      <c r="AA50" s="104">
        <f>+'Tuition-4Yr'!AA50+'State Appropriations-4Yr'!AA50+'Local Appropriations-4Yr'!AA50+'Fed Contracts Grnts-4Yr'!AA50+'Other Contract Grnts-4Yr'!AA50+'Investment Income-4Yr'!AA50+'All Other E&amp;G-4Yr'!AA50</f>
        <v>543617.50899999996</v>
      </c>
      <c r="AB50" s="104">
        <f>+'Tuition-4Yr'!AB50+'State Appropriations-4Yr'!AB50+'Local Appropriations-4Yr'!AB50+'Fed Contracts Grnts-4Yr'!AB50+'Other Contract Grnts-4Yr'!AB50+'Investment Income-4Yr'!AB50+'All Other E&amp;G-4Yr'!AB50</f>
        <v>616644.65399999998</v>
      </c>
      <c r="AC50" s="104">
        <f>+'Tuition-4Yr'!AC50+'State Appropriations-4Yr'!AC50+'Local Appropriations-4Yr'!AC50+'Fed Contracts Grnts-4Yr'!AC50+'Other Contract Grnts-4Yr'!AC50+'Investment Income-4Yr'!AC50+'All Other E&amp;G-4Yr'!AC50</f>
        <v>645713</v>
      </c>
      <c r="AD50" s="104">
        <f>+'Tuition-4Yr'!AD50+'State Appropriations-4Yr'!AD50+'Local Appropriations-4Yr'!AD50+'Fed Contracts Grnts-4Yr'!AD50+'Other Contract Grnts-4Yr'!AD50+'Investment Income-4Yr'!AD50+'All Other E&amp;G-4Yr'!AD50</f>
        <v>655467.32199999993</v>
      </c>
      <c r="AE50" s="104">
        <f>+'Tuition-4Yr'!AE50+'State Appropriations-4Yr'!AE50+'Local Appropriations-4Yr'!AE50+'Fed Contracts Grnts-4Yr'!AE50+'Other Contract Grnts-4Yr'!AE50+'Investment Income-4Yr'!AE50+'All Other E&amp;G-4Yr'!AE50</f>
        <v>4038720.2230000002</v>
      </c>
      <c r="AF50" s="104">
        <f>+'Tuition-4Yr'!AF50+'State Appropriations-4Yr'!AF50+'Local Appropriations-4Yr'!AF50+'Fed Contracts Grnts-4Yr'!AF50+'Other Contract Grnts-4Yr'!AF50+'Investment Income-4Yr'!AF50+'All Other E&amp;G-4Yr'!AF50</f>
        <v>584451.24100000004</v>
      </c>
      <c r="AG50" s="104">
        <f>+'Tuition-4Yr'!AG50+'State Appropriations-4Yr'!AG50+'Local Appropriations-4Yr'!AG50+'Fed Contracts Grnts-4Yr'!AG50+'Other Contract Grnts-4Yr'!AG50+'Investment Income-4Yr'!AG50+'All Other E&amp;G-4Yr'!AG50</f>
        <v>644552.03399999999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row>
    <row r="51" spans="1:213" s="65" customFormat="1" ht="12.75" customHeight="1">
      <c r="A51" s="94" t="s">
        <v>140</v>
      </c>
      <c r="B51" s="105">
        <f>+'Tuition-4Yr'!B51+'State Appropriations-4Yr'!B51+'Local Appropriations-4Yr'!B51+'Fed Contracts Grnts-4Yr'!B51+'Other Contract Grnts-4Yr'!B51+'Investment Income-4Yr'!B51+'All Other E&amp;G-4Yr'!B51</f>
        <v>0</v>
      </c>
      <c r="C51" s="105">
        <f>+'Tuition-4Yr'!C51+'State Appropriations-4Yr'!C51+'Local Appropriations-4Yr'!C51+'Fed Contracts Grnts-4Yr'!C51+'Other Contract Grnts-4Yr'!C51+'Investment Income-4Yr'!C51+'All Other E&amp;G-4Yr'!C51</f>
        <v>0</v>
      </c>
      <c r="D51" s="105">
        <f>+'Tuition-4Yr'!D51+'State Appropriations-4Yr'!D51+'Local Appropriations-4Yr'!D51+'Fed Contracts Grnts-4Yr'!D51+'Other Contract Grnts-4Yr'!D51+'Investment Income-4Yr'!D51+'All Other E&amp;G-4Yr'!D51</f>
        <v>0</v>
      </c>
      <c r="E51" s="105">
        <f>+'Tuition-4Yr'!E51+'State Appropriations-4Yr'!E51+'Local Appropriations-4Yr'!E51+'Fed Contracts Grnts-4Yr'!E51+'Other Contract Grnts-4Yr'!E51+'Investment Income-4Yr'!E51+'All Other E&amp;G-4Yr'!E51</f>
        <v>0</v>
      </c>
      <c r="F51" s="105">
        <f>+'Tuition-4Yr'!F51+'State Appropriations-4Yr'!F51+'Local Appropriations-4Yr'!F51+'Fed Contracts Grnts-4Yr'!F51+'Other Contract Grnts-4Yr'!F51+'Investment Income-4Yr'!F51+'All Other E&amp;G-4Yr'!F51</f>
        <v>0</v>
      </c>
      <c r="G51" s="105">
        <f>+'Tuition-4Yr'!G51+'State Appropriations-4Yr'!G51+'Local Appropriations-4Yr'!G51+'Fed Contracts Grnts-4Yr'!G51+'Other Contract Grnts-4Yr'!G51+'Investment Income-4Yr'!G51+'All Other E&amp;G-4Yr'!G51</f>
        <v>0</v>
      </c>
      <c r="H51" s="105">
        <f>+'Tuition-4Yr'!H51+'State Appropriations-4Yr'!H51+'Local Appropriations-4Yr'!H51+'Fed Contracts Grnts-4Yr'!H51+'Other Contract Grnts-4Yr'!H51+'Investment Income-4Yr'!H51+'All Other E&amp;G-4Yr'!H51</f>
        <v>0</v>
      </c>
      <c r="I51" s="105">
        <f>+'Tuition-4Yr'!I51+'State Appropriations-4Yr'!I51+'Local Appropriations-4Yr'!I51+'Fed Contracts Grnts-4Yr'!I51+'Other Contract Grnts-4Yr'!I51+'Investment Income-4Yr'!I51+'All Other E&amp;G-4Yr'!I51</f>
        <v>0</v>
      </c>
      <c r="J51" s="105">
        <f>+'Tuition-4Yr'!J51+'State Appropriations-4Yr'!J51+'Local Appropriations-4Yr'!J51+'Fed Contracts Grnts-4Yr'!J51+'Other Contract Grnts-4Yr'!J51+'Investment Income-4Yr'!J51+'All Other E&amp;G-4Yr'!J51</f>
        <v>1762672.335</v>
      </c>
      <c r="K51" s="105">
        <f>+'Tuition-4Yr'!K51+'State Appropriations-4Yr'!K51+'Local Appropriations-4Yr'!K51+'Fed Contracts Grnts-4Yr'!K51+'Other Contract Grnts-4Yr'!K51+'Investment Income-4Yr'!K51+'All Other E&amp;G-4Yr'!K51</f>
        <v>0</v>
      </c>
      <c r="L51" s="105">
        <f>+'Tuition-4Yr'!L51+'State Appropriations-4Yr'!L51+'Local Appropriations-4Yr'!L51+'Fed Contracts Grnts-4Yr'!L51+'Other Contract Grnts-4Yr'!L51+'Investment Income-4Yr'!L51+'All Other E&amp;G-4Yr'!L51</f>
        <v>0</v>
      </c>
      <c r="M51" s="105">
        <f>+'Tuition-4Yr'!M51+'State Appropriations-4Yr'!M51+'Local Appropriations-4Yr'!M51+'Fed Contracts Grnts-4Yr'!M51+'Other Contract Grnts-4Yr'!M51+'Investment Income-4Yr'!M51+'All Other E&amp;G-4Yr'!M51</f>
        <v>1938644.3640000001</v>
      </c>
      <c r="N51" s="105">
        <f>+'Tuition-4Yr'!N51+'State Appropriations-4Yr'!N51+'Local Appropriations-4Yr'!N51+'Fed Contracts Grnts-4Yr'!N51+'Other Contract Grnts-4Yr'!N51+'Investment Income-4Yr'!N51+'All Other E&amp;G-4Yr'!N51</f>
        <v>0</v>
      </c>
      <c r="O51" s="105">
        <f>+'Tuition-4Yr'!O51+'State Appropriations-4Yr'!O51+'Local Appropriations-4Yr'!O51+'Fed Contracts Grnts-4Yr'!O51+'Other Contract Grnts-4Yr'!O51+'Investment Income-4Yr'!O51+'All Other E&amp;G-4Yr'!O51</f>
        <v>2056052.1009999998</v>
      </c>
      <c r="P51" s="105">
        <f>+'Tuition-4Yr'!P51+'State Appropriations-4Yr'!P51+'Local Appropriations-4Yr'!P51+'Fed Contracts Grnts-4Yr'!P51+'Other Contract Grnts-4Yr'!P51+'Investment Income-4Yr'!P51+'All Other E&amp;G-4Yr'!P51</f>
        <v>0</v>
      </c>
      <c r="Q51" s="105">
        <f>+'Tuition-4Yr'!Q51+'State Appropriations-4Yr'!Q51+'Local Appropriations-4Yr'!Q51+'Fed Contracts Grnts-4Yr'!Q51+'Other Contract Grnts-4Yr'!Q51+'Investment Income-4Yr'!Q51+'All Other E&amp;G-4Yr'!Q51</f>
        <v>0</v>
      </c>
      <c r="R51" s="105">
        <f>+'Tuition-4Yr'!R51+'State Appropriations-4Yr'!R51+'Local Appropriations-4Yr'!R51+'Fed Contracts Grnts-4Yr'!R51+'Other Contract Grnts-4Yr'!R51+'Investment Income-4Yr'!R51+'All Other E&amp;G-4Yr'!R51</f>
        <v>2494094.378</v>
      </c>
      <c r="S51" s="105">
        <f>+'Tuition-4Yr'!S51+'State Appropriations-4Yr'!S51+'Local Appropriations-4Yr'!S51+'Fed Contracts Grnts-4Yr'!S51+'Other Contract Grnts-4Yr'!S51+'Investment Income-4Yr'!S51+'All Other E&amp;G-4Yr'!S51</f>
        <v>2703355.6529999999</v>
      </c>
      <c r="T51" s="105">
        <f>+'Tuition-4Yr'!T51+'State Appropriations-4Yr'!T51+'Local Appropriations-4Yr'!T51+'Fed Contracts Grnts-4Yr'!T51+'Other Contract Grnts-4Yr'!T51+'Investment Income-4Yr'!T51+'All Other E&amp;G-4Yr'!T51</f>
        <v>2475052.4950000001</v>
      </c>
      <c r="U51" s="105">
        <f>+'Tuition-4Yr'!U51+'State Appropriations-4Yr'!U51+'Local Appropriations-4Yr'!U51+'Fed Contracts Grnts-4Yr'!U51+'Other Contract Grnts-4Yr'!U51+'Investment Income-4Yr'!U51+'All Other E&amp;G-4Yr'!U51</f>
        <v>2723995.875</v>
      </c>
      <c r="V51" s="105">
        <f>+'Tuition-4Yr'!V51+'State Appropriations-4Yr'!V51+'Local Appropriations-4Yr'!V51+'Fed Contracts Grnts-4Yr'!V51+'Other Contract Grnts-4Yr'!V51+'Investment Income-4Yr'!V51+'All Other E&amp;G-4Yr'!V51</f>
        <v>2795831.5460000001</v>
      </c>
      <c r="W51" s="105">
        <f>+'Tuition-4Yr'!W51+'State Appropriations-4Yr'!W51+'Local Appropriations-4Yr'!W51+'Fed Contracts Grnts-4Yr'!W51+'Other Contract Grnts-4Yr'!W51+'Investment Income-4Yr'!W51+'All Other E&amp;G-4Yr'!W51</f>
        <v>3040391.531</v>
      </c>
      <c r="X51" s="105">
        <f>+'Tuition-4Yr'!X51+'State Appropriations-4Yr'!X51+'Local Appropriations-4Yr'!X51+'Fed Contracts Grnts-4Yr'!X51+'Other Contract Grnts-4Yr'!X51+'Investment Income-4Yr'!X51+'All Other E&amp;G-4Yr'!X51</f>
        <v>3073646.9960000003</v>
      </c>
      <c r="Y51" s="105">
        <f>+'Tuition-4Yr'!Y51+'State Appropriations-4Yr'!Y51+'Local Appropriations-4Yr'!Y51+'Fed Contracts Grnts-4Yr'!Y51+'Other Contract Grnts-4Yr'!Y51+'Investment Income-4Yr'!Y51+'All Other E&amp;G-4Yr'!Y51</f>
        <v>3342006.2339999997</v>
      </c>
      <c r="Z51" s="105">
        <f>+'Tuition-4Yr'!Z51+'State Appropriations-4Yr'!Z51+'Local Appropriations-4Yr'!Z51+'Fed Contracts Grnts-4Yr'!Z51+'Other Contract Grnts-4Yr'!Z51+'Investment Income-4Yr'!Z51+'All Other E&amp;G-4Yr'!Z51</f>
        <v>3435469.4460000005</v>
      </c>
      <c r="AA51" s="105">
        <f>+'Tuition-4Yr'!AA51+'State Appropriations-4Yr'!AA51+'Local Appropriations-4Yr'!AA51+'Fed Contracts Grnts-4Yr'!AA51+'Other Contract Grnts-4Yr'!AA51+'Investment Income-4Yr'!AA51+'All Other E&amp;G-4Yr'!AA51</f>
        <v>3824872.523</v>
      </c>
      <c r="AB51" s="105">
        <f>+'Tuition-4Yr'!AB51+'State Appropriations-4Yr'!AB51+'Local Appropriations-4Yr'!AB51+'Fed Contracts Grnts-4Yr'!AB51+'Other Contract Grnts-4Yr'!AB51+'Investment Income-4Yr'!AB51+'All Other E&amp;G-4Yr'!AB51</f>
        <v>3838064.727</v>
      </c>
      <c r="AC51" s="105">
        <f>+'Tuition-4Yr'!AC51+'State Appropriations-4Yr'!AC51+'Local Appropriations-4Yr'!AC51+'Fed Contracts Grnts-4Yr'!AC51+'Other Contract Grnts-4Yr'!AC51+'Investment Income-4Yr'!AC51+'All Other E&amp;G-4Yr'!AC51</f>
        <v>4114078</v>
      </c>
      <c r="AD51" s="105">
        <f>+'Tuition-4Yr'!AD51+'State Appropriations-4Yr'!AD51+'Local Appropriations-4Yr'!AD51+'Fed Contracts Grnts-4Yr'!AD51+'Other Contract Grnts-4Yr'!AD51+'Investment Income-4Yr'!AD51+'All Other E&amp;G-4Yr'!AD51</f>
        <v>4028253.0219999999</v>
      </c>
      <c r="AE51" s="105">
        <f>+'Tuition-4Yr'!AE51+'State Appropriations-4Yr'!AE51+'Local Appropriations-4Yr'!AE51+'Fed Contracts Grnts-4Yr'!AE51+'Other Contract Grnts-4Yr'!AE51+'Investment Income-4Yr'!AE51+'All Other E&amp;G-4Yr'!AE51</f>
        <v>6666369.2650000006</v>
      </c>
      <c r="AF51" s="105">
        <f>+'Tuition-4Yr'!AF51+'State Appropriations-4Yr'!AF51+'Local Appropriations-4Yr'!AF51+'Fed Contracts Grnts-4Yr'!AF51+'Other Contract Grnts-4Yr'!AF51+'Investment Income-4Yr'!AF51+'All Other E&amp;G-4Yr'!AF51</f>
        <v>3981654.699</v>
      </c>
      <c r="AG51" s="105">
        <f>+'Tuition-4Yr'!AG51+'State Appropriations-4Yr'!AG51+'Local Appropriations-4Yr'!AG51+'Fed Contracts Grnts-4Yr'!AG51+'Other Contract Grnts-4Yr'!AG51+'Investment Income-4Yr'!AG51+'All Other E&amp;G-4Yr'!AG51</f>
        <v>4242475.977</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row>
    <row r="52" spans="1:213" s="65" customFormat="1" ht="12.75" customHeight="1">
      <c r="A52" s="84" t="s">
        <v>146</v>
      </c>
      <c r="B52" s="104">
        <f>+'Tuition-4Yr'!B52+'State Appropriations-4Yr'!B52+'Local Appropriations-4Yr'!B52+'Fed Contracts Grnts-4Yr'!B52+'Other Contract Grnts-4Yr'!B52+'Investment Income-4Yr'!B52+'All Other E&amp;G-4Yr'!B52</f>
        <v>0</v>
      </c>
      <c r="C52" s="104">
        <f>+'Tuition-4Yr'!C52+'State Appropriations-4Yr'!C52+'Local Appropriations-4Yr'!C52+'Fed Contracts Grnts-4Yr'!C52+'Other Contract Grnts-4Yr'!C52+'Investment Income-4Yr'!C52+'All Other E&amp;G-4Yr'!C52</f>
        <v>0</v>
      </c>
      <c r="D52" s="104">
        <f>+'Tuition-4Yr'!D52+'State Appropriations-4Yr'!D52+'Local Appropriations-4Yr'!D52+'Fed Contracts Grnts-4Yr'!D52+'Other Contract Grnts-4Yr'!D52+'Investment Income-4Yr'!D52+'All Other E&amp;G-4Yr'!D52</f>
        <v>0</v>
      </c>
      <c r="E52" s="104">
        <f>+'Tuition-4Yr'!E52+'State Appropriations-4Yr'!E52+'Local Appropriations-4Yr'!E52+'Fed Contracts Grnts-4Yr'!E52+'Other Contract Grnts-4Yr'!E52+'Investment Income-4Yr'!E52+'All Other E&amp;G-4Yr'!E52</f>
        <v>0</v>
      </c>
      <c r="F52" s="104">
        <f>+'Tuition-4Yr'!F52+'State Appropriations-4Yr'!F52+'Local Appropriations-4Yr'!F52+'Fed Contracts Grnts-4Yr'!F52+'Other Contract Grnts-4Yr'!F52+'Investment Income-4Yr'!F52+'All Other E&amp;G-4Yr'!F52</f>
        <v>0</v>
      </c>
      <c r="G52" s="104">
        <f>+'Tuition-4Yr'!G52+'State Appropriations-4Yr'!G52+'Local Appropriations-4Yr'!G52+'Fed Contracts Grnts-4Yr'!G52+'Other Contract Grnts-4Yr'!G52+'Investment Income-4Yr'!G52+'All Other E&amp;G-4Yr'!G52</f>
        <v>0</v>
      </c>
      <c r="H52" s="104">
        <f>+'Tuition-4Yr'!H52+'State Appropriations-4Yr'!H52+'Local Appropriations-4Yr'!H52+'Fed Contracts Grnts-4Yr'!H52+'Other Contract Grnts-4Yr'!H52+'Investment Income-4Yr'!H52+'All Other E&amp;G-4Yr'!H52</f>
        <v>0</v>
      </c>
      <c r="I52" s="104">
        <f>+'Tuition-4Yr'!I52+'State Appropriations-4Yr'!I52+'Local Appropriations-4Yr'!I52+'Fed Contracts Grnts-4Yr'!I52+'Other Contract Grnts-4Yr'!I52+'Investment Income-4Yr'!I52+'All Other E&amp;G-4Yr'!I52</f>
        <v>0</v>
      </c>
      <c r="J52" s="104">
        <f>+'Tuition-4Yr'!J52+'State Appropriations-4Yr'!J52+'Local Appropriations-4Yr'!J52+'Fed Contracts Grnts-4Yr'!J52+'Other Contract Grnts-4Yr'!J52+'Investment Income-4Yr'!J52+'All Other E&amp;G-4Yr'!J52</f>
        <v>9705250.9129999988</v>
      </c>
      <c r="K52" s="104">
        <f>+'Tuition-4Yr'!K52+'State Appropriations-4Yr'!K52+'Local Appropriations-4Yr'!K52+'Fed Contracts Grnts-4Yr'!K52+'Other Contract Grnts-4Yr'!K52+'Investment Income-4Yr'!K52+'All Other E&amp;G-4Yr'!K52</f>
        <v>0</v>
      </c>
      <c r="L52" s="104">
        <f>+'Tuition-4Yr'!L52+'State Appropriations-4Yr'!L52+'Local Appropriations-4Yr'!L52+'Fed Contracts Grnts-4Yr'!L52+'Other Contract Grnts-4Yr'!L52+'Investment Income-4Yr'!L52+'All Other E&amp;G-4Yr'!L52</f>
        <v>0</v>
      </c>
      <c r="M52" s="104">
        <f>+'Tuition-4Yr'!M52+'State Appropriations-4Yr'!M52+'Local Appropriations-4Yr'!M52+'Fed Contracts Grnts-4Yr'!M52+'Other Contract Grnts-4Yr'!M52+'Investment Income-4Yr'!M52+'All Other E&amp;G-4Yr'!M52</f>
        <v>11321882.934</v>
      </c>
      <c r="N52" s="104">
        <f>+'Tuition-4Yr'!N52+'State Appropriations-4Yr'!N52+'Local Appropriations-4Yr'!N52+'Fed Contracts Grnts-4Yr'!N52+'Other Contract Grnts-4Yr'!N52+'Investment Income-4Yr'!N52+'All Other E&amp;G-4Yr'!N52</f>
        <v>0</v>
      </c>
      <c r="O52" s="104">
        <f>+'Tuition-4Yr'!O52+'State Appropriations-4Yr'!O52+'Local Appropriations-4Yr'!O52+'Fed Contracts Grnts-4Yr'!O52+'Other Contract Grnts-4Yr'!O52+'Investment Income-4Yr'!O52+'All Other E&amp;G-4Yr'!O52</f>
        <v>13307676.162</v>
      </c>
      <c r="P52" s="104">
        <f>+'Tuition-4Yr'!P52+'State Appropriations-4Yr'!P52+'Local Appropriations-4Yr'!P52+'Fed Contracts Grnts-4Yr'!P52+'Other Contract Grnts-4Yr'!P52+'Investment Income-4Yr'!P52+'All Other E&amp;G-4Yr'!P52</f>
        <v>0</v>
      </c>
      <c r="Q52" s="104">
        <f>+'Tuition-4Yr'!Q52+'State Appropriations-4Yr'!Q52+'Local Appropriations-4Yr'!Q52+'Fed Contracts Grnts-4Yr'!Q52+'Other Contract Grnts-4Yr'!Q52+'Investment Income-4Yr'!Q52+'All Other E&amp;G-4Yr'!Q52</f>
        <v>0</v>
      </c>
      <c r="R52" s="104">
        <f>+'Tuition-4Yr'!R52+'State Appropriations-4Yr'!R52+'Local Appropriations-4Yr'!R52+'Fed Contracts Grnts-4Yr'!R52+'Other Contract Grnts-4Yr'!R52+'Investment Income-4Yr'!R52+'All Other E&amp;G-4Yr'!R52</f>
        <v>14240240.776999999</v>
      </c>
      <c r="S52" s="104">
        <f>+'Tuition-4Yr'!S52+'State Appropriations-4Yr'!S52+'Local Appropriations-4Yr'!S52+'Fed Contracts Grnts-4Yr'!S52+'Other Contract Grnts-4Yr'!S52+'Investment Income-4Yr'!S52+'All Other E&amp;G-4Yr'!S52</f>
        <v>14650329.453000003</v>
      </c>
      <c r="T52" s="104">
        <f>+'Tuition-4Yr'!T52+'State Appropriations-4Yr'!T52+'Local Appropriations-4Yr'!T52+'Fed Contracts Grnts-4Yr'!T52+'Other Contract Grnts-4Yr'!T52+'Investment Income-4Yr'!T52+'All Other E&amp;G-4Yr'!T52</f>
        <v>14642848.334000001</v>
      </c>
      <c r="U52" s="104">
        <f>+'Tuition-4Yr'!U52+'State Appropriations-4Yr'!U52+'Local Appropriations-4Yr'!U52+'Fed Contracts Grnts-4Yr'!U52+'Other Contract Grnts-4Yr'!U52+'Investment Income-4Yr'!U52+'All Other E&amp;G-4Yr'!U52</f>
        <v>12494756.952</v>
      </c>
      <c r="V52" s="104">
        <f>+'Tuition-4Yr'!V52+'State Appropriations-4Yr'!V52+'Local Appropriations-4Yr'!V52+'Fed Contracts Grnts-4Yr'!V52+'Other Contract Grnts-4Yr'!V52+'Investment Income-4Yr'!V52+'All Other E&amp;G-4Yr'!V52</f>
        <v>13668502.439999999</v>
      </c>
      <c r="W52" s="104">
        <f>+'Tuition-4Yr'!W52+'State Appropriations-4Yr'!W52+'Local Appropriations-4Yr'!W52+'Fed Contracts Grnts-4Yr'!W52+'Other Contract Grnts-4Yr'!W52+'Investment Income-4Yr'!W52+'All Other E&amp;G-4Yr'!W52</f>
        <v>17805317.537</v>
      </c>
      <c r="X52" s="104">
        <f>+'Tuition-4Yr'!X52+'State Appropriations-4Yr'!X52+'Local Appropriations-4Yr'!X52+'Fed Contracts Grnts-4Yr'!X52+'Other Contract Grnts-4Yr'!X52+'Investment Income-4Yr'!X52+'All Other E&amp;G-4Yr'!X52</f>
        <v>16817908.184999999</v>
      </c>
      <c r="Y52" s="104">
        <f>+'Tuition-4Yr'!Y52+'State Appropriations-4Yr'!Y52+'Local Appropriations-4Yr'!Y52+'Fed Contracts Grnts-4Yr'!Y52+'Other Contract Grnts-4Yr'!Y52+'Investment Income-4Yr'!Y52+'All Other E&amp;G-4Yr'!Y52</f>
        <v>18084785.962000001</v>
      </c>
      <c r="Z52" s="104">
        <f>+'Tuition-4Yr'!Z52+'State Appropriations-4Yr'!Z52+'Local Appropriations-4Yr'!Z52+'Fed Contracts Grnts-4Yr'!Z52+'Other Contract Grnts-4Yr'!Z52+'Investment Income-4Yr'!Z52+'All Other E&amp;G-4Yr'!Z52</f>
        <v>18602022.460999999</v>
      </c>
      <c r="AA52" s="104">
        <f>+'Tuition-4Yr'!AA52+'State Appropriations-4Yr'!AA52+'Local Appropriations-4Yr'!AA52+'Fed Contracts Grnts-4Yr'!AA52+'Other Contract Grnts-4Yr'!AA52+'Investment Income-4Yr'!AA52+'All Other E&amp;G-4Yr'!AA52</f>
        <v>17954342.177000001</v>
      </c>
      <c r="AB52" s="104">
        <f>+'Tuition-4Yr'!AB52+'State Appropriations-4Yr'!AB52+'Local Appropriations-4Yr'!AB52+'Fed Contracts Grnts-4Yr'!AB52+'Other Contract Grnts-4Yr'!AB52+'Investment Income-4Yr'!AB52+'All Other E&amp;G-4Yr'!AB52</f>
        <v>22159084.484000001</v>
      </c>
      <c r="AC52" s="104">
        <f>+'Tuition-4Yr'!AC52+'State Appropriations-4Yr'!AC52+'Local Appropriations-4Yr'!AC52+'Fed Contracts Grnts-4Yr'!AC52+'Other Contract Grnts-4Yr'!AC52+'Investment Income-4Yr'!AC52+'All Other E&amp;G-4Yr'!AC52</f>
        <v>23210797</v>
      </c>
      <c r="AD52" s="104">
        <f>+'Tuition-4Yr'!AD52+'State Appropriations-4Yr'!AD52+'Local Appropriations-4Yr'!AD52+'Fed Contracts Grnts-4Yr'!AD52+'Other Contract Grnts-4Yr'!AD52+'Investment Income-4Yr'!AD52+'All Other E&amp;G-4Yr'!AD52</f>
        <v>23057259.561999999</v>
      </c>
      <c r="AE52" s="104">
        <f>+'Tuition-4Yr'!AE52+'State Appropriations-4Yr'!AE52+'Local Appropriations-4Yr'!AE52+'Fed Contracts Grnts-4Yr'!AE52+'Other Contract Grnts-4Yr'!AE52+'Investment Income-4Yr'!AE52+'All Other E&amp;G-4Yr'!AE52</f>
        <v>22139948.271000002</v>
      </c>
      <c r="AF52" s="104">
        <f>+'Tuition-4Yr'!AF52+'State Appropriations-4Yr'!AF52+'Local Appropriations-4Yr'!AF52+'Fed Contracts Grnts-4Yr'!AF52+'Other Contract Grnts-4Yr'!AF52+'Investment Income-4Yr'!AF52+'All Other E&amp;G-4Yr'!AF52</f>
        <v>24105319.832000002</v>
      </c>
      <c r="AG52" s="104">
        <f>+'Tuition-4Yr'!AG52+'State Appropriations-4Yr'!AG52+'Local Appropriations-4Yr'!AG52+'Fed Contracts Grnts-4Yr'!AG52+'Other Contract Grnts-4Yr'!AG52+'Investment Income-4Yr'!AG52+'All Other E&amp;G-4Yr'!AG52</f>
        <v>24742099.606000002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row>
    <row r="53" spans="1:213" s="65" customFormat="1" ht="12.75" customHeight="1">
      <c r="A53" s="84" t="s">
        <v>143</v>
      </c>
      <c r="B53" s="104">
        <f>+'Tuition-4Yr'!B53+'State Appropriations-4Yr'!B53+'Local Appropriations-4Yr'!B53+'Fed Contracts Grnts-4Yr'!B53+'Other Contract Grnts-4Yr'!B53+'Investment Income-4Yr'!B53+'All Other E&amp;G-4Yr'!B53</f>
        <v>0</v>
      </c>
      <c r="C53" s="104">
        <f>+'Tuition-4Yr'!C53+'State Appropriations-4Yr'!C53+'Local Appropriations-4Yr'!C53+'Fed Contracts Grnts-4Yr'!C53+'Other Contract Grnts-4Yr'!C53+'Investment Income-4Yr'!C53+'All Other E&amp;G-4Yr'!C53</f>
        <v>0</v>
      </c>
      <c r="D53" s="104">
        <f>+'Tuition-4Yr'!D53+'State Appropriations-4Yr'!D53+'Local Appropriations-4Yr'!D53+'Fed Contracts Grnts-4Yr'!D53+'Other Contract Grnts-4Yr'!D53+'Investment Income-4Yr'!D53+'All Other E&amp;G-4Yr'!D53</f>
        <v>0</v>
      </c>
      <c r="E53" s="104">
        <f>+'Tuition-4Yr'!E53+'State Appropriations-4Yr'!E53+'Local Appropriations-4Yr'!E53+'Fed Contracts Grnts-4Yr'!E53+'Other Contract Grnts-4Yr'!E53+'Investment Income-4Yr'!E53+'All Other E&amp;G-4Yr'!E53</f>
        <v>0</v>
      </c>
      <c r="F53" s="104">
        <f>+'Tuition-4Yr'!F53+'State Appropriations-4Yr'!F53+'Local Appropriations-4Yr'!F53+'Fed Contracts Grnts-4Yr'!F53+'Other Contract Grnts-4Yr'!F53+'Investment Income-4Yr'!F53+'All Other E&amp;G-4Yr'!F53</f>
        <v>0</v>
      </c>
      <c r="G53" s="104">
        <f>+'Tuition-4Yr'!G53+'State Appropriations-4Yr'!G53+'Local Appropriations-4Yr'!G53+'Fed Contracts Grnts-4Yr'!G53+'Other Contract Grnts-4Yr'!G53+'Investment Income-4Yr'!G53+'All Other E&amp;G-4Yr'!G53</f>
        <v>0</v>
      </c>
      <c r="H53" s="104">
        <f>+'Tuition-4Yr'!H53+'State Appropriations-4Yr'!H53+'Local Appropriations-4Yr'!H53+'Fed Contracts Grnts-4Yr'!H53+'Other Contract Grnts-4Yr'!H53+'Investment Income-4Yr'!H53+'All Other E&amp;G-4Yr'!H53</f>
        <v>0</v>
      </c>
      <c r="I53" s="104">
        <f>+'Tuition-4Yr'!I53+'State Appropriations-4Yr'!I53+'Local Appropriations-4Yr'!I53+'Fed Contracts Grnts-4Yr'!I53+'Other Contract Grnts-4Yr'!I53+'Investment Income-4Yr'!I53+'All Other E&amp;G-4Yr'!I53</f>
        <v>0</v>
      </c>
      <c r="J53" s="104">
        <f>+'Tuition-4Yr'!J53+'State Appropriations-4Yr'!J53+'Local Appropriations-4Yr'!J53+'Fed Contracts Grnts-4Yr'!J53+'Other Contract Grnts-4Yr'!J53+'Investment Income-4Yr'!J53+'All Other E&amp;G-4Yr'!J53</f>
        <v>0</v>
      </c>
      <c r="K53" s="104">
        <f>+'Tuition-4Yr'!K53+'State Appropriations-4Yr'!K53+'Local Appropriations-4Yr'!K53+'Fed Contracts Grnts-4Yr'!K53+'Other Contract Grnts-4Yr'!K53+'Investment Income-4Yr'!K53+'All Other E&amp;G-4Yr'!K53</f>
        <v>0</v>
      </c>
      <c r="L53" s="104">
        <f>+'Tuition-4Yr'!L53+'State Appropriations-4Yr'!L53+'Local Appropriations-4Yr'!L53+'Fed Contracts Grnts-4Yr'!L53+'Other Contract Grnts-4Yr'!L53+'Investment Income-4Yr'!L53+'All Other E&amp;G-4Yr'!L53</f>
        <v>0</v>
      </c>
      <c r="M53" s="104">
        <f>+'Tuition-4Yr'!M53+'State Appropriations-4Yr'!M53+'Local Appropriations-4Yr'!M53+'Fed Contracts Grnts-4Yr'!M53+'Other Contract Grnts-4Yr'!M53+'Investment Income-4Yr'!M53+'All Other E&amp;G-4Yr'!M53</f>
        <v>0</v>
      </c>
      <c r="N53" s="104">
        <f>+'Tuition-4Yr'!N53+'State Appropriations-4Yr'!N53+'Local Appropriations-4Yr'!N53+'Fed Contracts Grnts-4Yr'!N53+'Other Contract Grnts-4Yr'!N53+'Investment Income-4Yr'!N53+'All Other E&amp;G-4Yr'!N53</f>
        <v>0</v>
      </c>
      <c r="O53" s="104">
        <f>+'Tuition-4Yr'!O53+'State Appropriations-4Yr'!O53+'Local Appropriations-4Yr'!O53+'Fed Contracts Grnts-4Yr'!O53+'Other Contract Grnts-4Yr'!O53+'Investment Income-4Yr'!O53+'All Other E&amp;G-4Yr'!O53</f>
        <v>0</v>
      </c>
      <c r="P53" s="104">
        <f>+'Tuition-4Yr'!P53+'State Appropriations-4Yr'!P53+'Local Appropriations-4Yr'!P53+'Fed Contracts Grnts-4Yr'!P53+'Other Contract Grnts-4Yr'!P53+'Investment Income-4Yr'!P53+'All Other E&amp;G-4Yr'!P53</f>
        <v>0</v>
      </c>
      <c r="Q53" s="104">
        <f>+'Tuition-4Yr'!Q53+'State Appropriations-4Yr'!Q53+'Local Appropriations-4Yr'!Q53+'Fed Contracts Grnts-4Yr'!Q53+'Other Contract Grnts-4Yr'!Q53+'Investment Income-4Yr'!Q53+'All Other E&amp;G-4Yr'!Q53</f>
        <v>0</v>
      </c>
      <c r="R53" s="104">
        <f>+'Tuition-4Yr'!R53+'State Appropriations-4Yr'!R53+'Local Appropriations-4Yr'!R53+'Fed Contracts Grnts-4Yr'!R53+'Other Contract Grnts-4Yr'!R53+'Investment Income-4Yr'!R53+'All Other E&amp;G-4Yr'!R53</f>
        <v>0</v>
      </c>
      <c r="S53" s="104">
        <f>+'Tuition-4Yr'!S53+'State Appropriations-4Yr'!S53+'Local Appropriations-4Yr'!S53+'Fed Contracts Grnts-4Yr'!S53+'Other Contract Grnts-4Yr'!S53+'Investment Income-4Yr'!S53+'All Other E&amp;G-4Yr'!S53</f>
        <v>0</v>
      </c>
      <c r="T53" s="104">
        <f>+'Tuition-4Yr'!T53+'State Appropriations-4Yr'!T53+'Local Appropriations-4Yr'!T53+'Fed Contracts Grnts-4Yr'!T53+'Other Contract Grnts-4Yr'!T53+'Investment Income-4Yr'!T53+'All Other E&amp;G-4Yr'!T53</f>
        <v>0</v>
      </c>
      <c r="U53" s="104">
        <f>+'Tuition-4Yr'!U53+'State Appropriations-4Yr'!U53+'Local Appropriations-4Yr'!U53+'Fed Contracts Grnts-4Yr'!U53+'Other Contract Grnts-4Yr'!U53+'Investment Income-4Yr'!U53+'All Other E&amp;G-4Yr'!U53</f>
        <v>0</v>
      </c>
      <c r="V53" s="104">
        <f>+'Tuition-4Yr'!V53+'State Appropriations-4Yr'!V53+'Local Appropriations-4Yr'!V53+'Fed Contracts Grnts-4Yr'!V53+'Other Contract Grnts-4Yr'!V53+'Investment Income-4Yr'!V53+'All Other E&amp;G-4Yr'!V53</f>
        <v>0</v>
      </c>
      <c r="W53" s="104">
        <f>+'Tuition-4Yr'!W53+'State Appropriations-4Yr'!W53+'Local Appropriations-4Yr'!W53+'Fed Contracts Grnts-4Yr'!W53+'Other Contract Grnts-4Yr'!W53+'Investment Income-4Yr'!W53+'All Other E&amp;G-4Yr'!W53</f>
        <v>0</v>
      </c>
      <c r="X53" s="104">
        <f>+'Tuition-4Yr'!X53+'State Appropriations-4Yr'!X53+'Local Appropriations-4Yr'!X53+'Fed Contracts Grnts-4Yr'!X53+'Other Contract Grnts-4Yr'!X53+'Investment Income-4Yr'!X53+'All Other E&amp;G-4Yr'!X53</f>
        <v>0</v>
      </c>
      <c r="Y53" s="104">
        <f>+'Tuition-4Yr'!Y53+'State Appropriations-4Yr'!Y53+'Local Appropriations-4Yr'!Y53+'Fed Contracts Grnts-4Yr'!Y53+'Other Contract Grnts-4Yr'!Y53+'Investment Income-4Yr'!Y53+'All Other E&amp;G-4Yr'!Y53</f>
        <v>0</v>
      </c>
      <c r="Z53" s="104">
        <f>+'Tuition-4Yr'!Z53+'State Appropriations-4Yr'!Z53+'Local Appropriations-4Yr'!Z53+'Fed Contracts Grnts-4Yr'!Z53+'Other Contract Grnts-4Yr'!Z53+'Investment Income-4Yr'!Z53+'All Other E&amp;G-4Yr'!Z53</f>
        <v>0</v>
      </c>
      <c r="AA53" s="104">
        <f>+'Tuition-4Yr'!AA53+'State Appropriations-4Yr'!AA53+'Local Appropriations-4Yr'!AA53+'Fed Contracts Grnts-4Yr'!AA53+'Other Contract Grnts-4Yr'!AA53+'Investment Income-4Yr'!AA53+'All Other E&amp;G-4Yr'!AA53</f>
        <v>0</v>
      </c>
      <c r="AB53" s="104">
        <f>+'Tuition-4Yr'!AB53+'State Appropriations-4Yr'!AB53+'Local Appropriations-4Yr'!AB53+'Fed Contracts Grnts-4Yr'!AB53+'Other Contract Grnts-4Yr'!AB53+'Investment Income-4Yr'!AB53+'All Other E&amp;G-4Yr'!AB53</f>
        <v>0</v>
      </c>
      <c r="AC53" s="104">
        <f>+'Tuition-4Yr'!AC53+'State Appropriations-4Yr'!AC53+'Local Appropriations-4Yr'!AC53+'Fed Contracts Grnts-4Yr'!AC53+'Other Contract Grnts-4Yr'!AC53+'Investment Income-4Yr'!AC53+'All Other E&amp;G-4Yr'!AC53</f>
        <v>0</v>
      </c>
      <c r="AD53" s="104">
        <f>+'Tuition-4Yr'!AD53+'State Appropriations-4Yr'!AD53+'Local Appropriations-4Yr'!AD53+'Fed Contracts Grnts-4Yr'!AD53+'Other Contract Grnts-4Yr'!AD53+'Investment Income-4Yr'!AD53+'All Other E&amp;G-4Yr'!AD53</f>
        <v>0</v>
      </c>
      <c r="AE53" s="104">
        <f>+'Tuition-4Yr'!AE53+'State Appropriations-4Yr'!AE53+'Local Appropriations-4Yr'!AE53+'Fed Contracts Grnts-4Yr'!AE53+'Other Contract Grnts-4Yr'!AE53+'Investment Income-4Yr'!AE53+'All Other E&amp;G-4Yr'!AE53</f>
        <v>0</v>
      </c>
      <c r="AF53" s="104">
        <f>+'Tuition-4Yr'!AF53+'State Appropriations-4Yr'!AF53+'Local Appropriations-4Yr'!AF53+'Fed Contracts Grnts-4Yr'!AF53+'Other Contract Grnts-4Yr'!AF53+'Investment Income-4Yr'!AF53+'All Other E&amp;G-4Yr'!AF53</f>
        <v>0</v>
      </c>
      <c r="AG53" s="104">
        <f>+'Tuition-4Yr'!AG53+'State Appropriations-4Yr'!AG53+'Local Appropriations-4Yr'!AG53+'Fed Contracts Grnts-4Yr'!AG53+'Other Contract Grnts-4Yr'!AG53+'Investment Income-4Yr'!AG53+'All Other E&amp;G-4Yr'!AG53</f>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row>
    <row r="54" spans="1:213" s="65" customFormat="1" ht="12.75" customHeight="1">
      <c r="A54" s="23" t="s">
        <v>113</v>
      </c>
      <c r="B54" s="104">
        <f>+'Tuition-4Yr'!B54+'State Appropriations-4Yr'!B54+'Local Appropriations-4Yr'!B54+'Fed Contracts Grnts-4Yr'!B54+'Other Contract Grnts-4Yr'!B54+'Investment Income-4Yr'!B54+'All Other E&amp;G-4Yr'!B54</f>
        <v>0</v>
      </c>
      <c r="C54" s="104">
        <f>+'Tuition-4Yr'!C54+'State Appropriations-4Yr'!C54+'Local Appropriations-4Yr'!C54+'Fed Contracts Grnts-4Yr'!C54+'Other Contract Grnts-4Yr'!C54+'Investment Income-4Yr'!C54+'All Other E&amp;G-4Yr'!C54</f>
        <v>0</v>
      </c>
      <c r="D54" s="104">
        <f>+'Tuition-4Yr'!D54+'State Appropriations-4Yr'!D54+'Local Appropriations-4Yr'!D54+'Fed Contracts Grnts-4Yr'!D54+'Other Contract Grnts-4Yr'!D54+'Investment Income-4Yr'!D54+'All Other E&amp;G-4Yr'!D54</f>
        <v>0</v>
      </c>
      <c r="E54" s="104">
        <f>+'Tuition-4Yr'!E54+'State Appropriations-4Yr'!E54+'Local Appropriations-4Yr'!E54+'Fed Contracts Grnts-4Yr'!E54+'Other Contract Grnts-4Yr'!E54+'Investment Income-4Yr'!E54+'All Other E&amp;G-4Yr'!E54</f>
        <v>0</v>
      </c>
      <c r="F54" s="104">
        <f>+'Tuition-4Yr'!F54+'State Appropriations-4Yr'!F54+'Local Appropriations-4Yr'!F54+'Fed Contracts Grnts-4Yr'!F54+'Other Contract Grnts-4Yr'!F54+'Investment Income-4Yr'!F54+'All Other E&amp;G-4Yr'!F54</f>
        <v>0</v>
      </c>
      <c r="G54" s="104">
        <f>+'Tuition-4Yr'!G54+'State Appropriations-4Yr'!G54+'Local Appropriations-4Yr'!G54+'Fed Contracts Grnts-4Yr'!G54+'Other Contract Grnts-4Yr'!G54+'Investment Income-4Yr'!G54+'All Other E&amp;G-4Yr'!G54</f>
        <v>0</v>
      </c>
      <c r="H54" s="104">
        <f>+'Tuition-4Yr'!H54+'State Appropriations-4Yr'!H54+'Local Appropriations-4Yr'!H54+'Fed Contracts Grnts-4Yr'!H54+'Other Contract Grnts-4Yr'!H54+'Investment Income-4Yr'!H54+'All Other E&amp;G-4Yr'!H54</f>
        <v>0</v>
      </c>
      <c r="I54" s="104">
        <f>+'Tuition-4Yr'!I54+'State Appropriations-4Yr'!I54+'Local Appropriations-4Yr'!I54+'Fed Contracts Grnts-4Yr'!I54+'Other Contract Grnts-4Yr'!I54+'Investment Income-4Yr'!I54+'All Other E&amp;G-4Yr'!I54</f>
        <v>0</v>
      </c>
      <c r="J54" s="104">
        <f>+'Tuition-4Yr'!J54+'State Appropriations-4Yr'!J54+'Local Appropriations-4Yr'!J54+'Fed Contracts Grnts-4Yr'!J54+'Other Contract Grnts-4Yr'!J54+'Investment Income-4Yr'!J54+'All Other E&amp;G-4Yr'!J54</f>
        <v>549970.78799999994</v>
      </c>
      <c r="K54" s="104">
        <f>+'Tuition-4Yr'!K54+'State Appropriations-4Yr'!K54+'Local Appropriations-4Yr'!K54+'Fed Contracts Grnts-4Yr'!K54+'Other Contract Grnts-4Yr'!K54+'Investment Income-4Yr'!K54+'All Other E&amp;G-4Yr'!K54</f>
        <v>0</v>
      </c>
      <c r="L54" s="104">
        <f>+'Tuition-4Yr'!L54+'State Appropriations-4Yr'!L54+'Local Appropriations-4Yr'!L54+'Fed Contracts Grnts-4Yr'!L54+'Other Contract Grnts-4Yr'!L54+'Investment Income-4Yr'!L54+'All Other E&amp;G-4Yr'!L54</f>
        <v>0</v>
      </c>
      <c r="M54" s="104">
        <f>+'Tuition-4Yr'!M54+'State Appropriations-4Yr'!M54+'Local Appropriations-4Yr'!M54+'Fed Contracts Grnts-4Yr'!M54+'Other Contract Grnts-4Yr'!M54+'Investment Income-4Yr'!M54+'All Other E&amp;G-4Yr'!M54</f>
        <v>740340.68500000006</v>
      </c>
      <c r="N54" s="104">
        <f>+'Tuition-4Yr'!N54+'State Appropriations-4Yr'!N54+'Local Appropriations-4Yr'!N54+'Fed Contracts Grnts-4Yr'!N54+'Other Contract Grnts-4Yr'!N54+'Investment Income-4Yr'!N54+'All Other E&amp;G-4Yr'!N54</f>
        <v>0</v>
      </c>
      <c r="O54" s="104">
        <f>+'Tuition-4Yr'!O54+'State Appropriations-4Yr'!O54+'Local Appropriations-4Yr'!O54+'Fed Contracts Grnts-4Yr'!O54+'Other Contract Grnts-4Yr'!O54+'Investment Income-4Yr'!O54+'All Other E&amp;G-4Yr'!O54</f>
        <v>764125.23199999996</v>
      </c>
      <c r="P54" s="104">
        <f>+'Tuition-4Yr'!P54+'State Appropriations-4Yr'!P54+'Local Appropriations-4Yr'!P54+'Fed Contracts Grnts-4Yr'!P54+'Other Contract Grnts-4Yr'!P54+'Investment Income-4Yr'!P54+'All Other E&amp;G-4Yr'!P54</f>
        <v>0</v>
      </c>
      <c r="Q54" s="104">
        <f>+'Tuition-4Yr'!Q54+'State Appropriations-4Yr'!Q54+'Local Appropriations-4Yr'!Q54+'Fed Contracts Grnts-4Yr'!Q54+'Other Contract Grnts-4Yr'!Q54+'Investment Income-4Yr'!Q54+'All Other E&amp;G-4Yr'!Q54</f>
        <v>0</v>
      </c>
      <c r="R54" s="104">
        <f>+'Tuition-4Yr'!R54+'State Appropriations-4Yr'!R54+'Local Appropriations-4Yr'!R54+'Fed Contracts Grnts-4Yr'!R54+'Other Contract Grnts-4Yr'!R54+'Investment Income-4Yr'!R54+'All Other E&amp;G-4Yr'!R54</f>
        <v>989043.15700000012</v>
      </c>
      <c r="S54" s="104">
        <f>+'Tuition-4Yr'!S54+'State Appropriations-4Yr'!S54+'Local Appropriations-4Yr'!S54+'Fed Contracts Grnts-4Yr'!S54+'Other Contract Grnts-4Yr'!S54+'Investment Income-4Yr'!S54+'All Other E&amp;G-4Yr'!S54</f>
        <v>1016221.804</v>
      </c>
      <c r="T54" s="104">
        <f>+'Tuition-4Yr'!T54+'State Appropriations-4Yr'!T54+'Local Appropriations-4Yr'!T54+'Fed Contracts Grnts-4Yr'!T54+'Other Contract Grnts-4Yr'!T54+'Investment Income-4Yr'!T54+'All Other E&amp;G-4Yr'!T54</f>
        <v>1422060.1310000001</v>
      </c>
      <c r="U54" s="104">
        <f>+'Tuition-4Yr'!U54+'State Appropriations-4Yr'!U54+'Local Appropriations-4Yr'!U54+'Fed Contracts Grnts-4Yr'!U54+'Other Contract Grnts-4Yr'!U54+'Investment Income-4Yr'!U54+'All Other E&amp;G-4Yr'!U54</f>
        <v>1320325.8530000001</v>
      </c>
      <c r="V54" s="104">
        <f>+'Tuition-4Yr'!V54+'State Appropriations-4Yr'!V54+'Local Appropriations-4Yr'!V54+'Fed Contracts Grnts-4Yr'!V54+'Other Contract Grnts-4Yr'!V54+'Investment Income-4Yr'!V54+'All Other E&amp;G-4Yr'!V54</f>
        <v>1540497.4680000003</v>
      </c>
      <c r="W54" s="104">
        <f>+'Tuition-4Yr'!W54+'State Appropriations-4Yr'!W54+'Local Appropriations-4Yr'!W54+'Fed Contracts Grnts-4Yr'!W54+'Other Contract Grnts-4Yr'!W54+'Investment Income-4Yr'!W54+'All Other E&amp;G-4Yr'!W54</f>
        <v>1967689.4419999998</v>
      </c>
      <c r="X54" s="104">
        <f>+'Tuition-4Yr'!X54+'State Appropriations-4Yr'!X54+'Local Appropriations-4Yr'!X54+'Fed Contracts Grnts-4Yr'!X54+'Other Contract Grnts-4Yr'!X54+'Investment Income-4Yr'!X54+'All Other E&amp;G-4Yr'!X54</f>
        <v>1743173.977</v>
      </c>
      <c r="Y54" s="104">
        <f>+'Tuition-4Yr'!Y54+'State Appropriations-4Yr'!Y54+'Local Appropriations-4Yr'!Y54+'Fed Contracts Grnts-4Yr'!Y54+'Other Contract Grnts-4Yr'!Y54+'Investment Income-4Yr'!Y54+'All Other E&amp;G-4Yr'!Y54</f>
        <v>1697094.3509999998</v>
      </c>
      <c r="Z54" s="104">
        <f>+'Tuition-4Yr'!Z54+'State Appropriations-4Yr'!Z54+'Local Appropriations-4Yr'!Z54+'Fed Contracts Grnts-4Yr'!Z54+'Other Contract Grnts-4Yr'!Z54+'Investment Income-4Yr'!Z54+'All Other E&amp;G-4Yr'!Z54</f>
        <v>1827089.2079999999</v>
      </c>
      <c r="AA54" s="104">
        <f>+'Tuition-4Yr'!AA54+'State Appropriations-4Yr'!AA54+'Local Appropriations-4Yr'!AA54+'Fed Contracts Grnts-4Yr'!AA54+'Other Contract Grnts-4Yr'!AA54+'Investment Income-4Yr'!AA54+'All Other E&amp;G-4Yr'!AA54</f>
        <v>1815884.4850000001</v>
      </c>
      <c r="AB54" s="104">
        <f>+'Tuition-4Yr'!AB54+'State Appropriations-4Yr'!AB54+'Local Appropriations-4Yr'!AB54+'Fed Contracts Grnts-4Yr'!AB54+'Other Contract Grnts-4Yr'!AB54+'Investment Income-4Yr'!AB54+'All Other E&amp;G-4Yr'!AB54</f>
        <v>1828552.0690000004</v>
      </c>
      <c r="AC54" s="104">
        <f>+'Tuition-4Yr'!AC54+'State Appropriations-4Yr'!AC54+'Local Appropriations-4Yr'!AC54+'Fed Contracts Grnts-4Yr'!AC54+'Other Contract Grnts-4Yr'!AC54+'Investment Income-4Yr'!AC54+'All Other E&amp;G-4Yr'!AC54</f>
        <v>1949389</v>
      </c>
      <c r="AD54" s="104">
        <f>+'Tuition-4Yr'!AD54+'State Appropriations-4Yr'!AD54+'Local Appropriations-4Yr'!AD54+'Fed Contracts Grnts-4Yr'!AD54+'Other Contract Grnts-4Yr'!AD54+'Investment Income-4Yr'!AD54+'All Other E&amp;G-4Yr'!AD54</f>
        <v>1866264.62</v>
      </c>
      <c r="AE54" s="104">
        <f>+'Tuition-4Yr'!AE54+'State Appropriations-4Yr'!AE54+'Local Appropriations-4Yr'!AE54+'Fed Contracts Grnts-4Yr'!AE54+'Other Contract Grnts-4Yr'!AE54+'Investment Income-4Yr'!AE54+'All Other E&amp;G-4Yr'!AE54</f>
        <v>1922277.2880000002</v>
      </c>
      <c r="AF54" s="104">
        <f>+'Tuition-4Yr'!AF54+'State Appropriations-4Yr'!AF54+'Local Appropriations-4Yr'!AF54+'Fed Contracts Grnts-4Yr'!AF54+'Other Contract Grnts-4Yr'!AF54+'Investment Income-4Yr'!AF54+'All Other E&amp;G-4Yr'!AF54</f>
        <v>2055071.8309999998</v>
      </c>
      <c r="AG54" s="104">
        <f>+'Tuition-4Yr'!AG54+'State Appropriations-4Yr'!AG54+'Local Appropriations-4Yr'!AG54+'Fed Contracts Grnts-4Yr'!AG54+'Other Contract Grnts-4Yr'!AG54+'Investment Income-4Yr'!AG54+'All Other E&amp;G-4Yr'!AG54</f>
        <v>2241995.727</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row>
    <row r="55" spans="1:213" s="65" customFormat="1" ht="12.75" customHeight="1">
      <c r="A55" s="23" t="s">
        <v>120</v>
      </c>
      <c r="B55" s="104">
        <f>+'Tuition-4Yr'!B55+'State Appropriations-4Yr'!B55+'Local Appropriations-4Yr'!B55+'Fed Contracts Grnts-4Yr'!B55+'Other Contract Grnts-4Yr'!B55+'Investment Income-4Yr'!B55+'All Other E&amp;G-4Yr'!B55</f>
        <v>0</v>
      </c>
      <c r="C55" s="104">
        <f>+'Tuition-4Yr'!C55+'State Appropriations-4Yr'!C55+'Local Appropriations-4Yr'!C55+'Fed Contracts Grnts-4Yr'!C55+'Other Contract Grnts-4Yr'!C55+'Investment Income-4Yr'!C55+'All Other E&amp;G-4Yr'!C55</f>
        <v>0</v>
      </c>
      <c r="D55" s="104">
        <f>+'Tuition-4Yr'!D55+'State Appropriations-4Yr'!D55+'Local Appropriations-4Yr'!D55+'Fed Contracts Grnts-4Yr'!D55+'Other Contract Grnts-4Yr'!D55+'Investment Income-4Yr'!D55+'All Other E&amp;G-4Yr'!D55</f>
        <v>0</v>
      </c>
      <c r="E55" s="104">
        <f>+'Tuition-4Yr'!E55+'State Appropriations-4Yr'!E55+'Local Appropriations-4Yr'!E55+'Fed Contracts Grnts-4Yr'!E55+'Other Contract Grnts-4Yr'!E55+'Investment Income-4Yr'!E55+'All Other E&amp;G-4Yr'!E55</f>
        <v>0</v>
      </c>
      <c r="F55" s="104">
        <f>+'Tuition-4Yr'!F55+'State Appropriations-4Yr'!F55+'Local Appropriations-4Yr'!F55+'Fed Contracts Grnts-4Yr'!F55+'Other Contract Grnts-4Yr'!F55+'Investment Income-4Yr'!F55+'All Other E&amp;G-4Yr'!F55</f>
        <v>0</v>
      </c>
      <c r="G55" s="104">
        <f>+'Tuition-4Yr'!G55+'State Appropriations-4Yr'!G55+'Local Appropriations-4Yr'!G55+'Fed Contracts Grnts-4Yr'!G55+'Other Contract Grnts-4Yr'!G55+'Investment Income-4Yr'!G55+'All Other E&amp;G-4Yr'!G55</f>
        <v>0</v>
      </c>
      <c r="H55" s="104">
        <f>+'Tuition-4Yr'!H55+'State Appropriations-4Yr'!H55+'Local Appropriations-4Yr'!H55+'Fed Contracts Grnts-4Yr'!H55+'Other Contract Grnts-4Yr'!H55+'Investment Income-4Yr'!H55+'All Other E&amp;G-4Yr'!H55</f>
        <v>0</v>
      </c>
      <c r="I55" s="104">
        <f>+'Tuition-4Yr'!I55+'State Appropriations-4Yr'!I55+'Local Appropriations-4Yr'!I55+'Fed Contracts Grnts-4Yr'!I55+'Other Contract Grnts-4Yr'!I55+'Investment Income-4Yr'!I55+'All Other E&amp;G-4Yr'!I55</f>
        <v>0</v>
      </c>
      <c r="J55" s="104">
        <f>+'Tuition-4Yr'!J55+'State Appropriations-4Yr'!J55+'Local Appropriations-4Yr'!J55+'Fed Contracts Grnts-4Yr'!J55+'Other Contract Grnts-4Yr'!J55+'Investment Income-4Yr'!J55+'All Other E&amp;G-4Yr'!J55</f>
        <v>274786.68800000002</v>
      </c>
      <c r="K55" s="104">
        <f>+'Tuition-4Yr'!K55+'State Appropriations-4Yr'!K55+'Local Appropriations-4Yr'!K55+'Fed Contracts Grnts-4Yr'!K55+'Other Contract Grnts-4Yr'!K55+'Investment Income-4Yr'!K55+'All Other E&amp;G-4Yr'!K55</f>
        <v>0</v>
      </c>
      <c r="L55" s="104">
        <f>+'Tuition-4Yr'!L55+'State Appropriations-4Yr'!L55+'Local Appropriations-4Yr'!L55+'Fed Contracts Grnts-4Yr'!L55+'Other Contract Grnts-4Yr'!L55+'Investment Income-4Yr'!L55+'All Other E&amp;G-4Yr'!L55</f>
        <v>0</v>
      </c>
      <c r="M55" s="104">
        <f>+'Tuition-4Yr'!M55+'State Appropriations-4Yr'!M55+'Local Appropriations-4Yr'!M55+'Fed Contracts Grnts-4Yr'!M55+'Other Contract Grnts-4Yr'!M55+'Investment Income-4Yr'!M55+'All Other E&amp;G-4Yr'!M55</f>
        <v>306412.10700000008</v>
      </c>
      <c r="N55" s="104">
        <f>+'Tuition-4Yr'!N55+'State Appropriations-4Yr'!N55+'Local Appropriations-4Yr'!N55+'Fed Contracts Grnts-4Yr'!N55+'Other Contract Grnts-4Yr'!N55+'Investment Income-4Yr'!N55+'All Other E&amp;G-4Yr'!N55</f>
        <v>0</v>
      </c>
      <c r="O55" s="104">
        <f>+'Tuition-4Yr'!O55+'State Appropriations-4Yr'!O55+'Local Appropriations-4Yr'!O55+'Fed Contracts Grnts-4Yr'!O55+'Other Contract Grnts-4Yr'!O55+'Investment Income-4Yr'!O55+'All Other E&amp;G-4Yr'!O55</f>
        <v>350816.08899999998</v>
      </c>
      <c r="P55" s="104">
        <f>+'Tuition-4Yr'!P55+'State Appropriations-4Yr'!P55+'Local Appropriations-4Yr'!P55+'Fed Contracts Grnts-4Yr'!P55+'Other Contract Grnts-4Yr'!P55+'Investment Income-4Yr'!P55+'All Other E&amp;G-4Yr'!P55</f>
        <v>0</v>
      </c>
      <c r="Q55" s="104">
        <f>+'Tuition-4Yr'!Q55+'State Appropriations-4Yr'!Q55+'Local Appropriations-4Yr'!Q55+'Fed Contracts Grnts-4Yr'!Q55+'Other Contract Grnts-4Yr'!Q55+'Investment Income-4Yr'!Q55+'All Other E&amp;G-4Yr'!Q55</f>
        <v>0</v>
      </c>
      <c r="R55" s="104">
        <f>+'Tuition-4Yr'!R55+'State Appropriations-4Yr'!R55+'Local Appropriations-4Yr'!R55+'Fed Contracts Grnts-4Yr'!R55+'Other Contract Grnts-4Yr'!R55+'Investment Income-4Yr'!R55+'All Other E&amp;G-4Yr'!R55</f>
        <v>399818.79100000003</v>
      </c>
      <c r="S55" s="104">
        <f>+'Tuition-4Yr'!S55+'State Appropriations-4Yr'!S55+'Local Appropriations-4Yr'!S55+'Fed Contracts Grnts-4Yr'!S55+'Other Contract Grnts-4Yr'!S55+'Investment Income-4Yr'!S55+'All Other E&amp;G-4Yr'!S55</f>
        <v>426874.239</v>
      </c>
      <c r="T55" s="104">
        <f>+'Tuition-4Yr'!T55+'State Appropriations-4Yr'!T55+'Local Appropriations-4Yr'!T55+'Fed Contracts Grnts-4Yr'!T55+'Other Contract Grnts-4Yr'!T55+'Investment Income-4Yr'!T55+'All Other E&amp;G-4Yr'!T55</f>
        <v>466525.08599999995</v>
      </c>
      <c r="U55" s="104">
        <f>+'Tuition-4Yr'!U55+'State Appropriations-4Yr'!U55+'Local Appropriations-4Yr'!U55+'Fed Contracts Grnts-4Yr'!U55+'Other Contract Grnts-4Yr'!U55+'Investment Income-4Yr'!U55+'All Other E&amp;G-4Yr'!U55</f>
        <v>468250.70299999998</v>
      </c>
      <c r="V55" s="104">
        <f>+'Tuition-4Yr'!V55+'State Appropriations-4Yr'!V55+'Local Appropriations-4Yr'!V55+'Fed Contracts Grnts-4Yr'!V55+'Other Contract Grnts-4Yr'!V55+'Investment Income-4Yr'!V55+'All Other E&amp;G-4Yr'!V55</f>
        <v>495686.74099999998</v>
      </c>
      <c r="W55" s="104">
        <f>+'Tuition-4Yr'!W55+'State Appropriations-4Yr'!W55+'Local Appropriations-4Yr'!W55+'Fed Contracts Grnts-4Yr'!W55+'Other Contract Grnts-4Yr'!W55+'Investment Income-4Yr'!W55+'All Other E&amp;G-4Yr'!W55</f>
        <v>553603.54700000002</v>
      </c>
      <c r="X55" s="104">
        <f>+'Tuition-4Yr'!X55+'State Appropriations-4Yr'!X55+'Local Appropriations-4Yr'!X55+'Fed Contracts Grnts-4Yr'!X55+'Other Contract Grnts-4Yr'!X55+'Investment Income-4Yr'!X55+'All Other E&amp;G-4Yr'!X55</f>
        <v>519223.30599999998</v>
      </c>
      <c r="Y55" s="104">
        <f>+'Tuition-4Yr'!Y55+'State Appropriations-4Yr'!Y55+'Local Appropriations-4Yr'!Y55+'Fed Contracts Grnts-4Yr'!Y55+'Other Contract Grnts-4Yr'!Y55+'Investment Income-4Yr'!Y55+'All Other E&amp;G-4Yr'!Y55</f>
        <v>556327.66599999997</v>
      </c>
      <c r="Z55" s="104">
        <f>+'Tuition-4Yr'!Z55+'State Appropriations-4Yr'!Z55+'Local Appropriations-4Yr'!Z55+'Fed Contracts Grnts-4Yr'!Z55+'Other Contract Grnts-4Yr'!Z55+'Investment Income-4Yr'!Z55+'All Other E&amp;G-4Yr'!Z55</f>
        <v>563354.56799999997</v>
      </c>
      <c r="AA55" s="104">
        <f>+'Tuition-4Yr'!AA55+'State Appropriations-4Yr'!AA55+'Local Appropriations-4Yr'!AA55+'Fed Contracts Grnts-4Yr'!AA55+'Other Contract Grnts-4Yr'!AA55+'Investment Income-4Yr'!AA55+'All Other E&amp;G-4Yr'!AA55</f>
        <v>634657.69200000004</v>
      </c>
      <c r="AB55" s="104">
        <f>+'Tuition-4Yr'!AB55+'State Appropriations-4Yr'!AB55+'Local Appropriations-4Yr'!AB55+'Fed Contracts Grnts-4Yr'!AB55+'Other Contract Grnts-4Yr'!AB55+'Investment Income-4Yr'!AB55+'All Other E&amp;G-4Yr'!AB55</f>
        <v>683566.66499999992</v>
      </c>
      <c r="AC55" s="104">
        <f>+'Tuition-4Yr'!AC55+'State Appropriations-4Yr'!AC55+'Local Appropriations-4Yr'!AC55+'Fed Contracts Grnts-4Yr'!AC55+'Other Contract Grnts-4Yr'!AC55+'Investment Income-4Yr'!AC55+'All Other E&amp;G-4Yr'!AC55</f>
        <v>718800</v>
      </c>
      <c r="AD55" s="104">
        <f>+'Tuition-4Yr'!AD55+'State Appropriations-4Yr'!AD55+'Local Appropriations-4Yr'!AD55+'Fed Contracts Grnts-4Yr'!AD55+'Other Contract Grnts-4Yr'!AD55+'Investment Income-4Yr'!AD55+'All Other E&amp;G-4Yr'!AD55</f>
        <v>691627.49199999997</v>
      </c>
      <c r="AE55" s="104">
        <f>+'Tuition-4Yr'!AE55+'State Appropriations-4Yr'!AE55+'Local Appropriations-4Yr'!AE55+'Fed Contracts Grnts-4Yr'!AE55+'Other Contract Grnts-4Yr'!AE55+'Investment Income-4Yr'!AE55+'All Other E&amp;G-4Yr'!AE55</f>
        <v>678952.06199999992</v>
      </c>
      <c r="AF55" s="104">
        <f>+'Tuition-4Yr'!AF55+'State Appropriations-4Yr'!AF55+'Local Appropriations-4Yr'!AF55+'Fed Contracts Grnts-4Yr'!AF55+'Other Contract Grnts-4Yr'!AF55+'Investment Income-4Yr'!AF55+'All Other E&amp;G-4Yr'!AF55</f>
        <v>654401.10700000008</v>
      </c>
      <c r="AG55" s="104">
        <f>+'Tuition-4Yr'!AG55+'State Appropriations-4Yr'!AG55+'Local Appropriations-4Yr'!AG55+'Fed Contracts Grnts-4Yr'!AG55+'Other Contract Grnts-4Yr'!AG55+'Investment Income-4Yr'!AG55+'All Other E&amp;G-4Yr'!AG55</f>
        <v>665422.125</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row>
    <row r="56" spans="1:213" s="65" customFormat="1" ht="12.75" customHeight="1">
      <c r="A56" s="23" t="s">
        <v>121</v>
      </c>
      <c r="B56" s="104">
        <f>+'Tuition-4Yr'!B56+'State Appropriations-4Yr'!B56+'Local Appropriations-4Yr'!B56+'Fed Contracts Grnts-4Yr'!B56+'Other Contract Grnts-4Yr'!B56+'Investment Income-4Yr'!B56+'All Other E&amp;G-4Yr'!B56</f>
        <v>0</v>
      </c>
      <c r="C56" s="104">
        <f>+'Tuition-4Yr'!C56+'State Appropriations-4Yr'!C56+'Local Appropriations-4Yr'!C56+'Fed Contracts Grnts-4Yr'!C56+'Other Contract Grnts-4Yr'!C56+'Investment Income-4Yr'!C56+'All Other E&amp;G-4Yr'!C56</f>
        <v>0</v>
      </c>
      <c r="D56" s="104">
        <f>+'Tuition-4Yr'!D56+'State Appropriations-4Yr'!D56+'Local Appropriations-4Yr'!D56+'Fed Contracts Grnts-4Yr'!D56+'Other Contract Grnts-4Yr'!D56+'Investment Income-4Yr'!D56+'All Other E&amp;G-4Yr'!D56</f>
        <v>0</v>
      </c>
      <c r="E56" s="104">
        <f>+'Tuition-4Yr'!E56+'State Appropriations-4Yr'!E56+'Local Appropriations-4Yr'!E56+'Fed Contracts Grnts-4Yr'!E56+'Other Contract Grnts-4Yr'!E56+'Investment Income-4Yr'!E56+'All Other E&amp;G-4Yr'!E56</f>
        <v>0</v>
      </c>
      <c r="F56" s="104">
        <f>+'Tuition-4Yr'!F56+'State Appropriations-4Yr'!F56+'Local Appropriations-4Yr'!F56+'Fed Contracts Grnts-4Yr'!F56+'Other Contract Grnts-4Yr'!F56+'Investment Income-4Yr'!F56+'All Other E&amp;G-4Yr'!F56</f>
        <v>0</v>
      </c>
      <c r="G56" s="104">
        <f>+'Tuition-4Yr'!G56+'State Appropriations-4Yr'!G56+'Local Appropriations-4Yr'!G56+'Fed Contracts Grnts-4Yr'!G56+'Other Contract Grnts-4Yr'!G56+'Investment Income-4Yr'!G56+'All Other E&amp;G-4Yr'!G56</f>
        <v>0</v>
      </c>
      <c r="H56" s="104">
        <f>+'Tuition-4Yr'!H56+'State Appropriations-4Yr'!H56+'Local Appropriations-4Yr'!H56+'Fed Contracts Grnts-4Yr'!H56+'Other Contract Grnts-4Yr'!H56+'Investment Income-4Yr'!H56+'All Other E&amp;G-4Yr'!H56</f>
        <v>0</v>
      </c>
      <c r="I56" s="104">
        <f>+'Tuition-4Yr'!I56+'State Appropriations-4Yr'!I56+'Local Appropriations-4Yr'!I56+'Fed Contracts Grnts-4Yr'!I56+'Other Contract Grnts-4Yr'!I56+'Investment Income-4Yr'!I56+'All Other E&amp;G-4Yr'!I56</f>
        <v>0</v>
      </c>
      <c r="J56" s="104">
        <f>+'Tuition-4Yr'!J56+'State Appropriations-4Yr'!J56+'Local Appropriations-4Yr'!J56+'Fed Contracts Grnts-4Yr'!J56+'Other Contract Grnts-4Yr'!J56+'Investment Income-4Yr'!J56+'All Other E&amp;G-4Yr'!J56</f>
        <v>1002899.3780000001</v>
      </c>
      <c r="K56" s="104">
        <f>+'Tuition-4Yr'!K56+'State Appropriations-4Yr'!K56+'Local Appropriations-4Yr'!K56+'Fed Contracts Grnts-4Yr'!K56+'Other Contract Grnts-4Yr'!K56+'Investment Income-4Yr'!K56+'All Other E&amp;G-4Yr'!K56</f>
        <v>0</v>
      </c>
      <c r="L56" s="104">
        <f>+'Tuition-4Yr'!L56+'State Appropriations-4Yr'!L56+'Local Appropriations-4Yr'!L56+'Fed Contracts Grnts-4Yr'!L56+'Other Contract Grnts-4Yr'!L56+'Investment Income-4Yr'!L56+'All Other E&amp;G-4Yr'!L56</f>
        <v>0</v>
      </c>
      <c r="M56" s="104">
        <f>+'Tuition-4Yr'!M56+'State Appropriations-4Yr'!M56+'Local Appropriations-4Yr'!M56+'Fed Contracts Grnts-4Yr'!M56+'Other Contract Grnts-4Yr'!M56+'Investment Income-4Yr'!M56+'All Other E&amp;G-4Yr'!M56</f>
        <v>1093665.548</v>
      </c>
      <c r="N56" s="104">
        <f>+'Tuition-4Yr'!N56+'State Appropriations-4Yr'!N56+'Local Appropriations-4Yr'!N56+'Fed Contracts Grnts-4Yr'!N56+'Other Contract Grnts-4Yr'!N56+'Investment Income-4Yr'!N56+'All Other E&amp;G-4Yr'!N56</f>
        <v>0</v>
      </c>
      <c r="O56" s="104">
        <f>+'Tuition-4Yr'!O56+'State Appropriations-4Yr'!O56+'Local Appropriations-4Yr'!O56+'Fed Contracts Grnts-4Yr'!O56+'Other Contract Grnts-4Yr'!O56+'Investment Income-4Yr'!O56+'All Other E&amp;G-4Yr'!O56</f>
        <v>1259116.425</v>
      </c>
      <c r="P56" s="104">
        <f>+'Tuition-4Yr'!P56+'State Appropriations-4Yr'!P56+'Local Appropriations-4Yr'!P56+'Fed Contracts Grnts-4Yr'!P56+'Other Contract Grnts-4Yr'!P56+'Investment Income-4Yr'!P56+'All Other E&amp;G-4Yr'!P56</f>
        <v>0</v>
      </c>
      <c r="Q56" s="104">
        <f>+'Tuition-4Yr'!Q56+'State Appropriations-4Yr'!Q56+'Local Appropriations-4Yr'!Q56+'Fed Contracts Grnts-4Yr'!Q56+'Other Contract Grnts-4Yr'!Q56+'Investment Income-4Yr'!Q56+'All Other E&amp;G-4Yr'!Q56</f>
        <v>0</v>
      </c>
      <c r="R56" s="104">
        <f>+'Tuition-4Yr'!R56+'State Appropriations-4Yr'!R56+'Local Appropriations-4Yr'!R56+'Fed Contracts Grnts-4Yr'!R56+'Other Contract Grnts-4Yr'!R56+'Investment Income-4Yr'!R56+'All Other E&amp;G-4Yr'!R56</f>
        <v>1550130.54</v>
      </c>
      <c r="S56" s="104">
        <f>+'Tuition-4Yr'!S56+'State Appropriations-4Yr'!S56+'Local Appropriations-4Yr'!S56+'Fed Contracts Grnts-4Yr'!S56+'Other Contract Grnts-4Yr'!S56+'Investment Income-4Yr'!S56+'All Other E&amp;G-4Yr'!S56</f>
        <v>1641358.7849999999</v>
      </c>
      <c r="T56" s="104">
        <f>+'Tuition-4Yr'!T56+'State Appropriations-4Yr'!T56+'Local Appropriations-4Yr'!T56+'Fed Contracts Grnts-4Yr'!T56+'Other Contract Grnts-4Yr'!T56+'Investment Income-4Yr'!T56+'All Other E&amp;G-4Yr'!T56</f>
        <v>1747039.1230000001</v>
      </c>
      <c r="U56" s="104">
        <f>+'Tuition-4Yr'!U56+'State Appropriations-4Yr'!U56+'Local Appropriations-4Yr'!U56+'Fed Contracts Grnts-4Yr'!U56+'Other Contract Grnts-4Yr'!U56+'Investment Income-4Yr'!U56+'All Other E&amp;G-4Yr'!U56</f>
        <v>1735033.9809999999</v>
      </c>
      <c r="V56" s="104">
        <f>+'Tuition-4Yr'!V56+'State Appropriations-4Yr'!V56+'Local Appropriations-4Yr'!V56+'Fed Contracts Grnts-4Yr'!V56+'Other Contract Grnts-4Yr'!V56+'Investment Income-4Yr'!V56+'All Other E&amp;G-4Yr'!V56</f>
        <v>1856247.091</v>
      </c>
      <c r="W56" s="104">
        <f>+'Tuition-4Yr'!W56+'State Appropriations-4Yr'!W56+'Local Appropriations-4Yr'!W56+'Fed Contracts Grnts-4Yr'!W56+'Other Contract Grnts-4Yr'!W56+'Investment Income-4Yr'!W56+'All Other E&amp;G-4Yr'!W56</f>
        <v>2353799.2450000001</v>
      </c>
      <c r="X56" s="104">
        <f>+'Tuition-4Yr'!X56+'State Appropriations-4Yr'!X56+'Local Appropriations-4Yr'!X56+'Fed Contracts Grnts-4Yr'!X56+'Other Contract Grnts-4Yr'!X56+'Investment Income-4Yr'!X56+'All Other E&amp;G-4Yr'!X56</f>
        <v>2352003.7259999998</v>
      </c>
      <c r="Y56" s="104">
        <f>+'Tuition-4Yr'!Y56+'State Appropriations-4Yr'!Y56+'Local Appropriations-4Yr'!Y56+'Fed Contracts Grnts-4Yr'!Y56+'Other Contract Grnts-4Yr'!Y56+'Investment Income-4Yr'!Y56+'All Other E&amp;G-4Yr'!Y56</f>
        <v>2574190.7069999999</v>
      </c>
      <c r="Z56" s="104">
        <f>+'Tuition-4Yr'!Z56+'State Appropriations-4Yr'!Z56+'Local Appropriations-4Yr'!Z56+'Fed Contracts Grnts-4Yr'!Z56+'Other Contract Grnts-4Yr'!Z56+'Investment Income-4Yr'!Z56+'All Other E&amp;G-4Yr'!Z56</f>
        <v>2599633.548</v>
      </c>
      <c r="AA56" s="104">
        <f>+'Tuition-4Yr'!AA56+'State Appropriations-4Yr'!AA56+'Local Appropriations-4Yr'!AA56+'Fed Contracts Grnts-4Yr'!AA56+'Other Contract Grnts-4Yr'!AA56+'Investment Income-4Yr'!AA56+'All Other E&amp;G-4Yr'!AA56</f>
        <v>1977726.02</v>
      </c>
      <c r="AB56" s="104">
        <f>+'Tuition-4Yr'!AB56+'State Appropriations-4Yr'!AB56+'Local Appropriations-4Yr'!AB56+'Fed Contracts Grnts-4Yr'!AB56+'Other Contract Grnts-4Yr'!AB56+'Investment Income-4Yr'!AB56+'All Other E&amp;G-4Yr'!AB56</f>
        <v>3089212.173</v>
      </c>
      <c r="AC56" s="104">
        <f>+'Tuition-4Yr'!AC56+'State Appropriations-4Yr'!AC56+'Local Appropriations-4Yr'!AC56+'Fed Contracts Grnts-4Yr'!AC56+'Other Contract Grnts-4Yr'!AC56+'Investment Income-4Yr'!AC56+'All Other E&amp;G-4Yr'!AC56</f>
        <v>3285727</v>
      </c>
      <c r="AD56" s="104">
        <f>+'Tuition-4Yr'!AD56+'State Appropriations-4Yr'!AD56+'Local Appropriations-4Yr'!AD56+'Fed Contracts Grnts-4Yr'!AD56+'Other Contract Grnts-4Yr'!AD56+'Investment Income-4Yr'!AD56+'All Other E&amp;G-4Yr'!AD56</f>
        <v>3205304.406</v>
      </c>
      <c r="AE56" s="104">
        <f>+'Tuition-4Yr'!AE56+'State Appropriations-4Yr'!AE56+'Local Appropriations-4Yr'!AE56+'Fed Contracts Grnts-4Yr'!AE56+'Other Contract Grnts-4Yr'!AE56+'Investment Income-4Yr'!AE56+'All Other E&amp;G-4Yr'!AE56</f>
        <v>3387513.5689999992</v>
      </c>
      <c r="AF56" s="104">
        <f>+'Tuition-4Yr'!AF56+'State Appropriations-4Yr'!AF56+'Local Appropriations-4Yr'!AF56+'Fed Contracts Grnts-4Yr'!AF56+'Other Contract Grnts-4Yr'!AF56+'Investment Income-4Yr'!AF56+'All Other E&amp;G-4Yr'!AF56</f>
        <v>3547130.801</v>
      </c>
      <c r="AG56" s="104">
        <f>+'Tuition-4Yr'!AG56+'State Appropriations-4Yr'!AG56+'Local Appropriations-4Yr'!AG56+'Fed Contracts Grnts-4Yr'!AG56+'Other Contract Grnts-4Yr'!AG56+'Investment Income-4Yr'!AG56+'All Other E&amp;G-4Yr'!AG56</f>
        <v>3530694.8810000001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row>
    <row r="57" spans="1:213" s="65" customFormat="1" ht="12.75" customHeight="1">
      <c r="A57" s="23" t="s">
        <v>127</v>
      </c>
      <c r="B57" s="104">
        <f>+'Tuition-4Yr'!B57+'State Appropriations-4Yr'!B57+'Local Appropriations-4Yr'!B57+'Fed Contracts Grnts-4Yr'!B57+'Other Contract Grnts-4Yr'!B57+'Investment Income-4Yr'!B57+'All Other E&amp;G-4Yr'!B57</f>
        <v>0</v>
      </c>
      <c r="C57" s="104">
        <f>+'Tuition-4Yr'!C57+'State Appropriations-4Yr'!C57+'Local Appropriations-4Yr'!C57+'Fed Contracts Grnts-4Yr'!C57+'Other Contract Grnts-4Yr'!C57+'Investment Income-4Yr'!C57+'All Other E&amp;G-4Yr'!C57</f>
        <v>0</v>
      </c>
      <c r="D57" s="104">
        <f>+'Tuition-4Yr'!D57+'State Appropriations-4Yr'!D57+'Local Appropriations-4Yr'!D57+'Fed Contracts Grnts-4Yr'!D57+'Other Contract Grnts-4Yr'!D57+'Investment Income-4Yr'!D57+'All Other E&amp;G-4Yr'!D57</f>
        <v>0</v>
      </c>
      <c r="E57" s="104">
        <f>+'Tuition-4Yr'!E57+'State Appropriations-4Yr'!E57+'Local Appropriations-4Yr'!E57+'Fed Contracts Grnts-4Yr'!E57+'Other Contract Grnts-4Yr'!E57+'Investment Income-4Yr'!E57+'All Other E&amp;G-4Yr'!E57</f>
        <v>0</v>
      </c>
      <c r="F57" s="104">
        <f>+'Tuition-4Yr'!F57+'State Appropriations-4Yr'!F57+'Local Appropriations-4Yr'!F57+'Fed Contracts Grnts-4Yr'!F57+'Other Contract Grnts-4Yr'!F57+'Investment Income-4Yr'!F57+'All Other E&amp;G-4Yr'!F57</f>
        <v>0</v>
      </c>
      <c r="G57" s="104">
        <f>+'Tuition-4Yr'!G57+'State Appropriations-4Yr'!G57+'Local Appropriations-4Yr'!G57+'Fed Contracts Grnts-4Yr'!G57+'Other Contract Grnts-4Yr'!G57+'Investment Income-4Yr'!G57+'All Other E&amp;G-4Yr'!G57</f>
        <v>0</v>
      </c>
      <c r="H57" s="104">
        <f>+'Tuition-4Yr'!H57+'State Appropriations-4Yr'!H57+'Local Appropriations-4Yr'!H57+'Fed Contracts Grnts-4Yr'!H57+'Other Contract Grnts-4Yr'!H57+'Investment Income-4Yr'!H57+'All Other E&amp;G-4Yr'!H57</f>
        <v>0</v>
      </c>
      <c r="I57" s="104">
        <f>+'Tuition-4Yr'!I57+'State Appropriations-4Yr'!I57+'Local Appropriations-4Yr'!I57+'Fed Contracts Grnts-4Yr'!I57+'Other Contract Grnts-4Yr'!I57+'Investment Income-4Yr'!I57+'All Other E&amp;G-4Yr'!I57</f>
        <v>0</v>
      </c>
      <c r="J57" s="104">
        <f>+'Tuition-4Yr'!J57+'State Appropriations-4Yr'!J57+'Local Appropriations-4Yr'!J57+'Fed Contracts Grnts-4Yr'!J57+'Other Contract Grnts-4Yr'!J57+'Investment Income-4Yr'!J57+'All Other E&amp;G-4Yr'!J57</f>
        <v>240167.79499999998</v>
      </c>
      <c r="K57" s="104">
        <f>+'Tuition-4Yr'!K57+'State Appropriations-4Yr'!K57+'Local Appropriations-4Yr'!K57+'Fed Contracts Grnts-4Yr'!K57+'Other Contract Grnts-4Yr'!K57+'Investment Income-4Yr'!K57+'All Other E&amp;G-4Yr'!K57</f>
        <v>0</v>
      </c>
      <c r="L57" s="104">
        <f>+'Tuition-4Yr'!L57+'State Appropriations-4Yr'!L57+'Local Appropriations-4Yr'!L57+'Fed Contracts Grnts-4Yr'!L57+'Other Contract Grnts-4Yr'!L57+'Investment Income-4Yr'!L57+'All Other E&amp;G-4Yr'!L57</f>
        <v>0</v>
      </c>
      <c r="M57" s="104">
        <f>+'Tuition-4Yr'!M57+'State Appropriations-4Yr'!M57+'Local Appropriations-4Yr'!M57+'Fed Contracts Grnts-4Yr'!M57+'Other Contract Grnts-4Yr'!M57+'Investment Income-4Yr'!M57+'All Other E&amp;G-4Yr'!M57</f>
        <v>284653.86</v>
      </c>
      <c r="N57" s="104">
        <f>+'Tuition-4Yr'!N57+'State Appropriations-4Yr'!N57+'Local Appropriations-4Yr'!N57+'Fed Contracts Grnts-4Yr'!N57+'Other Contract Grnts-4Yr'!N57+'Investment Income-4Yr'!N57+'All Other E&amp;G-4Yr'!N57</f>
        <v>0</v>
      </c>
      <c r="O57" s="104">
        <f>+'Tuition-4Yr'!O57+'State Appropriations-4Yr'!O57+'Local Appropriations-4Yr'!O57+'Fed Contracts Grnts-4Yr'!O57+'Other Contract Grnts-4Yr'!O57+'Investment Income-4Yr'!O57+'All Other E&amp;G-4Yr'!O57</f>
        <v>306880.39600000001</v>
      </c>
      <c r="P57" s="104">
        <f>+'Tuition-4Yr'!P57+'State Appropriations-4Yr'!P57+'Local Appropriations-4Yr'!P57+'Fed Contracts Grnts-4Yr'!P57+'Other Contract Grnts-4Yr'!P57+'Investment Income-4Yr'!P57+'All Other E&amp;G-4Yr'!P57</f>
        <v>0</v>
      </c>
      <c r="Q57" s="104">
        <f>+'Tuition-4Yr'!Q57+'State Appropriations-4Yr'!Q57+'Local Appropriations-4Yr'!Q57+'Fed Contracts Grnts-4Yr'!Q57+'Other Contract Grnts-4Yr'!Q57+'Investment Income-4Yr'!Q57+'All Other E&amp;G-4Yr'!Q57</f>
        <v>0</v>
      </c>
      <c r="R57" s="104">
        <f>+'Tuition-4Yr'!R57+'State Appropriations-4Yr'!R57+'Local Appropriations-4Yr'!R57+'Fed Contracts Grnts-4Yr'!R57+'Other Contract Grnts-4Yr'!R57+'Investment Income-4Yr'!R57+'All Other E&amp;G-4Yr'!R57</f>
        <v>365453.995</v>
      </c>
      <c r="S57" s="104">
        <f>+'Tuition-4Yr'!S57+'State Appropriations-4Yr'!S57+'Local Appropriations-4Yr'!S57+'Fed Contracts Grnts-4Yr'!S57+'Other Contract Grnts-4Yr'!S57+'Investment Income-4Yr'!S57+'All Other E&amp;G-4Yr'!S57</f>
        <v>390724.39200000005</v>
      </c>
      <c r="T57" s="104">
        <f>+'Tuition-4Yr'!T57+'State Appropriations-4Yr'!T57+'Local Appropriations-4Yr'!T57+'Fed Contracts Grnts-4Yr'!T57+'Other Contract Grnts-4Yr'!T57+'Investment Income-4Yr'!T57+'All Other E&amp;G-4Yr'!T57</f>
        <v>425983.36000000004</v>
      </c>
      <c r="U57" s="104">
        <f>+'Tuition-4Yr'!U57+'State Appropriations-4Yr'!U57+'Local Appropriations-4Yr'!U57+'Fed Contracts Grnts-4Yr'!U57+'Other Contract Grnts-4Yr'!U57+'Investment Income-4Yr'!U57+'All Other E&amp;G-4Yr'!U57</f>
        <v>390678.11800000007</v>
      </c>
      <c r="V57" s="104">
        <f>+'Tuition-4Yr'!V57+'State Appropriations-4Yr'!V57+'Local Appropriations-4Yr'!V57+'Fed Contracts Grnts-4Yr'!V57+'Other Contract Grnts-4Yr'!V57+'Investment Income-4Yr'!V57+'All Other E&amp;G-4Yr'!V57</f>
        <v>417842.48700000002</v>
      </c>
      <c r="W57" s="104">
        <f>+'Tuition-4Yr'!W57+'State Appropriations-4Yr'!W57+'Local Appropriations-4Yr'!W57+'Fed Contracts Grnts-4Yr'!W57+'Other Contract Grnts-4Yr'!W57+'Investment Income-4Yr'!W57+'All Other E&amp;G-4Yr'!W57</f>
        <v>502360.86800000002</v>
      </c>
      <c r="X57" s="104">
        <f>+'Tuition-4Yr'!X57+'State Appropriations-4Yr'!X57+'Local Appropriations-4Yr'!X57+'Fed Contracts Grnts-4Yr'!X57+'Other Contract Grnts-4Yr'!X57+'Investment Income-4Yr'!X57+'All Other E&amp;G-4Yr'!X57</f>
        <v>472254.44999999995</v>
      </c>
      <c r="Y57" s="104">
        <f>+'Tuition-4Yr'!Y57+'State Appropriations-4Yr'!Y57+'Local Appropriations-4Yr'!Y57+'Fed Contracts Grnts-4Yr'!Y57+'Other Contract Grnts-4Yr'!Y57+'Investment Income-4Yr'!Y57+'All Other E&amp;G-4Yr'!Y57</f>
        <v>491574.66100000002</v>
      </c>
      <c r="Z57" s="104">
        <f>+'Tuition-4Yr'!Z57+'State Appropriations-4Yr'!Z57+'Local Appropriations-4Yr'!Z57+'Fed Contracts Grnts-4Yr'!Z57+'Other Contract Grnts-4Yr'!Z57+'Investment Income-4Yr'!Z57+'All Other E&amp;G-4Yr'!Z57</f>
        <v>511194.32</v>
      </c>
      <c r="AA57" s="104">
        <f>+'Tuition-4Yr'!AA57+'State Appropriations-4Yr'!AA57+'Local Appropriations-4Yr'!AA57+'Fed Contracts Grnts-4Yr'!AA57+'Other Contract Grnts-4Yr'!AA57+'Investment Income-4Yr'!AA57+'All Other E&amp;G-4Yr'!AA57</f>
        <v>545880.897</v>
      </c>
      <c r="AB57" s="104">
        <f>+'Tuition-4Yr'!AB57+'State Appropriations-4Yr'!AB57+'Local Appropriations-4Yr'!AB57+'Fed Contracts Grnts-4Yr'!AB57+'Other Contract Grnts-4Yr'!AB57+'Investment Income-4Yr'!AB57+'All Other E&amp;G-4Yr'!AB57</f>
        <v>648078.49200000009</v>
      </c>
      <c r="AC57" s="104">
        <f>+'Tuition-4Yr'!AC57+'State Appropriations-4Yr'!AC57+'Local Appropriations-4Yr'!AC57+'Fed Contracts Grnts-4Yr'!AC57+'Other Contract Grnts-4Yr'!AC57+'Investment Income-4Yr'!AC57+'All Other E&amp;G-4Yr'!AC57</f>
        <v>706723</v>
      </c>
      <c r="AD57" s="104">
        <f>+'Tuition-4Yr'!AD57+'State Appropriations-4Yr'!AD57+'Local Appropriations-4Yr'!AD57+'Fed Contracts Grnts-4Yr'!AD57+'Other Contract Grnts-4Yr'!AD57+'Investment Income-4Yr'!AD57+'All Other E&amp;G-4Yr'!AD57</f>
        <v>698310.54000000015</v>
      </c>
      <c r="AE57" s="104">
        <f>+'Tuition-4Yr'!AE57+'State Appropriations-4Yr'!AE57+'Local Appropriations-4Yr'!AE57+'Fed Contracts Grnts-4Yr'!AE57+'Other Contract Grnts-4Yr'!AE57+'Investment Income-4Yr'!AE57+'All Other E&amp;G-4Yr'!AE57</f>
        <v>733416.66899999999</v>
      </c>
      <c r="AF57" s="104">
        <f>+'Tuition-4Yr'!AF57+'State Appropriations-4Yr'!AF57+'Local Appropriations-4Yr'!AF57+'Fed Contracts Grnts-4Yr'!AF57+'Other Contract Grnts-4Yr'!AF57+'Investment Income-4Yr'!AF57+'All Other E&amp;G-4Yr'!AF57</f>
        <v>743173.27499999991</v>
      </c>
      <c r="AG57" s="104">
        <f>+'Tuition-4Yr'!AG57+'State Appropriations-4Yr'!AG57+'Local Appropriations-4Yr'!AG57+'Fed Contracts Grnts-4Yr'!AG57+'Other Contract Grnts-4Yr'!AG57+'Investment Income-4Yr'!AG57+'All Other E&amp;G-4Yr'!AG57</f>
        <v>764395.03</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row>
    <row r="58" spans="1:213" s="65" customFormat="1" ht="12.75" customHeight="1">
      <c r="A58" s="23" t="s">
        <v>128</v>
      </c>
      <c r="B58" s="104">
        <f>+'Tuition-4Yr'!B58+'State Appropriations-4Yr'!B58+'Local Appropriations-4Yr'!B58+'Fed Contracts Grnts-4Yr'!B58+'Other Contract Grnts-4Yr'!B58+'Investment Income-4Yr'!B58+'All Other E&amp;G-4Yr'!B58</f>
        <v>0</v>
      </c>
      <c r="C58" s="104">
        <f>+'Tuition-4Yr'!C58+'State Appropriations-4Yr'!C58+'Local Appropriations-4Yr'!C58+'Fed Contracts Grnts-4Yr'!C58+'Other Contract Grnts-4Yr'!C58+'Investment Income-4Yr'!C58+'All Other E&amp;G-4Yr'!C58</f>
        <v>0</v>
      </c>
      <c r="D58" s="104">
        <f>+'Tuition-4Yr'!D58+'State Appropriations-4Yr'!D58+'Local Appropriations-4Yr'!D58+'Fed Contracts Grnts-4Yr'!D58+'Other Contract Grnts-4Yr'!D58+'Investment Income-4Yr'!D58+'All Other E&amp;G-4Yr'!D58</f>
        <v>0</v>
      </c>
      <c r="E58" s="104">
        <f>+'Tuition-4Yr'!E58+'State Appropriations-4Yr'!E58+'Local Appropriations-4Yr'!E58+'Fed Contracts Grnts-4Yr'!E58+'Other Contract Grnts-4Yr'!E58+'Investment Income-4Yr'!E58+'All Other E&amp;G-4Yr'!E58</f>
        <v>0</v>
      </c>
      <c r="F58" s="104">
        <f>+'Tuition-4Yr'!F58+'State Appropriations-4Yr'!F58+'Local Appropriations-4Yr'!F58+'Fed Contracts Grnts-4Yr'!F58+'Other Contract Grnts-4Yr'!F58+'Investment Income-4Yr'!F58+'All Other E&amp;G-4Yr'!F58</f>
        <v>0</v>
      </c>
      <c r="G58" s="104">
        <f>+'Tuition-4Yr'!G58+'State Appropriations-4Yr'!G58+'Local Appropriations-4Yr'!G58+'Fed Contracts Grnts-4Yr'!G58+'Other Contract Grnts-4Yr'!G58+'Investment Income-4Yr'!G58+'All Other E&amp;G-4Yr'!G58</f>
        <v>0</v>
      </c>
      <c r="H58" s="104">
        <f>+'Tuition-4Yr'!H58+'State Appropriations-4Yr'!H58+'Local Appropriations-4Yr'!H58+'Fed Contracts Grnts-4Yr'!H58+'Other Contract Grnts-4Yr'!H58+'Investment Income-4Yr'!H58+'All Other E&amp;G-4Yr'!H58</f>
        <v>0</v>
      </c>
      <c r="I58" s="104">
        <f>+'Tuition-4Yr'!I58+'State Appropriations-4Yr'!I58+'Local Appropriations-4Yr'!I58+'Fed Contracts Grnts-4Yr'!I58+'Other Contract Grnts-4Yr'!I58+'Investment Income-4Yr'!I58+'All Other E&amp;G-4Yr'!I58</f>
        <v>0</v>
      </c>
      <c r="J58" s="104">
        <f>+'Tuition-4Yr'!J58+'State Appropriations-4Yr'!J58+'Local Appropriations-4Yr'!J58+'Fed Contracts Grnts-4Yr'!J58+'Other Contract Grnts-4Yr'!J58+'Investment Income-4Yr'!J58+'All Other E&amp;G-4Yr'!J58</f>
        <v>955620.54899999988</v>
      </c>
      <c r="K58" s="104">
        <f>+'Tuition-4Yr'!K58+'State Appropriations-4Yr'!K58+'Local Appropriations-4Yr'!K58+'Fed Contracts Grnts-4Yr'!K58+'Other Contract Grnts-4Yr'!K58+'Investment Income-4Yr'!K58+'All Other E&amp;G-4Yr'!K58</f>
        <v>0</v>
      </c>
      <c r="L58" s="104">
        <f>+'Tuition-4Yr'!L58+'State Appropriations-4Yr'!L58+'Local Appropriations-4Yr'!L58+'Fed Contracts Grnts-4Yr'!L58+'Other Contract Grnts-4Yr'!L58+'Investment Income-4Yr'!L58+'All Other E&amp;G-4Yr'!L58</f>
        <v>0</v>
      </c>
      <c r="M58" s="104">
        <f>+'Tuition-4Yr'!M58+'State Appropriations-4Yr'!M58+'Local Appropriations-4Yr'!M58+'Fed Contracts Grnts-4Yr'!M58+'Other Contract Grnts-4Yr'!M58+'Investment Income-4Yr'!M58+'All Other E&amp;G-4Yr'!M58</f>
        <v>1142867.307</v>
      </c>
      <c r="N58" s="104">
        <f>+'Tuition-4Yr'!N58+'State Appropriations-4Yr'!N58+'Local Appropriations-4Yr'!N58+'Fed Contracts Grnts-4Yr'!N58+'Other Contract Grnts-4Yr'!N58+'Investment Income-4Yr'!N58+'All Other E&amp;G-4Yr'!N58</f>
        <v>0</v>
      </c>
      <c r="O58" s="104">
        <f>+'Tuition-4Yr'!O58+'State Appropriations-4Yr'!O58+'Local Appropriations-4Yr'!O58+'Fed Contracts Grnts-4Yr'!O58+'Other Contract Grnts-4Yr'!O58+'Investment Income-4Yr'!O58+'All Other E&amp;G-4Yr'!O58</f>
        <v>2132895.4810000001</v>
      </c>
      <c r="P58" s="104">
        <f>+'Tuition-4Yr'!P58+'State Appropriations-4Yr'!P58+'Local Appropriations-4Yr'!P58+'Fed Contracts Grnts-4Yr'!P58+'Other Contract Grnts-4Yr'!P58+'Investment Income-4Yr'!P58+'All Other E&amp;G-4Yr'!P58</f>
        <v>0</v>
      </c>
      <c r="Q58" s="104">
        <f>+'Tuition-4Yr'!Q58+'State Appropriations-4Yr'!Q58+'Local Appropriations-4Yr'!Q58+'Fed Contracts Grnts-4Yr'!Q58+'Other Contract Grnts-4Yr'!Q58+'Investment Income-4Yr'!Q58+'All Other E&amp;G-4Yr'!Q58</f>
        <v>0</v>
      </c>
      <c r="R58" s="104">
        <f>+'Tuition-4Yr'!R58+'State Appropriations-4Yr'!R58+'Local Appropriations-4Yr'!R58+'Fed Contracts Grnts-4Yr'!R58+'Other Contract Grnts-4Yr'!R58+'Investment Income-4Yr'!R58+'All Other E&amp;G-4Yr'!R58</f>
        <v>1529728.078</v>
      </c>
      <c r="S58" s="104">
        <f>+'Tuition-4Yr'!S58+'State Appropriations-4Yr'!S58+'Local Appropriations-4Yr'!S58+'Fed Contracts Grnts-4Yr'!S58+'Other Contract Grnts-4Yr'!S58+'Investment Income-4Yr'!S58+'All Other E&amp;G-4Yr'!S58</f>
        <v>1672962.875</v>
      </c>
      <c r="T58" s="104">
        <f>+'Tuition-4Yr'!T58+'State Appropriations-4Yr'!T58+'Local Appropriations-4Yr'!T58+'Fed Contracts Grnts-4Yr'!T58+'Other Contract Grnts-4Yr'!T58+'Investment Income-4Yr'!T58+'All Other E&amp;G-4Yr'!T58</f>
        <v>1841040.9380000001</v>
      </c>
      <c r="U58" s="104">
        <f>+'Tuition-4Yr'!U58+'State Appropriations-4Yr'!U58+'Local Appropriations-4Yr'!U58+'Fed Contracts Grnts-4Yr'!U58+'Other Contract Grnts-4Yr'!U58+'Investment Income-4Yr'!U58+'All Other E&amp;G-4Yr'!U58</f>
        <v>1925454.236</v>
      </c>
      <c r="V58" s="104">
        <f>+'Tuition-4Yr'!V58+'State Appropriations-4Yr'!V58+'Local Appropriations-4Yr'!V58+'Fed Contracts Grnts-4Yr'!V58+'Other Contract Grnts-4Yr'!V58+'Investment Income-4Yr'!V58+'All Other E&amp;G-4Yr'!V58</f>
        <v>2025244.3529999999</v>
      </c>
      <c r="W58" s="104">
        <f>+'Tuition-4Yr'!W58+'State Appropriations-4Yr'!W58+'Local Appropriations-4Yr'!W58+'Fed Contracts Grnts-4Yr'!W58+'Other Contract Grnts-4Yr'!W58+'Investment Income-4Yr'!W58+'All Other E&amp;G-4Yr'!W58</f>
        <v>3672767.3819999998</v>
      </c>
      <c r="X58" s="104">
        <f>+'Tuition-4Yr'!X58+'State Appropriations-4Yr'!X58+'Local Appropriations-4Yr'!X58+'Fed Contracts Grnts-4Yr'!X58+'Other Contract Grnts-4Yr'!X58+'Investment Income-4Yr'!X58+'All Other E&amp;G-4Yr'!X58</f>
        <v>3576995.7319999998</v>
      </c>
      <c r="Y58" s="104">
        <f>+'Tuition-4Yr'!Y58+'State Appropriations-4Yr'!Y58+'Local Appropriations-4Yr'!Y58+'Fed Contracts Grnts-4Yr'!Y58+'Other Contract Grnts-4Yr'!Y58+'Investment Income-4Yr'!Y58+'All Other E&amp;G-4Yr'!Y58</f>
        <v>3774985.9860000005</v>
      </c>
      <c r="Z58" s="104">
        <f>+'Tuition-4Yr'!Z58+'State Appropriations-4Yr'!Z58+'Local Appropriations-4Yr'!Z58+'Fed Contracts Grnts-4Yr'!Z58+'Other Contract Grnts-4Yr'!Z58+'Investment Income-4Yr'!Z58+'All Other E&amp;G-4Yr'!Z58</f>
        <v>3905619.8189999997</v>
      </c>
      <c r="AA58" s="104">
        <f>+'Tuition-4Yr'!AA58+'State Appropriations-4Yr'!AA58+'Local Appropriations-4Yr'!AA58+'Fed Contracts Grnts-4Yr'!AA58+'Other Contract Grnts-4Yr'!AA58+'Investment Income-4Yr'!AA58+'All Other E&amp;G-4Yr'!AA58</f>
        <v>3442061.091</v>
      </c>
      <c r="AB58" s="104">
        <f>+'Tuition-4Yr'!AB58+'State Appropriations-4Yr'!AB58+'Local Appropriations-4Yr'!AB58+'Fed Contracts Grnts-4Yr'!AB58+'Other Contract Grnts-4Yr'!AB58+'Investment Income-4Yr'!AB58+'All Other E&amp;G-4Yr'!AB58</f>
        <v>4632658.7720000008</v>
      </c>
      <c r="AC58" s="104">
        <f>+'Tuition-4Yr'!AC58+'State Appropriations-4Yr'!AC58+'Local Appropriations-4Yr'!AC58+'Fed Contracts Grnts-4Yr'!AC58+'Other Contract Grnts-4Yr'!AC58+'Investment Income-4Yr'!AC58+'All Other E&amp;G-4Yr'!AC58</f>
        <v>4808381</v>
      </c>
      <c r="AD58" s="104">
        <f>+'Tuition-4Yr'!AD58+'State Appropriations-4Yr'!AD58+'Local Appropriations-4Yr'!AD58+'Fed Contracts Grnts-4Yr'!AD58+'Other Contract Grnts-4Yr'!AD58+'Investment Income-4Yr'!AD58+'All Other E&amp;G-4Yr'!AD58</f>
        <v>4852708.2209999999</v>
      </c>
      <c r="AE58" s="104">
        <f>+'Tuition-4Yr'!AE58+'State Appropriations-4Yr'!AE58+'Local Appropriations-4Yr'!AE58+'Fed Contracts Grnts-4Yr'!AE58+'Other Contract Grnts-4Yr'!AE58+'Investment Income-4Yr'!AE58+'All Other E&amp;G-4Yr'!AE58</f>
        <v>4160755.1100000003</v>
      </c>
      <c r="AF58" s="104">
        <f>+'Tuition-4Yr'!AF58+'State Appropriations-4Yr'!AF58+'Local Appropriations-4Yr'!AF58+'Fed Contracts Grnts-4Yr'!AF58+'Other Contract Grnts-4Yr'!AF58+'Investment Income-4Yr'!AF58+'All Other E&amp;G-4Yr'!AF58</f>
        <v>5285148.9959999993</v>
      </c>
      <c r="AG58" s="104">
        <f>+'Tuition-4Yr'!AG58+'State Appropriations-4Yr'!AG58+'Local Appropriations-4Yr'!AG58+'Fed Contracts Grnts-4Yr'!AG58+'Other Contract Grnts-4Yr'!AG58+'Investment Income-4Yr'!AG58+'All Other E&amp;G-4Yr'!AG58</f>
        <v>5341558.57</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row>
    <row r="59" spans="1:213" s="65" customFormat="1" ht="12.75" customHeight="1">
      <c r="A59" s="23" t="s">
        <v>130</v>
      </c>
      <c r="B59" s="104">
        <f>+'Tuition-4Yr'!B59+'State Appropriations-4Yr'!B59+'Local Appropriations-4Yr'!B59+'Fed Contracts Grnts-4Yr'!B59+'Other Contract Grnts-4Yr'!B59+'Investment Income-4Yr'!B59+'All Other E&amp;G-4Yr'!B59</f>
        <v>0</v>
      </c>
      <c r="C59" s="104">
        <f>+'Tuition-4Yr'!C59+'State Appropriations-4Yr'!C59+'Local Appropriations-4Yr'!C59+'Fed Contracts Grnts-4Yr'!C59+'Other Contract Grnts-4Yr'!C59+'Investment Income-4Yr'!C59+'All Other E&amp;G-4Yr'!C59</f>
        <v>0</v>
      </c>
      <c r="D59" s="104">
        <f>+'Tuition-4Yr'!D59+'State Appropriations-4Yr'!D59+'Local Appropriations-4Yr'!D59+'Fed Contracts Grnts-4Yr'!D59+'Other Contract Grnts-4Yr'!D59+'Investment Income-4Yr'!D59+'All Other E&amp;G-4Yr'!D59</f>
        <v>0</v>
      </c>
      <c r="E59" s="104">
        <f>+'Tuition-4Yr'!E59+'State Appropriations-4Yr'!E59+'Local Appropriations-4Yr'!E59+'Fed Contracts Grnts-4Yr'!E59+'Other Contract Grnts-4Yr'!E59+'Investment Income-4Yr'!E59+'All Other E&amp;G-4Yr'!E59</f>
        <v>0</v>
      </c>
      <c r="F59" s="104">
        <f>+'Tuition-4Yr'!F59+'State Appropriations-4Yr'!F59+'Local Appropriations-4Yr'!F59+'Fed Contracts Grnts-4Yr'!F59+'Other Contract Grnts-4Yr'!F59+'Investment Income-4Yr'!F59+'All Other E&amp;G-4Yr'!F59</f>
        <v>0</v>
      </c>
      <c r="G59" s="104">
        <f>+'Tuition-4Yr'!G59+'State Appropriations-4Yr'!G59+'Local Appropriations-4Yr'!G59+'Fed Contracts Grnts-4Yr'!G59+'Other Contract Grnts-4Yr'!G59+'Investment Income-4Yr'!G59+'All Other E&amp;G-4Yr'!G59</f>
        <v>0</v>
      </c>
      <c r="H59" s="104">
        <f>+'Tuition-4Yr'!H59+'State Appropriations-4Yr'!H59+'Local Appropriations-4Yr'!H59+'Fed Contracts Grnts-4Yr'!H59+'Other Contract Grnts-4Yr'!H59+'Investment Income-4Yr'!H59+'All Other E&amp;G-4Yr'!H59</f>
        <v>0</v>
      </c>
      <c r="I59" s="104">
        <f>+'Tuition-4Yr'!I59+'State Appropriations-4Yr'!I59+'Local Appropriations-4Yr'!I59+'Fed Contracts Grnts-4Yr'!I59+'Other Contract Grnts-4Yr'!I59+'Investment Income-4Yr'!I59+'All Other E&amp;G-4Yr'!I59</f>
        <v>0</v>
      </c>
      <c r="J59" s="104">
        <f>+'Tuition-4Yr'!J59+'State Appropriations-4Yr'!J59+'Local Appropriations-4Yr'!J59+'Fed Contracts Grnts-4Yr'!J59+'Other Contract Grnts-4Yr'!J59+'Investment Income-4Yr'!J59+'All Other E&amp;G-4Yr'!J59</f>
        <v>3424354.5980000002</v>
      </c>
      <c r="K59" s="104">
        <f>+'Tuition-4Yr'!K59+'State Appropriations-4Yr'!K59+'Local Appropriations-4Yr'!K59+'Fed Contracts Grnts-4Yr'!K59+'Other Contract Grnts-4Yr'!K59+'Investment Income-4Yr'!K59+'All Other E&amp;G-4Yr'!K59</f>
        <v>0</v>
      </c>
      <c r="L59" s="104">
        <f>+'Tuition-4Yr'!L59+'State Appropriations-4Yr'!L59+'Local Appropriations-4Yr'!L59+'Fed Contracts Grnts-4Yr'!L59+'Other Contract Grnts-4Yr'!L59+'Investment Income-4Yr'!L59+'All Other E&amp;G-4Yr'!L59</f>
        <v>0</v>
      </c>
      <c r="M59" s="104">
        <f>+'Tuition-4Yr'!M59+'State Appropriations-4Yr'!M59+'Local Appropriations-4Yr'!M59+'Fed Contracts Grnts-4Yr'!M59+'Other Contract Grnts-4Yr'!M59+'Investment Income-4Yr'!M59+'All Other E&amp;G-4Yr'!M59</f>
        <v>4046025.878</v>
      </c>
      <c r="N59" s="104">
        <f>+'Tuition-4Yr'!N59+'State Appropriations-4Yr'!N59+'Local Appropriations-4Yr'!N59+'Fed Contracts Grnts-4Yr'!N59+'Other Contract Grnts-4Yr'!N59+'Investment Income-4Yr'!N59+'All Other E&amp;G-4Yr'!N59</f>
        <v>0</v>
      </c>
      <c r="O59" s="104">
        <f>+'Tuition-4Yr'!O59+'State Appropriations-4Yr'!O59+'Local Appropriations-4Yr'!O59+'Fed Contracts Grnts-4Yr'!O59+'Other Contract Grnts-4Yr'!O59+'Investment Income-4Yr'!O59+'All Other E&amp;G-4Yr'!O59</f>
        <v>4445275.9019999998</v>
      </c>
      <c r="P59" s="104">
        <f>+'Tuition-4Yr'!P59+'State Appropriations-4Yr'!P59+'Local Appropriations-4Yr'!P59+'Fed Contracts Grnts-4Yr'!P59+'Other Contract Grnts-4Yr'!P59+'Investment Income-4Yr'!P59+'All Other E&amp;G-4Yr'!P59</f>
        <v>0</v>
      </c>
      <c r="Q59" s="104">
        <f>+'Tuition-4Yr'!Q59+'State Appropriations-4Yr'!Q59+'Local Appropriations-4Yr'!Q59+'Fed Contracts Grnts-4Yr'!Q59+'Other Contract Grnts-4Yr'!Q59+'Investment Income-4Yr'!Q59+'All Other E&amp;G-4Yr'!Q59</f>
        <v>0</v>
      </c>
      <c r="R59" s="104">
        <f>+'Tuition-4Yr'!R59+'State Appropriations-4Yr'!R59+'Local Appropriations-4Yr'!R59+'Fed Contracts Grnts-4Yr'!R59+'Other Contract Grnts-4Yr'!R59+'Investment Income-4Yr'!R59+'All Other E&amp;G-4Yr'!R59</f>
        <v>4637168.9810000006</v>
      </c>
      <c r="S59" s="104">
        <f>+'Tuition-4Yr'!S59+'State Appropriations-4Yr'!S59+'Local Appropriations-4Yr'!S59+'Fed Contracts Grnts-4Yr'!S59+'Other Contract Grnts-4Yr'!S59+'Investment Income-4Yr'!S59+'All Other E&amp;G-4Yr'!S59</f>
        <v>5045183.6269999985</v>
      </c>
      <c r="T59" s="104">
        <f>+'Tuition-4Yr'!T59+'State Appropriations-4Yr'!T59+'Local Appropriations-4Yr'!T59+'Fed Contracts Grnts-4Yr'!T59+'Other Contract Grnts-4Yr'!T59+'Investment Income-4Yr'!T59+'All Other E&amp;G-4Yr'!T59</f>
        <v>5631450.4109999994</v>
      </c>
      <c r="U59" s="104">
        <f>+'Tuition-4Yr'!U59+'State Appropriations-4Yr'!U59+'Local Appropriations-4Yr'!U59+'Fed Contracts Grnts-4Yr'!U59+'Other Contract Grnts-4Yr'!U59+'Investment Income-4Yr'!U59+'All Other E&amp;G-4Yr'!U59</f>
        <v>4719436.2799999993</v>
      </c>
      <c r="V59" s="104">
        <f>+'Tuition-4Yr'!V59+'State Appropriations-4Yr'!V59+'Local Appropriations-4Yr'!V59+'Fed Contracts Grnts-4Yr'!V59+'Other Contract Grnts-4Yr'!V59+'Investment Income-4Yr'!V59+'All Other E&amp;G-4Yr'!V59</f>
        <v>5305699.0690000001</v>
      </c>
      <c r="W59" s="104">
        <f>+'Tuition-4Yr'!W59+'State Appropriations-4Yr'!W59+'Local Appropriations-4Yr'!W59+'Fed Contracts Grnts-4Yr'!W59+'Other Contract Grnts-4Yr'!W59+'Investment Income-4Yr'!W59+'All Other E&amp;G-4Yr'!W59</f>
        <v>6472569.279000001</v>
      </c>
      <c r="X59" s="104">
        <f>+'Tuition-4Yr'!X59+'State Appropriations-4Yr'!X59+'Local Appropriations-4Yr'!X59+'Fed Contracts Grnts-4Yr'!X59+'Other Contract Grnts-4Yr'!X59+'Investment Income-4Yr'!X59+'All Other E&amp;G-4Yr'!X59</f>
        <v>5952725.9369999999</v>
      </c>
      <c r="Y59" s="104">
        <f>+'Tuition-4Yr'!Y59+'State Appropriations-4Yr'!Y59+'Local Appropriations-4Yr'!Y59+'Fed Contracts Grnts-4Yr'!Y59+'Other Contract Grnts-4Yr'!Y59+'Investment Income-4Yr'!Y59+'All Other E&amp;G-4Yr'!Y59</f>
        <v>6631002.8810000001</v>
      </c>
      <c r="Z59" s="104">
        <f>+'Tuition-4Yr'!Z59+'State Appropriations-4Yr'!Z59+'Local Appropriations-4Yr'!Z59+'Fed Contracts Grnts-4Yr'!Z59+'Other Contract Grnts-4Yr'!Z59+'Investment Income-4Yr'!Z59+'All Other E&amp;G-4Yr'!Z59</f>
        <v>6821026.2120000003</v>
      </c>
      <c r="AA59" s="104">
        <f>+'Tuition-4Yr'!AA59+'State Appropriations-4Yr'!AA59+'Local Appropriations-4Yr'!AA59+'Fed Contracts Grnts-4Yr'!AA59+'Other Contract Grnts-4Yr'!AA59+'Investment Income-4Yr'!AA59+'All Other E&amp;G-4Yr'!AA59</f>
        <v>6951472.3439999996</v>
      </c>
      <c r="AB59" s="104">
        <f>+'Tuition-4Yr'!AB59+'State Appropriations-4Yr'!AB59+'Local Appropriations-4Yr'!AB59+'Fed Contracts Grnts-4Yr'!AB59+'Other Contract Grnts-4Yr'!AB59+'Investment Income-4Yr'!AB59+'All Other E&amp;G-4Yr'!AB59</f>
        <v>8305115.1559999995</v>
      </c>
      <c r="AC59" s="104">
        <f>+'Tuition-4Yr'!AC59+'State Appropriations-4Yr'!AC59+'Local Appropriations-4Yr'!AC59+'Fed Contracts Grnts-4Yr'!AC59+'Other Contract Grnts-4Yr'!AC59+'Investment Income-4Yr'!AC59+'All Other E&amp;G-4Yr'!AC59</f>
        <v>8615342</v>
      </c>
      <c r="AD59" s="104">
        <f>+'Tuition-4Yr'!AD59+'State Appropriations-4Yr'!AD59+'Local Appropriations-4Yr'!AD59+'Fed Contracts Grnts-4Yr'!AD59+'Other Contract Grnts-4Yr'!AD59+'Investment Income-4Yr'!AD59+'All Other E&amp;G-4Yr'!AD59</f>
        <v>8651740.0600000005</v>
      </c>
      <c r="AE59" s="104">
        <f>+'Tuition-4Yr'!AE59+'State Appropriations-4Yr'!AE59+'Local Appropriations-4Yr'!AE59+'Fed Contracts Grnts-4Yr'!AE59+'Other Contract Grnts-4Yr'!AE59+'Investment Income-4Yr'!AE59+'All Other E&amp;G-4Yr'!AE59</f>
        <v>8138122.9449999994</v>
      </c>
      <c r="AF59" s="104">
        <f>+'Tuition-4Yr'!AF59+'State Appropriations-4Yr'!AF59+'Local Appropriations-4Yr'!AF59+'Fed Contracts Grnts-4Yr'!AF59+'Other Contract Grnts-4Yr'!AF59+'Investment Income-4Yr'!AF59+'All Other E&amp;G-4Yr'!AF59</f>
        <v>8679894.7430000026</v>
      </c>
      <c r="AG59" s="104">
        <f>+'Tuition-4Yr'!AG59+'State Appropriations-4Yr'!AG59+'Local Appropriations-4Yr'!AG59+'Fed Contracts Grnts-4Yr'!AG59+'Other Contract Grnts-4Yr'!AG59+'Investment Income-4Yr'!AG59+'All Other E&amp;G-4Yr'!AG59</f>
        <v>9034387.5360000003</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row>
    <row r="60" spans="1:213" s="65" customFormat="1" ht="12.75" customHeight="1">
      <c r="A60" s="23" t="s">
        <v>134</v>
      </c>
      <c r="B60" s="104">
        <f>+'Tuition-4Yr'!B60+'State Appropriations-4Yr'!B60+'Local Appropriations-4Yr'!B60+'Fed Contracts Grnts-4Yr'!B60+'Other Contract Grnts-4Yr'!B60+'Investment Income-4Yr'!B60+'All Other E&amp;G-4Yr'!B60</f>
        <v>0</v>
      </c>
      <c r="C60" s="104">
        <f>+'Tuition-4Yr'!C60+'State Appropriations-4Yr'!C60+'Local Appropriations-4Yr'!C60+'Fed Contracts Grnts-4Yr'!C60+'Other Contract Grnts-4Yr'!C60+'Investment Income-4Yr'!C60+'All Other E&amp;G-4Yr'!C60</f>
        <v>0</v>
      </c>
      <c r="D60" s="104">
        <f>+'Tuition-4Yr'!D60+'State Appropriations-4Yr'!D60+'Local Appropriations-4Yr'!D60+'Fed Contracts Grnts-4Yr'!D60+'Other Contract Grnts-4Yr'!D60+'Investment Income-4Yr'!D60+'All Other E&amp;G-4Yr'!D60</f>
        <v>0</v>
      </c>
      <c r="E60" s="104">
        <f>+'Tuition-4Yr'!E60+'State Appropriations-4Yr'!E60+'Local Appropriations-4Yr'!E60+'Fed Contracts Grnts-4Yr'!E60+'Other Contract Grnts-4Yr'!E60+'Investment Income-4Yr'!E60+'All Other E&amp;G-4Yr'!E60</f>
        <v>0</v>
      </c>
      <c r="F60" s="104">
        <f>+'Tuition-4Yr'!F60+'State Appropriations-4Yr'!F60+'Local Appropriations-4Yr'!F60+'Fed Contracts Grnts-4Yr'!F60+'Other Contract Grnts-4Yr'!F60+'Investment Income-4Yr'!F60+'All Other E&amp;G-4Yr'!F60</f>
        <v>0</v>
      </c>
      <c r="G60" s="104">
        <f>+'Tuition-4Yr'!G60+'State Appropriations-4Yr'!G60+'Local Appropriations-4Yr'!G60+'Fed Contracts Grnts-4Yr'!G60+'Other Contract Grnts-4Yr'!G60+'Investment Income-4Yr'!G60+'All Other E&amp;G-4Yr'!G60</f>
        <v>0</v>
      </c>
      <c r="H60" s="104">
        <f>+'Tuition-4Yr'!H60+'State Appropriations-4Yr'!H60+'Local Appropriations-4Yr'!H60+'Fed Contracts Grnts-4Yr'!H60+'Other Contract Grnts-4Yr'!H60+'Investment Income-4Yr'!H60+'All Other E&amp;G-4Yr'!H60</f>
        <v>0</v>
      </c>
      <c r="I60" s="104">
        <f>+'Tuition-4Yr'!I60+'State Appropriations-4Yr'!I60+'Local Appropriations-4Yr'!I60+'Fed Contracts Grnts-4Yr'!I60+'Other Contract Grnts-4Yr'!I60+'Investment Income-4Yr'!I60+'All Other E&amp;G-4Yr'!I60</f>
        <v>0</v>
      </c>
      <c r="J60" s="104">
        <f>+'Tuition-4Yr'!J60+'State Appropriations-4Yr'!J60+'Local Appropriations-4Yr'!J60+'Fed Contracts Grnts-4Yr'!J60+'Other Contract Grnts-4Yr'!J60+'Investment Income-4Yr'!J60+'All Other E&amp;G-4Yr'!J60</f>
        <v>2789097.7979999995</v>
      </c>
      <c r="K60" s="104">
        <f>+'Tuition-4Yr'!K60+'State Appropriations-4Yr'!K60+'Local Appropriations-4Yr'!K60+'Fed Contracts Grnts-4Yr'!K60+'Other Contract Grnts-4Yr'!K60+'Investment Income-4Yr'!K60+'All Other E&amp;G-4Yr'!K60</f>
        <v>0</v>
      </c>
      <c r="L60" s="104">
        <f>+'Tuition-4Yr'!L60+'State Appropriations-4Yr'!L60+'Local Appropriations-4Yr'!L60+'Fed Contracts Grnts-4Yr'!L60+'Other Contract Grnts-4Yr'!L60+'Investment Income-4Yr'!L60+'All Other E&amp;G-4Yr'!L60</f>
        <v>0</v>
      </c>
      <c r="M60" s="104">
        <f>+'Tuition-4Yr'!M60+'State Appropriations-4Yr'!M60+'Local Appropriations-4Yr'!M60+'Fed Contracts Grnts-4Yr'!M60+'Other Contract Grnts-4Yr'!M60+'Investment Income-4Yr'!M60+'All Other E&amp;G-4Yr'!M60</f>
        <v>3175136.9160000002</v>
      </c>
      <c r="N60" s="104">
        <f>+'Tuition-4Yr'!N60+'State Appropriations-4Yr'!N60+'Local Appropriations-4Yr'!N60+'Fed Contracts Grnts-4Yr'!N60+'Other Contract Grnts-4Yr'!N60+'Investment Income-4Yr'!N60+'All Other E&amp;G-4Yr'!N60</f>
        <v>0</v>
      </c>
      <c r="O60" s="104">
        <f>+'Tuition-4Yr'!O60+'State Appropriations-4Yr'!O60+'Local Appropriations-4Yr'!O60+'Fed Contracts Grnts-4Yr'!O60+'Other Contract Grnts-4Yr'!O60+'Investment Income-4Yr'!O60+'All Other E&amp;G-4Yr'!O60</f>
        <v>3468226.8710000003</v>
      </c>
      <c r="P60" s="104">
        <f>+'Tuition-4Yr'!P60+'State Appropriations-4Yr'!P60+'Local Appropriations-4Yr'!P60+'Fed Contracts Grnts-4Yr'!P60+'Other Contract Grnts-4Yr'!P60+'Investment Income-4Yr'!P60+'All Other E&amp;G-4Yr'!P60</f>
        <v>0</v>
      </c>
      <c r="Q60" s="104">
        <f>+'Tuition-4Yr'!Q60+'State Appropriations-4Yr'!Q60+'Local Appropriations-4Yr'!Q60+'Fed Contracts Grnts-4Yr'!Q60+'Other Contract Grnts-4Yr'!Q60+'Investment Income-4Yr'!Q60+'All Other E&amp;G-4Yr'!Q60</f>
        <v>0</v>
      </c>
      <c r="R60" s="104">
        <f>+'Tuition-4Yr'!R60+'State Appropriations-4Yr'!R60+'Local Appropriations-4Yr'!R60+'Fed Contracts Grnts-4Yr'!R60+'Other Contract Grnts-4Yr'!R60+'Investment Income-4Yr'!R60+'All Other E&amp;G-4Yr'!R60</f>
        <v>4102524.99</v>
      </c>
      <c r="S60" s="104">
        <f>+'Tuition-4Yr'!S60+'State Appropriations-4Yr'!S60+'Local Appropriations-4Yr'!S60+'Fed Contracts Grnts-4Yr'!S60+'Other Contract Grnts-4Yr'!S60+'Investment Income-4Yr'!S60+'All Other E&amp;G-4Yr'!S60</f>
        <v>3744843.682</v>
      </c>
      <c r="T60" s="104">
        <f>+'Tuition-4Yr'!T60+'State Appropriations-4Yr'!T60+'Local Appropriations-4Yr'!T60+'Fed Contracts Grnts-4Yr'!T60+'Other Contract Grnts-4Yr'!T60+'Investment Income-4Yr'!T60+'All Other E&amp;G-4Yr'!T60</f>
        <v>2362760.5480000004</v>
      </c>
      <c r="U60" s="104">
        <f>+'Tuition-4Yr'!U60+'State Appropriations-4Yr'!U60+'Local Appropriations-4Yr'!U60+'Fed Contracts Grnts-4Yr'!U60+'Other Contract Grnts-4Yr'!U60+'Investment Income-4Yr'!U60+'All Other E&amp;G-4Yr'!U60</f>
        <v>1191558.6810000003</v>
      </c>
      <c r="V60" s="104">
        <f>+'Tuition-4Yr'!V60+'State Appropriations-4Yr'!V60+'Local Appropriations-4Yr'!V60+'Fed Contracts Grnts-4Yr'!V60+'Other Contract Grnts-4Yr'!V60+'Investment Income-4Yr'!V60+'All Other E&amp;G-4Yr'!V60</f>
        <v>1211848.6480000003</v>
      </c>
      <c r="W60" s="104">
        <f>+'Tuition-4Yr'!W60+'State Appropriations-4Yr'!W60+'Local Appropriations-4Yr'!W60+'Fed Contracts Grnts-4Yr'!W60+'Other Contract Grnts-4Yr'!W60+'Investment Income-4Yr'!W60+'All Other E&amp;G-4Yr'!W60</f>
        <v>1376732.635</v>
      </c>
      <c r="X60" s="104">
        <f>+'Tuition-4Yr'!X60+'State Appropriations-4Yr'!X60+'Local Appropriations-4Yr'!X60+'Fed Contracts Grnts-4Yr'!X60+'Other Contract Grnts-4Yr'!X60+'Investment Income-4Yr'!X60+'All Other E&amp;G-4Yr'!X60</f>
        <v>1308688.399</v>
      </c>
      <c r="Y60" s="104">
        <f>+'Tuition-4Yr'!Y60+'State Appropriations-4Yr'!Y60+'Local Appropriations-4Yr'!Y60+'Fed Contracts Grnts-4Yr'!Y60+'Other Contract Grnts-4Yr'!Y60+'Investment Income-4Yr'!Y60+'All Other E&amp;G-4Yr'!Y60</f>
        <v>1382597.3130000001</v>
      </c>
      <c r="Z60" s="104">
        <f>+'Tuition-4Yr'!Z60+'State Appropriations-4Yr'!Z60+'Local Appropriations-4Yr'!Z60+'Fed Contracts Grnts-4Yr'!Z60+'Other Contract Grnts-4Yr'!Z60+'Investment Income-4Yr'!Z60+'All Other E&amp;G-4Yr'!Z60</f>
        <v>1429448.4470000002</v>
      </c>
      <c r="AA60" s="104">
        <f>+'Tuition-4Yr'!AA60+'State Appropriations-4Yr'!AA60+'Local Appropriations-4Yr'!AA60+'Fed Contracts Grnts-4Yr'!AA60+'Other Contract Grnts-4Yr'!AA60+'Investment Income-4Yr'!AA60+'All Other E&amp;G-4Yr'!AA60</f>
        <v>1603687.41</v>
      </c>
      <c r="AB60" s="104">
        <f>+'Tuition-4Yr'!AB60+'State Appropriations-4Yr'!AB60+'Local Appropriations-4Yr'!AB60+'Fed Contracts Grnts-4Yr'!AB60+'Other Contract Grnts-4Yr'!AB60+'Investment Income-4Yr'!AB60+'All Other E&amp;G-4Yr'!AB60</f>
        <v>1756600.929</v>
      </c>
      <c r="AC60" s="104">
        <f>+'Tuition-4Yr'!AC60+'State Appropriations-4Yr'!AC60+'Local Appropriations-4Yr'!AC60+'Fed Contracts Grnts-4Yr'!AC60+'Other Contract Grnts-4Yr'!AC60+'Investment Income-4Yr'!AC60+'All Other E&amp;G-4Yr'!AC60</f>
        <v>1815712</v>
      </c>
      <c r="AD60" s="104">
        <f>+'Tuition-4Yr'!AD60+'State Appropriations-4Yr'!AD60+'Local Appropriations-4Yr'!AD60+'Fed Contracts Grnts-4Yr'!AD60+'Other Contract Grnts-4Yr'!AD60+'Investment Income-4Yr'!AD60+'All Other E&amp;G-4Yr'!AD60</f>
        <v>1825672.8929999999</v>
      </c>
      <c r="AE60" s="104">
        <f>+'Tuition-4Yr'!AE60+'State Appropriations-4Yr'!AE60+'Local Appropriations-4Yr'!AE60+'Fed Contracts Grnts-4Yr'!AE60+'Other Contract Grnts-4Yr'!AE60+'Investment Income-4Yr'!AE60+'All Other E&amp;G-4Yr'!AE60</f>
        <v>1798213.1800000002</v>
      </c>
      <c r="AF60" s="104">
        <f>+'Tuition-4Yr'!AF60+'State Appropriations-4Yr'!AF60+'Local Appropriations-4Yr'!AF60+'Fed Contracts Grnts-4Yr'!AF60+'Other Contract Grnts-4Yr'!AF60+'Investment Income-4Yr'!AF60+'All Other E&amp;G-4Yr'!AF60</f>
        <v>1799443.1790000002</v>
      </c>
      <c r="AG60" s="104">
        <f>+'Tuition-4Yr'!AG60+'State Appropriations-4Yr'!AG60+'Local Appropriations-4Yr'!AG60+'Fed Contracts Grnts-4Yr'!AG60+'Other Contract Grnts-4Yr'!AG60+'Investment Income-4Yr'!AG60+'All Other E&amp;G-4Yr'!AG60</f>
        <v>1835074.649</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row>
    <row r="61" spans="1:213" s="65" customFormat="1" ht="12.75" customHeight="1">
      <c r="A61" s="23" t="s">
        <v>135</v>
      </c>
      <c r="B61" s="104">
        <f>+'Tuition-4Yr'!B61+'State Appropriations-4Yr'!B61+'Local Appropriations-4Yr'!B61+'Fed Contracts Grnts-4Yr'!B61+'Other Contract Grnts-4Yr'!B61+'Investment Income-4Yr'!B61+'All Other E&amp;G-4Yr'!B61</f>
        <v>0</v>
      </c>
      <c r="C61" s="104">
        <f>+'Tuition-4Yr'!C61+'State Appropriations-4Yr'!C61+'Local Appropriations-4Yr'!C61+'Fed Contracts Grnts-4Yr'!C61+'Other Contract Grnts-4Yr'!C61+'Investment Income-4Yr'!C61+'All Other E&amp;G-4Yr'!C61</f>
        <v>0</v>
      </c>
      <c r="D61" s="104">
        <f>+'Tuition-4Yr'!D61+'State Appropriations-4Yr'!D61+'Local Appropriations-4Yr'!D61+'Fed Contracts Grnts-4Yr'!D61+'Other Contract Grnts-4Yr'!D61+'Investment Income-4Yr'!D61+'All Other E&amp;G-4Yr'!D61</f>
        <v>0</v>
      </c>
      <c r="E61" s="104">
        <f>+'Tuition-4Yr'!E61+'State Appropriations-4Yr'!E61+'Local Appropriations-4Yr'!E61+'Fed Contracts Grnts-4Yr'!E61+'Other Contract Grnts-4Yr'!E61+'Investment Income-4Yr'!E61+'All Other E&amp;G-4Yr'!E61</f>
        <v>0</v>
      </c>
      <c r="F61" s="104">
        <f>+'Tuition-4Yr'!F61+'State Appropriations-4Yr'!F61+'Local Appropriations-4Yr'!F61+'Fed Contracts Grnts-4Yr'!F61+'Other Contract Grnts-4Yr'!F61+'Investment Income-4Yr'!F61+'All Other E&amp;G-4Yr'!F61</f>
        <v>0</v>
      </c>
      <c r="G61" s="104">
        <f>+'Tuition-4Yr'!G61+'State Appropriations-4Yr'!G61+'Local Appropriations-4Yr'!G61+'Fed Contracts Grnts-4Yr'!G61+'Other Contract Grnts-4Yr'!G61+'Investment Income-4Yr'!G61+'All Other E&amp;G-4Yr'!G61</f>
        <v>0</v>
      </c>
      <c r="H61" s="104">
        <f>+'Tuition-4Yr'!H61+'State Appropriations-4Yr'!H61+'Local Appropriations-4Yr'!H61+'Fed Contracts Grnts-4Yr'!H61+'Other Contract Grnts-4Yr'!H61+'Investment Income-4Yr'!H61+'All Other E&amp;G-4Yr'!H61</f>
        <v>0</v>
      </c>
      <c r="I61" s="104">
        <f>+'Tuition-4Yr'!I61+'State Appropriations-4Yr'!I61+'Local Appropriations-4Yr'!I61+'Fed Contracts Grnts-4Yr'!I61+'Other Contract Grnts-4Yr'!I61+'Investment Income-4Yr'!I61+'All Other E&amp;G-4Yr'!I61</f>
        <v>0</v>
      </c>
      <c r="J61" s="104">
        <f>+'Tuition-4Yr'!J61+'State Appropriations-4Yr'!J61+'Local Appropriations-4Yr'!J61+'Fed Contracts Grnts-4Yr'!J61+'Other Contract Grnts-4Yr'!J61+'Investment Income-4Yr'!J61+'All Other E&amp;G-4Yr'!J61</f>
        <v>223491.24099999998</v>
      </c>
      <c r="K61" s="104">
        <f>+'Tuition-4Yr'!K61+'State Appropriations-4Yr'!K61+'Local Appropriations-4Yr'!K61+'Fed Contracts Grnts-4Yr'!K61+'Other Contract Grnts-4Yr'!K61+'Investment Income-4Yr'!K61+'All Other E&amp;G-4Yr'!K61</f>
        <v>0</v>
      </c>
      <c r="L61" s="104">
        <f>+'Tuition-4Yr'!L61+'State Appropriations-4Yr'!L61+'Local Appropriations-4Yr'!L61+'Fed Contracts Grnts-4Yr'!L61+'Other Contract Grnts-4Yr'!L61+'Investment Income-4Yr'!L61+'All Other E&amp;G-4Yr'!L61</f>
        <v>0</v>
      </c>
      <c r="M61" s="104">
        <f>+'Tuition-4Yr'!M61+'State Appropriations-4Yr'!M61+'Local Appropriations-4Yr'!M61+'Fed Contracts Grnts-4Yr'!M61+'Other Contract Grnts-4Yr'!M61+'Investment Income-4Yr'!M61+'All Other E&amp;G-4Yr'!M61</f>
        <v>249546.29300000001</v>
      </c>
      <c r="N61" s="104">
        <f>+'Tuition-4Yr'!N61+'State Appropriations-4Yr'!N61+'Local Appropriations-4Yr'!N61+'Fed Contracts Grnts-4Yr'!N61+'Other Contract Grnts-4Yr'!N61+'Investment Income-4Yr'!N61+'All Other E&amp;G-4Yr'!N61</f>
        <v>0</v>
      </c>
      <c r="O61" s="104">
        <f>+'Tuition-4Yr'!O61+'State Appropriations-4Yr'!O61+'Local Appropriations-4Yr'!O61+'Fed Contracts Grnts-4Yr'!O61+'Other Contract Grnts-4Yr'!O61+'Investment Income-4Yr'!O61+'All Other E&amp;G-4Yr'!O61</f>
        <v>269786.32499999995</v>
      </c>
      <c r="P61" s="104">
        <f>+'Tuition-4Yr'!P61+'State Appropriations-4Yr'!P61+'Local Appropriations-4Yr'!P61+'Fed Contracts Grnts-4Yr'!P61+'Other Contract Grnts-4Yr'!P61+'Investment Income-4Yr'!P61+'All Other E&amp;G-4Yr'!P61</f>
        <v>0</v>
      </c>
      <c r="Q61" s="104">
        <f>+'Tuition-4Yr'!Q61+'State Appropriations-4Yr'!Q61+'Local Appropriations-4Yr'!Q61+'Fed Contracts Grnts-4Yr'!Q61+'Other Contract Grnts-4Yr'!Q61+'Investment Income-4Yr'!Q61+'All Other E&amp;G-4Yr'!Q61</f>
        <v>0</v>
      </c>
      <c r="R61" s="104">
        <f>+'Tuition-4Yr'!R61+'State Appropriations-4Yr'!R61+'Local Appropriations-4Yr'!R61+'Fed Contracts Grnts-4Yr'!R61+'Other Contract Grnts-4Yr'!R61+'Investment Income-4Yr'!R61+'All Other E&amp;G-4Yr'!R61</f>
        <v>314761.98899999994</v>
      </c>
      <c r="S61" s="104">
        <f>+'Tuition-4Yr'!S61+'State Appropriations-4Yr'!S61+'Local Appropriations-4Yr'!S61+'Fed Contracts Grnts-4Yr'!S61+'Other Contract Grnts-4Yr'!S61+'Investment Income-4Yr'!S61+'All Other E&amp;G-4Yr'!S61</f>
        <v>333810.837</v>
      </c>
      <c r="T61" s="104">
        <f>+'Tuition-4Yr'!T61+'State Appropriations-4Yr'!T61+'Local Appropriations-4Yr'!T61+'Fed Contracts Grnts-4Yr'!T61+'Other Contract Grnts-4Yr'!T61+'Investment Income-4Yr'!T61+'All Other E&amp;G-4Yr'!T61</f>
        <v>346007.587</v>
      </c>
      <c r="U61" s="104">
        <f>+'Tuition-4Yr'!U61+'State Appropriations-4Yr'!U61+'Local Appropriations-4Yr'!U61+'Fed Contracts Grnts-4Yr'!U61+'Other Contract Grnts-4Yr'!U61+'Investment Income-4Yr'!U61+'All Other E&amp;G-4Yr'!U61</f>
        <v>328864.08400000003</v>
      </c>
      <c r="V61" s="104">
        <f>+'Tuition-4Yr'!V61+'State Appropriations-4Yr'!V61+'Local Appropriations-4Yr'!V61+'Fed Contracts Grnts-4Yr'!V61+'Other Contract Grnts-4Yr'!V61+'Investment Income-4Yr'!V61+'All Other E&amp;G-4Yr'!V61</f>
        <v>345318.01600000006</v>
      </c>
      <c r="W61" s="104">
        <f>+'Tuition-4Yr'!W61+'State Appropriations-4Yr'!W61+'Local Appropriations-4Yr'!W61+'Fed Contracts Grnts-4Yr'!W61+'Other Contract Grnts-4Yr'!W61+'Investment Income-4Yr'!W61+'All Other E&amp;G-4Yr'!W61</f>
        <v>390179.049</v>
      </c>
      <c r="X61" s="104">
        <f>+'Tuition-4Yr'!X61+'State Appropriations-4Yr'!X61+'Local Appropriations-4Yr'!X61+'Fed Contracts Grnts-4Yr'!X61+'Other Contract Grnts-4Yr'!X61+'Investment Income-4Yr'!X61+'All Other E&amp;G-4Yr'!X61</f>
        <v>374064.25799999997</v>
      </c>
      <c r="Y61" s="104">
        <f>+'Tuition-4Yr'!Y61+'State Appropriations-4Yr'!Y61+'Local Appropriations-4Yr'!Y61+'Fed Contracts Grnts-4Yr'!Y61+'Other Contract Grnts-4Yr'!Y61+'Investment Income-4Yr'!Y61+'All Other E&amp;G-4Yr'!Y61</f>
        <v>401610.09399999998</v>
      </c>
      <c r="Z61" s="104">
        <f>+'Tuition-4Yr'!Z61+'State Appropriations-4Yr'!Z61+'Local Appropriations-4Yr'!Z61+'Fed Contracts Grnts-4Yr'!Z61+'Other Contract Grnts-4Yr'!Z61+'Investment Income-4Yr'!Z61+'All Other E&amp;G-4Yr'!Z61</f>
        <v>412602.66399999993</v>
      </c>
      <c r="AA61" s="104">
        <f>+'Tuition-4Yr'!AA61+'State Appropriations-4Yr'!AA61+'Local Appropriations-4Yr'!AA61+'Fed Contracts Grnts-4Yr'!AA61+'Other Contract Grnts-4Yr'!AA61+'Investment Income-4Yr'!AA61+'All Other E&amp;G-4Yr'!AA61</f>
        <v>469702.63800000004</v>
      </c>
      <c r="AB61" s="104">
        <f>+'Tuition-4Yr'!AB61+'State Appropriations-4Yr'!AB61+'Local Appropriations-4Yr'!AB61+'Fed Contracts Grnts-4Yr'!AB61+'Other Contract Grnts-4Yr'!AB61+'Investment Income-4Yr'!AB61+'All Other E&amp;G-4Yr'!AB61</f>
        <v>506309.32799999998</v>
      </c>
      <c r="AC61" s="104">
        <f>+'Tuition-4Yr'!AC61+'State Appropriations-4Yr'!AC61+'Local Appropriations-4Yr'!AC61+'Fed Contracts Grnts-4Yr'!AC61+'Other Contract Grnts-4Yr'!AC61+'Investment Income-4Yr'!AC61+'All Other E&amp;G-4Yr'!AC61</f>
        <v>537437</v>
      </c>
      <c r="AD61" s="104">
        <f>+'Tuition-4Yr'!AD61+'State Appropriations-4Yr'!AD61+'Local Appropriations-4Yr'!AD61+'Fed Contracts Grnts-4Yr'!AD61+'Other Contract Grnts-4Yr'!AD61+'Investment Income-4Yr'!AD61+'All Other E&amp;G-4Yr'!AD61</f>
        <v>570189.30799999996</v>
      </c>
      <c r="AE61" s="104">
        <f>+'Tuition-4Yr'!AE61+'State Appropriations-4Yr'!AE61+'Local Appropriations-4Yr'!AE61+'Fed Contracts Grnts-4Yr'!AE61+'Other Contract Grnts-4Yr'!AE61+'Investment Income-4Yr'!AE61+'All Other E&amp;G-4Yr'!AE61</f>
        <v>566495.75299999991</v>
      </c>
      <c r="AF61" s="104">
        <f>+'Tuition-4Yr'!AF61+'State Appropriations-4Yr'!AF61+'Local Appropriations-4Yr'!AF61+'Fed Contracts Grnts-4Yr'!AF61+'Other Contract Grnts-4Yr'!AF61+'Investment Income-4Yr'!AF61+'All Other E&amp;G-4Yr'!AF61</f>
        <v>571013.99900000007</v>
      </c>
      <c r="AG61" s="104">
        <f>+'Tuition-4Yr'!AG61+'State Appropriations-4Yr'!AG61+'Local Appropriations-4Yr'!AG61+'Fed Contracts Grnts-4Yr'!AG61+'Other Contract Grnts-4Yr'!AG61+'Investment Income-4Yr'!AG61+'All Other E&amp;G-4Yr'!AG61</f>
        <v>593595.05800000008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row>
    <row r="62" spans="1:213" s="65" customFormat="1" ht="12.75" customHeight="1">
      <c r="A62" s="94" t="s">
        <v>138</v>
      </c>
      <c r="B62" s="105">
        <f>+'Tuition-4Yr'!B62+'State Appropriations-4Yr'!B62+'Local Appropriations-4Yr'!B62+'Fed Contracts Grnts-4Yr'!B62+'Other Contract Grnts-4Yr'!B62+'Investment Income-4Yr'!B62+'All Other E&amp;G-4Yr'!B62</f>
        <v>0</v>
      </c>
      <c r="C62" s="105">
        <f>+'Tuition-4Yr'!C62+'State Appropriations-4Yr'!C62+'Local Appropriations-4Yr'!C62+'Fed Contracts Grnts-4Yr'!C62+'Other Contract Grnts-4Yr'!C62+'Investment Income-4Yr'!C62+'All Other E&amp;G-4Yr'!C62</f>
        <v>0</v>
      </c>
      <c r="D62" s="105">
        <f>+'Tuition-4Yr'!D62+'State Appropriations-4Yr'!D62+'Local Appropriations-4Yr'!D62+'Fed Contracts Grnts-4Yr'!D62+'Other Contract Grnts-4Yr'!D62+'Investment Income-4Yr'!D62+'All Other E&amp;G-4Yr'!D62</f>
        <v>0</v>
      </c>
      <c r="E62" s="105">
        <f>+'Tuition-4Yr'!E62+'State Appropriations-4Yr'!E62+'Local Appropriations-4Yr'!E62+'Fed Contracts Grnts-4Yr'!E62+'Other Contract Grnts-4Yr'!E62+'Investment Income-4Yr'!E62+'All Other E&amp;G-4Yr'!E62</f>
        <v>0</v>
      </c>
      <c r="F62" s="105">
        <f>+'Tuition-4Yr'!F62+'State Appropriations-4Yr'!F62+'Local Appropriations-4Yr'!F62+'Fed Contracts Grnts-4Yr'!F62+'Other Contract Grnts-4Yr'!F62+'Investment Income-4Yr'!F62+'All Other E&amp;G-4Yr'!F62</f>
        <v>0</v>
      </c>
      <c r="G62" s="105">
        <f>+'Tuition-4Yr'!G62+'State Appropriations-4Yr'!G62+'Local Appropriations-4Yr'!G62+'Fed Contracts Grnts-4Yr'!G62+'Other Contract Grnts-4Yr'!G62+'Investment Income-4Yr'!G62+'All Other E&amp;G-4Yr'!G62</f>
        <v>0</v>
      </c>
      <c r="H62" s="105">
        <f>+'Tuition-4Yr'!H62+'State Appropriations-4Yr'!H62+'Local Appropriations-4Yr'!H62+'Fed Contracts Grnts-4Yr'!H62+'Other Contract Grnts-4Yr'!H62+'Investment Income-4Yr'!H62+'All Other E&amp;G-4Yr'!H62</f>
        <v>0</v>
      </c>
      <c r="I62" s="105">
        <f>+'Tuition-4Yr'!I62+'State Appropriations-4Yr'!I62+'Local Appropriations-4Yr'!I62+'Fed Contracts Grnts-4Yr'!I62+'Other Contract Grnts-4Yr'!I62+'Investment Income-4Yr'!I62+'All Other E&amp;G-4Yr'!I62</f>
        <v>0</v>
      </c>
      <c r="J62" s="105">
        <f>+'Tuition-4Yr'!J62+'State Appropriations-4Yr'!J62+'Local Appropriations-4Yr'!J62+'Fed Contracts Grnts-4Yr'!J62+'Other Contract Grnts-4Yr'!J62+'Investment Income-4Yr'!J62+'All Other E&amp;G-4Yr'!J62</f>
        <v>244862.07800000001</v>
      </c>
      <c r="K62" s="105">
        <f>+'Tuition-4Yr'!K62+'State Appropriations-4Yr'!K62+'Local Appropriations-4Yr'!K62+'Fed Contracts Grnts-4Yr'!K62+'Other Contract Grnts-4Yr'!K62+'Investment Income-4Yr'!K62+'All Other E&amp;G-4Yr'!K62</f>
        <v>0</v>
      </c>
      <c r="L62" s="105">
        <f>+'Tuition-4Yr'!L62+'State Appropriations-4Yr'!L62+'Local Appropriations-4Yr'!L62+'Fed Contracts Grnts-4Yr'!L62+'Other Contract Grnts-4Yr'!L62+'Investment Income-4Yr'!L62+'All Other E&amp;G-4Yr'!L62</f>
        <v>0</v>
      </c>
      <c r="M62" s="105">
        <f>+'Tuition-4Yr'!M62+'State Appropriations-4Yr'!M62+'Local Appropriations-4Yr'!M62+'Fed Contracts Grnts-4Yr'!M62+'Other Contract Grnts-4Yr'!M62+'Investment Income-4Yr'!M62+'All Other E&amp;G-4Yr'!M62</f>
        <v>283234.33999999997</v>
      </c>
      <c r="N62" s="105">
        <f>+'Tuition-4Yr'!N62+'State Appropriations-4Yr'!N62+'Local Appropriations-4Yr'!N62+'Fed Contracts Grnts-4Yr'!N62+'Other Contract Grnts-4Yr'!N62+'Investment Income-4Yr'!N62+'All Other E&amp;G-4Yr'!N62</f>
        <v>0</v>
      </c>
      <c r="O62" s="105">
        <f>+'Tuition-4Yr'!O62+'State Appropriations-4Yr'!O62+'Local Appropriations-4Yr'!O62+'Fed Contracts Grnts-4Yr'!O62+'Other Contract Grnts-4Yr'!O62+'Investment Income-4Yr'!O62+'All Other E&amp;G-4Yr'!O62</f>
        <v>310553.44100000005</v>
      </c>
      <c r="P62" s="105">
        <f>+'Tuition-4Yr'!P62+'State Appropriations-4Yr'!P62+'Local Appropriations-4Yr'!P62+'Fed Contracts Grnts-4Yr'!P62+'Other Contract Grnts-4Yr'!P62+'Investment Income-4Yr'!P62+'All Other E&amp;G-4Yr'!P62</f>
        <v>0</v>
      </c>
      <c r="Q62" s="105">
        <f>+'Tuition-4Yr'!Q62+'State Appropriations-4Yr'!Q62+'Local Appropriations-4Yr'!Q62+'Fed Contracts Grnts-4Yr'!Q62+'Other Contract Grnts-4Yr'!Q62+'Investment Income-4Yr'!Q62+'All Other E&amp;G-4Yr'!Q62</f>
        <v>0</v>
      </c>
      <c r="R62" s="105">
        <f>+'Tuition-4Yr'!R62+'State Appropriations-4Yr'!R62+'Local Appropriations-4Yr'!R62+'Fed Contracts Grnts-4Yr'!R62+'Other Contract Grnts-4Yr'!R62+'Investment Income-4Yr'!R62+'All Other E&amp;G-4Yr'!R62</f>
        <v>351610.25599999999</v>
      </c>
      <c r="S62" s="105">
        <f>+'Tuition-4Yr'!S62+'State Appropriations-4Yr'!S62+'Local Appropriations-4Yr'!S62+'Fed Contracts Grnts-4Yr'!S62+'Other Contract Grnts-4Yr'!S62+'Investment Income-4Yr'!S62+'All Other E&amp;G-4Yr'!S62</f>
        <v>378349.212</v>
      </c>
      <c r="T62" s="105">
        <f>+'Tuition-4Yr'!T62+'State Appropriations-4Yr'!T62+'Local Appropriations-4Yr'!T62+'Fed Contracts Grnts-4Yr'!T62+'Other Contract Grnts-4Yr'!T62+'Investment Income-4Yr'!T62+'All Other E&amp;G-4Yr'!T62</f>
        <v>399981.15</v>
      </c>
      <c r="U62" s="105">
        <f>+'Tuition-4Yr'!U62+'State Appropriations-4Yr'!U62+'Local Appropriations-4Yr'!U62+'Fed Contracts Grnts-4Yr'!U62+'Other Contract Grnts-4Yr'!U62+'Investment Income-4Yr'!U62+'All Other E&amp;G-4Yr'!U62</f>
        <v>415155.016</v>
      </c>
      <c r="V62" s="105">
        <f>+'Tuition-4Yr'!V62+'State Appropriations-4Yr'!V62+'Local Appropriations-4Yr'!V62+'Fed Contracts Grnts-4Yr'!V62+'Other Contract Grnts-4Yr'!V62+'Investment Income-4Yr'!V62+'All Other E&amp;G-4Yr'!V62</f>
        <v>470118.56700000004</v>
      </c>
      <c r="W62" s="105">
        <f>+'Tuition-4Yr'!W62+'State Appropriations-4Yr'!W62+'Local Appropriations-4Yr'!W62+'Fed Contracts Grnts-4Yr'!W62+'Other Contract Grnts-4Yr'!W62+'Investment Income-4Yr'!W62+'All Other E&amp;G-4Yr'!W62</f>
        <v>515616.08999999997</v>
      </c>
      <c r="X62" s="105">
        <f>+'Tuition-4Yr'!X62+'State Appropriations-4Yr'!X62+'Local Appropriations-4Yr'!X62+'Fed Contracts Grnts-4Yr'!X62+'Other Contract Grnts-4Yr'!X62+'Investment Income-4Yr'!X62+'All Other E&amp;G-4Yr'!X62</f>
        <v>518778.39999999991</v>
      </c>
      <c r="Y62" s="105">
        <f>+'Tuition-4Yr'!Y62+'State Appropriations-4Yr'!Y62+'Local Appropriations-4Yr'!Y62+'Fed Contracts Grnts-4Yr'!Y62+'Other Contract Grnts-4Yr'!Y62+'Investment Income-4Yr'!Y62+'All Other E&amp;G-4Yr'!Y62</f>
        <v>575402.30300000007</v>
      </c>
      <c r="Z62" s="105">
        <f>+'Tuition-4Yr'!Z62+'State Appropriations-4Yr'!Z62+'Local Appropriations-4Yr'!Z62+'Fed Contracts Grnts-4Yr'!Z62+'Other Contract Grnts-4Yr'!Z62+'Investment Income-4Yr'!Z62+'All Other E&amp;G-4Yr'!Z62</f>
        <v>532053.67499999993</v>
      </c>
      <c r="AA62" s="105">
        <f>+'Tuition-4Yr'!AA62+'State Appropriations-4Yr'!AA62+'Local Appropriations-4Yr'!AA62+'Fed Contracts Grnts-4Yr'!AA62+'Other Contract Grnts-4Yr'!AA62+'Investment Income-4Yr'!AA62+'All Other E&amp;G-4Yr'!AA62</f>
        <v>513269.6</v>
      </c>
      <c r="AB62" s="105">
        <f>+'Tuition-4Yr'!AB62+'State Appropriations-4Yr'!AB62+'Local Appropriations-4Yr'!AB62+'Fed Contracts Grnts-4Yr'!AB62+'Other Contract Grnts-4Yr'!AB62+'Investment Income-4Yr'!AB62+'All Other E&amp;G-4Yr'!AB62</f>
        <v>708990.9</v>
      </c>
      <c r="AC62" s="105">
        <f>+'Tuition-4Yr'!AC62+'State Appropriations-4Yr'!AC62+'Local Appropriations-4Yr'!AC62+'Fed Contracts Grnts-4Yr'!AC62+'Other Contract Grnts-4Yr'!AC62+'Investment Income-4Yr'!AC62+'All Other E&amp;G-4Yr'!AC62</f>
        <v>773286</v>
      </c>
      <c r="AD62" s="105">
        <f>+'Tuition-4Yr'!AD62+'State Appropriations-4Yr'!AD62+'Local Appropriations-4Yr'!AD62+'Fed Contracts Grnts-4Yr'!AD62+'Other Contract Grnts-4Yr'!AD62+'Investment Income-4Yr'!AD62+'All Other E&amp;G-4Yr'!AD62</f>
        <v>695442.022</v>
      </c>
      <c r="AE62" s="105">
        <f>+'Tuition-4Yr'!AE62+'State Appropriations-4Yr'!AE62+'Local Appropriations-4Yr'!AE62+'Fed Contracts Grnts-4Yr'!AE62+'Other Contract Grnts-4Yr'!AE62+'Investment Income-4Yr'!AE62+'All Other E&amp;G-4Yr'!AE62</f>
        <v>754201.69499999995</v>
      </c>
      <c r="AF62" s="105">
        <f>+'Tuition-4Yr'!AF62+'State Appropriations-4Yr'!AF62+'Local Appropriations-4Yr'!AF62+'Fed Contracts Grnts-4Yr'!AF62+'Other Contract Grnts-4Yr'!AF62+'Investment Income-4Yr'!AF62+'All Other E&amp;G-4Yr'!AF62</f>
        <v>770041.90099999995</v>
      </c>
      <c r="AG62" s="105">
        <f>+'Tuition-4Yr'!AG62+'State Appropriations-4Yr'!AG62+'Local Appropriations-4Yr'!AG62+'Fed Contracts Grnts-4Yr'!AG62+'Other Contract Grnts-4Yr'!AG62+'Investment Income-4Yr'!AG62+'All Other E&amp;G-4Yr'!AG62</f>
        <v>734976.03</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row>
    <row r="63" spans="1:213">
      <c r="A63" s="95" t="s">
        <v>114</v>
      </c>
      <c r="B63" s="106">
        <f>+'Tuition-4Yr'!B63+'State Appropriations-4Yr'!B63+'Local Appropriations-4Yr'!B63+'Fed Contracts Grnts-4Yr'!B63+'Other Contract Grnts-4Yr'!B63+'Investment Income-4Yr'!B63+'All Other E&amp;G-4Yr'!B63</f>
        <v>0</v>
      </c>
      <c r="C63" s="106">
        <f>+'Tuition-4Yr'!C63+'State Appropriations-4Yr'!C63+'Local Appropriations-4Yr'!C63+'Fed Contracts Grnts-4Yr'!C63+'Other Contract Grnts-4Yr'!C63+'Investment Income-4Yr'!C63+'All Other E&amp;G-4Yr'!C63</f>
        <v>0</v>
      </c>
      <c r="D63" s="106">
        <f>+'Tuition-4Yr'!D63+'State Appropriations-4Yr'!D63+'Local Appropriations-4Yr'!D63+'Fed Contracts Grnts-4Yr'!D63+'Other Contract Grnts-4Yr'!D63+'Investment Income-4Yr'!D63+'All Other E&amp;G-4Yr'!D63</f>
        <v>0</v>
      </c>
      <c r="E63" s="106">
        <f>+'Tuition-4Yr'!E63+'State Appropriations-4Yr'!E63+'Local Appropriations-4Yr'!E63+'Fed Contracts Grnts-4Yr'!E63+'Other Contract Grnts-4Yr'!E63+'Investment Income-4Yr'!E63+'All Other E&amp;G-4Yr'!E63</f>
        <v>0</v>
      </c>
      <c r="F63" s="106">
        <f>+'Tuition-4Yr'!F63+'State Appropriations-4Yr'!F63+'Local Appropriations-4Yr'!F63+'Fed Contracts Grnts-4Yr'!F63+'Other Contract Grnts-4Yr'!F63+'Investment Income-4Yr'!F63+'All Other E&amp;G-4Yr'!F63</f>
        <v>0</v>
      </c>
      <c r="G63" s="106">
        <f>+'Tuition-4Yr'!G63+'State Appropriations-4Yr'!G63+'Local Appropriations-4Yr'!G63+'Fed Contracts Grnts-4Yr'!G63+'Other Contract Grnts-4Yr'!G63+'Investment Income-4Yr'!G63+'All Other E&amp;G-4Yr'!G63</f>
        <v>0</v>
      </c>
      <c r="H63" s="106">
        <f>+'Tuition-4Yr'!H63+'State Appropriations-4Yr'!H63+'Local Appropriations-4Yr'!H63+'Fed Contracts Grnts-4Yr'!H63+'Other Contract Grnts-4Yr'!H63+'Investment Income-4Yr'!H63+'All Other E&amp;G-4Yr'!H63</f>
        <v>0</v>
      </c>
      <c r="I63" s="106">
        <f>+'Tuition-4Yr'!I63+'State Appropriations-4Yr'!I63+'Local Appropriations-4Yr'!I63+'Fed Contracts Grnts-4Yr'!I63+'Other Contract Grnts-4Yr'!I63+'Investment Income-4Yr'!I63+'All Other E&amp;G-4Yr'!I63</f>
        <v>0</v>
      </c>
      <c r="J63" s="106">
        <f>+'Tuition-4Yr'!J63+'State Appropriations-4Yr'!J63+'Local Appropriations-4Yr'!J63+'Fed Contracts Grnts-4Yr'!J63+'Other Contract Grnts-4Yr'!J63+'Investment Income-4Yr'!J63+'All Other E&amp;G-4Yr'!J63</f>
        <v>122674.11199999999</v>
      </c>
      <c r="K63" s="106">
        <f>+'Tuition-4Yr'!K63+'State Appropriations-4Yr'!K63+'Local Appropriations-4Yr'!K63+'Fed Contracts Grnts-4Yr'!K63+'Other Contract Grnts-4Yr'!K63+'Investment Income-4Yr'!K63+'All Other E&amp;G-4Yr'!K63</f>
        <v>0</v>
      </c>
      <c r="L63" s="106">
        <f>+'Tuition-4Yr'!L63+'State Appropriations-4Yr'!L63+'Local Appropriations-4Yr'!L63+'Fed Contracts Grnts-4Yr'!L63+'Other Contract Grnts-4Yr'!L63+'Investment Income-4Yr'!L63+'All Other E&amp;G-4Yr'!L63</f>
        <v>0</v>
      </c>
      <c r="M63" s="106">
        <f>+'Tuition-4Yr'!M63+'State Appropriations-4Yr'!M63+'Local Appropriations-4Yr'!M63+'Fed Contracts Grnts-4Yr'!M63+'Other Contract Grnts-4Yr'!M63+'Investment Income-4Yr'!M63+'All Other E&amp;G-4Yr'!M63</f>
        <v>105262.341</v>
      </c>
      <c r="N63" s="106">
        <f>+'Tuition-4Yr'!N63+'State Appropriations-4Yr'!N63+'Local Appropriations-4Yr'!N63+'Fed Contracts Grnts-4Yr'!N63+'Other Contract Grnts-4Yr'!N63+'Investment Income-4Yr'!N63+'All Other E&amp;G-4Yr'!N63</f>
        <v>0</v>
      </c>
      <c r="O63" s="106">
        <f>+'Tuition-4Yr'!O63+'State Appropriations-4Yr'!O63+'Local Appropriations-4Yr'!O63+'Fed Contracts Grnts-4Yr'!O63+'Other Contract Grnts-4Yr'!O63+'Investment Income-4Yr'!O63+'All Other E&amp;G-4Yr'!O63</f>
        <v>106812.00149000001</v>
      </c>
      <c r="P63" s="106">
        <f>+'Tuition-4Yr'!P63+'State Appropriations-4Yr'!P63+'Local Appropriations-4Yr'!P63+'Fed Contracts Grnts-4Yr'!P63+'Other Contract Grnts-4Yr'!P63+'Investment Income-4Yr'!P63+'All Other E&amp;G-4Yr'!P63</f>
        <v>0</v>
      </c>
      <c r="Q63" s="106">
        <f>+'Tuition-4Yr'!Q63+'State Appropriations-4Yr'!Q63+'Local Appropriations-4Yr'!Q63+'Fed Contracts Grnts-4Yr'!Q63+'Other Contract Grnts-4Yr'!Q63+'Investment Income-4Yr'!Q63+'All Other E&amp;G-4Yr'!Q63</f>
        <v>0</v>
      </c>
      <c r="R63" s="106">
        <f>+'Tuition-4Yr'!R63+'State Appropriations-4Yr'!R63+'Local Appropriations-4Yr'!R63+'Fed Contracts Grnts-4Yr'!R63+'Other Contract Grnts-4Yr'!R63+'Investment Income-4Yr'!R63+'All Other E&amp;G-4Yr'!R63</f>
        <v>74808.669000000009</v>
      </c>
      <c r="S63" s="106">
        <f>+'Tuition-4Yr'!S63+'State Appropriations-4Yr'!S63+'Local Appropriations-4Yr'!S63+'Fed Contracts Grnts-4Yr'!S63+'Other Contract Grnts-4Yr'!S63+'Investment Income-4Yr'!S63+'All Other E&amp;G-4Yr'!S63</f>
        <v>92870.498999999996</v>
      </c>
      <c r="T63" s="106">
        <f>+'Tuition-4Yr'!T63+'State Appropriations-4Yr'!T63+'Local Appropriations-4Yr'!T63+'Fed Contracts Grnts-4Yr'!T63+'Other Contract Grnts-4Yr'!T63+'Investment Income-4Yr'!T63+'All Other E&amp;G-4Yr'!T63</f>
        <v>94089.83600000001</v>
      </c>
      <c r="U63" s="106">
        <f>+'Tuition-4Yr'!U63+'State Appropriations-4Yr'!U63+'Local Appropriations-4Yr'!U63+'Fed Contracts Grnts-4Yr'!U63+'Other Contract Grnts-4Yr'!U63+'Investment Income-4Yr'!U63+'All Other E&amp;G-4Yr'!U63</f>
        <v>95228.725999999995</v>
      </c>
      <c r="V63" s="106">
        <f>+'Tuition-4Yr'!V63+'State Appropriations-4Yr'!V63+'Local Appropriations-4Yr'!V63+'Fed Contracts Grnts-4Yr'!V63+'Other Contract Grnts-4Yr'!V63+'Investment Income-4Yr'!V63+'All Other E&amp;G-4Yr'!V63</f>
        <v>98087.138999999996</v>
      </c>
      <c r="W63" s="106">
        <f>+'Tuition-4Yr'!W63+'State Appropriations-4Yr'!W63+'Local Appropriations-4Yr'!W63+'Fed Contracts Grnts-4Yr'!W63+'Other Contract Grnts-4Yr'!W63+'Investment Income-4Yr'!W63+'All Other E&amp;G-4Yr'!W63</f>
        <v>111793.22</v>
      </c>
      <c r="X63" s="106">
        <f>+'Tuition-4Yr'!X63+'State Appropriations-4Yr'!X63+'Local Appropriations-4Yr'!X63+'Fed Contracts Grnts-4Yr'!X63+'Other Contract Grnts-4Yr'!X63+'Investment Income-4Yr'!X63+'All Other E&amp;G-4Yr'!X63</f>
        <v>119552.70000000001</v>
      </c>
      <c r="Y63" s="106">
        <f>+'Tuition-4Yr'!Y63+'State Appropriations-4Yr'!Y63+'Local Appropriations-4Yr'!Y63+'Fed Contracts Grnts-4Yr'!Y63+'Other Contract Grnts-4Yr'!Y63+'Investment Income-4Yr'!Y63+'All Other E&amp;G-4Yr'!Y63</f>
        <v>124366.325</v>
      </c>
      <c r="Z63" s="106">
        <f>+'Tuition-4Yr'!Z63+'State Appropriations-4Yr'!Z63+'Local Appropriations-4Yr'!Z63+'Fed Contracts Grnts-4Yr'!Z63+'Other Contract Grnts-4Yr'!Z63+'Investment Income-4Yr'!Z63+'All Other E&amp;G-4Yr'!Z63</f>
        <v>119974.29799999998</v>
      </c>
      <c r="AA63" s="106">
        <f>+'Tuition-4Yr'!AA63+'State Appropriations-4Yr'!AA63+'Local Appropriations-4Yr'!AA63+'Fed Contracts Grnts-4Yr'!AA63+'Other Contract Grnts-4Yr'!AA63+'Investment Income-4Yr'!AA63+'All Other E&amp;G-4Yr'!AA63</f>
        <v>121282.02899999999</v>
      </c>
      <c r="AB63" s="106">
        <f>+'Tuition-4Yr'!AB63+'State Appropriations-4Yr'!AB63+'Local Appropriations-4Yr'!AB63+'Fed Contracts Grnts-4Yr'!AB63+'Other Contract Grnts-4Yr'!AB63+'Investment Income-4Yr'!AB63+'All Other E&amp;G-4Yr'!AB63</f>
        <v>133116.84599999999</v>
      </c>
      <c r="AC63" s="106">
        <f>+'Tuition-4Yr'!AC63+'State Appropriations-4Yr'!AC63+'Local Appropriations-4Yr'!AC63+'Fed Contracts Grnts-4Yr'!AC63+'Other Contract Grnts-4Yr'!AC63+'Investment Income-4Yr'!AC63+'All Other E&amp;G-4Yr'!AC63</f>
        <v>165301</v>
      </c>
      <c r="AD63" s="106">
        <f>+'Tuition-4Yr'!AD63+'State Appropriations-4Yr'!AD63+'Local Appropriations-4Yr'!AD63+'Fed Contracts Grnts-4Yr'!AD63+'Other Contract Grnts-4Yr'!AD63+'Investment Income-4Yr'!AD63+'All Other E&amp;G-4Yr'!AD63</f>
        <v>142419.78600000002</v>
      </c>
      <c r="AE63" s="106">
        <f>+'Tuition-4Yr'!AE63+'State Appropriations-4Yr'!AE63+'Local Appropriations-4Yr'!AE63+'Fed Contracts Grnts-4Yr'!AE63+'Other Contract Grnts-4Yr'!AE63+'Investment Income-4Yr'!AE63+'All Other E&amp;G-4Yr'!AE63</f>
        <v>147119.69400000002</v>
      </c>
      <c r="AF63" s="106">
        <f>+'Tuition-4Yr'!AF63+'State Appropriations-4Yr'!AF63+'Local Appropriations-4Yr'!AF63+'Fed Contracts Grnts-4Yr'!AF63+'Other Contract Grnts-4Yr'!AF63+'Investment Income-4Yr'!AF63+'All Other E&amp;G-4Yr'!AF63</f>
        <v>137802.19399999999</v>
      </c>
      <c r="AG63" s="106">
        <f>+'Tuition-4Yr'!AG63+'State Appropriations-4Yr'!AG63+'Local Appropriations-4Yr'!AG63+'Fed Contracts Grnts-4Yr'!AG63+'Other Contract Grnts-4Yr'!AG63+'Investment Income-4Yr'!AG63+'All Other E&amp;G-4Yr'!AG63</f>
        <v>138972.511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row>
    <row r="64" spans="1:213"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row>
    <row r="65" spans="1:213"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row>
    <row r="66" spans="1:213" ht="12.75" customHeight="1">
      <c r="A66" s="12"/>
      <c r="B66" s="12"/>
      <c r="C66" s="12"/>
      <c r="D66" s="12"/>
      <c r="E66" s="12"/>
      <c r="F66" s="12"/>
      <c r="G66" s="12"/>
      <c r="H66" s="12"/>
      <c r="I66" s="12"/>
      <c r="J66" s="12"/>
      <c r="K66" s="12"/>
      <c r="L66" s="56"/>
      <c r="M66" s="35"/>
      <c r="N66" s="12"/>
      <c r="O66" s="12"/>
      <c r="P66" s="12"/>
      <c r="Q66" s="12"/>
      <c r="R66" s="12"/>
      <c r="S66" s="12"/>
      <c r="T66" s="56"/>
      <c r="U66" s="56"/>
      <c r="V66" s="56"/>
      <c r="W66" s="56"/>
      <c r="X66" s="56"/>
      <c r="Y66" s="56"/>
      <c r="Z66" s="68"/>
      <c r="AA66" s="68"/>
      <c r="AB66" s="68"/>
      <c r="AC66" s="12"/>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row>
    <row r="67" spans="1:213"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row>
    <row r="68" spans="1:213"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row>
    <row r="69" spans="1:213" ht="12.75" customHeight="1">
      <c r="A69" s="12"/>
      <c r="B69" s="12"/>
      <c r="C69" s="12"/>
      <c r="D69" s="12"/>
      <c r="E69" s="12"/>
      <c r="F69" s="12"/>
      <c r="G69" s="12"/>
      <c r="H69" s="12"/>
      <c r="I69" s="12"/>
      <c r="J69" s="12"/>
      <c r="K69" s="12"/>
      <c r="L69" s="68"/>
      <c r="M69" s="68"/>
      <c r="N69" s="12"/>
      <c r="O69" s="12"/>
      <c r="P69" s="12"/>
      <c r="Q69" s="12"/>
      <c r="R69" s="12"/>
      <c r="S69" s="12"/>
      <c r="T69" s="12"/>
      <c r="U69" s="12"/>
      <c r="V69" s="15"/>
      <c r="W69" s="15"/>
      <c r="X69" s="15"/>
      <c r="Y69" s="15"/>
      <c r="Z69" s="12"/>
      <c r="AA69" s="12"/>
      <c r="AB69" s="12"/>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row>
    <row r="70" spans="1:213" ht="12.75" customHeight="1">
      <c r="A70" s="12"/>
      <c r="B70" s="12"/>
      <c r="C70" s="12"/>
      <c r="D70" s="12"/>
      <c r="E70" s="12"/>
      <c r="F70" s="12"/>
      <c r="G70" s="12"/>
      <c r="H70" s="12"/>
      <c r="I70" s="12"/>
      <c r="J70" s="12"/>
      <c r="K70" s="12"/>
      <c r="L70" s="12"/>
      <c r="M70" s="12"/>
      <c r="N70" s="12"/>
      <c r="O70" s="12"/>
      <c r="P70" s="12"/>
      <c r="Q70" s="12"/>
      <c r="R70" s="12"/>
      <c r="S70" s="12"/>
      <c r="T70" s="12"/>
      <c r="U70" s="12"/>
      <c r="V70" s="15"/>
      <c r="W70" s="15"/>
      <c r="X70" s="15"/>
      <c r="Y70" s="15"/>
      <c r="Z70" s="12"/>
      <c r="AA70" s="12"/>
      <c r="AB70" s="12"/>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row>
    <row r="71" spans="1:213" ht="12.75" customHeight="1">
      <c r="A71" s="12"/>
      <c r="B71" s="12"/>
      <c r="C71" s="12"/>
      <c r="D71" s="12"/>
      <c r="E71" s="12"/>
      <c r="F71" s="12"/>
      <c r="G71" s="12"/>
      <c r="H71" s="12"/>
      <c r="I71" s="12"/>
      <c r="J71" s="12"/>
      <c r="K71" s="12"/>
      <c r="L71" s="12"/>
      <c r="M71" s="12"/>
      <c r="N71" s="12"/>
      <c r="O71" s="12"/>
      <c r="P71" s="12"/>
      <c r="Q71" s="12"/>
      <c r="R71" s="12"/>
      <c r="S71" s="12"/>
      <c r="T71" s="12"/>
      <c r="U71" s="12"/>
      <c r="V71" s="15"/>
      <c r="W71" s="15"/>
      <c r="X71" s="15"/>
      <c r="Y71" s="15"/>
      <c r="Z71" s="12"/>
      <c r="AA71" s="12"/>
      <c r="AB71" s="12"/>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row>
    <row r="72" spans="1:213" ht="12.75" customHeight="1">
      <c r="A72" s="12"/>
      <c r="B72" s="12"/>
      <c r="C72" s="12"/>
      <c r="D72" s="12"/>
      <c r="E72" s="12"/>
      <c r="F72" s="12"/>
      <c r="G72" s="12"/>
      <c r="H72" s="12"/>
      <c r="I72" s="12"/>
      <c r="J72" s="12"/>
      <c r="K72" s="12"/>
      <c r="L72" s="12"/>
      <c r="M72" s="12"/>
      <c r="N72" s="12"/>
      <c r="O72" s="12"/>
      <c r="P72" s="12"/>
      <c r="Q72" s="12"/>
      <c r="R72" s="12"/>
      <c r="S72" s="12"/>
      <c r="T72" s="12"/>
      <c r="U72" s="12"/>
      <c r="V72" s="15"/>
      <c r="W72" s="15"/>
      <c r="X72" s="15"/>
      <c r="Y72" s="15"/>
      <c r="Z72" s="12"/>
      <c r="AA72" s="12"/>
      <c r="AB72" s="12"/>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row>
    <row r="73" spans="1:213" ht="12.75" customHeight="1">
      <c r="A73" s="12"/>
      <c r="B73" s="12"/>
      <c r="C73" s="12"/>
      <c r="D73" s="12"/>
      <c r="E73" s="12"/>
      <c r="F73" s="12"/>
      <c r="G73" s="12"/>
      <c r="H73" s="12"/>
      <c r="I73" s="12"/>
      <c r="J73" s="12"/>
      <c r="K73" s="12"/>
      <c r="L73" s="12"/>
      <c r="M73" s="12"/>
      <c r="N73" s="12"/>
      <c r="O73" s="12"/>
      <c r="P73" s="12"/>
      <c r="Q73" s="12"/>
      <c r="R73" s="12"/>
      <c r="S73" s="12"/>
      <c r="T73" s="12"/>
      <c r="U73" s="12"/>
      <c r="V73" s="15"/>
      <c r="W73" s="15"/>
      <c r="X73" s="15"/>
      <c r="Y73" s="15"/>
      <c r="Z73" s="12"/>
      <c r="AA73" s="12"/>
      <c r="AB73" s="12"/>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row>
    <row r="74" spans="1:213" ht="12.75" customHeight="1">
      <c r="A74" s="12"/>
      <c r="B74" s="12"/>
      <c r="C74" s="12"/>
      <c r="D74" s="12"/>
      <c r="E74" s="12"/>
      <c r="F74" s="12"/>
      <c r="G74" s="12"/>
      <c r="H74" s="12"/>
      <c r="I74" s="12"/>
      <c r="J74" s="12"/>
      <c r="K74" s="12"/>
      <c r="L74" s="12"/>
      <c r="M74" s="12"/>
      <c r="N74" s="12"/>
      <c r="O74" s="12"/>
      <c r="P74" s="12"/>
      <c r="Q74" s="12"/>
      <c r="R74" s="12"/>
      <c r="S74" s="12"/>
      <c r="T74" s="12"/>
      <c r="U74" s="12"/>
      <c r="V74" s="15"/>
      <c r="W74" s="15"/>
      <c r="X74" s="15"/>
      <c r="Y74" s="15"/>
      <c r="Z74" s="12"/>
      <c r="AA74" s="12"/>
      <c r="AB74" s="12"/>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row>
    <row r="75" spans="1:213" ht="12.75" customHeight="1">
      <c r="A75" s="12"/>
      <c r="B75" s="12"/>
      <c r="C75" s="12"/>
      <c r="D75" s="12"/>
      <c r="E75" s="12"/>
      <c r="F75" s="12"/>
      <c r="G75" s="12"/>
      <c r="H75" s="12"/>
      <c r="I75" s="12"/>
      <c r="J75" s="12"/>
      <c r="K75" s="12"/>
      <c r="L75" s="12"/>
      <c r="M75" s="12"/>
      <c r="N75" s="12"/>
      <c r="O75" s="12"/>
      <c r="P75" s="12"/>
      <c r="Q75" s="12"/>
      <c r="R75" s="12"/>
      <c r="S75" s="12"/>
      <c r="T75" s="12"/>
      <c r="U75" s="12"/>
      <c r="V75" s="15"/>
      <c r="W75" s="15"/>
      <c r="X75" s="15"/>
      <c r="Y75" s="15"/>
      <c r="Z75" s="12"/>
      <c r="AA75" s="12"/>
      <c r="AB75" s="12"/>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row>
    <row r="76" spans="1:213" ht="12.75" customHeight="1">
      <c r="A76" s="12"/>
      <c r="B76" s="12"/>
      <c r="C76" s="12"/>
      <c r="D76" s="12"/>
      <c r="E76" s="12"/>
      <c r="F76" s="12"/>
      <c r="G76" s="12"/>
      <c r="H76" s="12"/>
      <c r="I76" s="12"/>
      <c r="J76" s="12"/>
      <c r="K76" s="12"/>
      <c r="L76" s="12"/>
      <c r="M76" s="12"/>
      <c r="N76" s="12"/>
      <c r="O76" s="12"/>
      <c r="P76" s="12"/>
      <c r="Q76" s="12"/>
      <c r="R76" s="12"/>
      <c r="S76" s="12"/>
      <c r="T76" s="12"/>
      <c r="U76" s="12"/>
      <c r="V76" s="15"/>
      <c r="W76" s="15"/>
      <c r="X76" s="15"/>
      <c r="Y76" s="15"/>
      <c r="Z76" s="12"/>
      <c r="AA76" s="12"/>
      <c r="AB76" s="12"/>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row>
    <row r="77" spans="1:213" ht="12.75" customHeight="1">
      <c r="A77" s="12"/>
      <c r="B77" s="12"/>
      <c r="C77" s="12"/>
      <c r="D77" s="12"/>
      <c r="E77" s="12"/>
      <c r="F77" s="12"/>
      <c r="G77" s="12"/>
      <c r="H77" s="12"/>
      <c r="I77" s="12"/>
      <c r="J77" s="12"/>
      <c r="K77" s="12"/>
      <c r="L77" s="12"/>
      <c r="M77" s="12"/>
      <c r="N77" s="12"/>
      <c r="O77" s="12"/>
      <c r="P77" s="12"/>
      <c r="Q77" s="12"/>
      <c r="R77" s="12"/>
      <c r="S77" s="12"/>
      <c r="T77" s="12"/>
      <c r="U77" s="12"/>
      <c r="V77" s="15"/>
      <c r="W77" s="15"/>
      <c r="X77" s="15"/>
      <c r="Y77" s="15"/>
      <c r="Z77" s="12"/>
      <c r="AA77" s="12"/>
      <c r="AB77" s="12"/>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row>
    <row r="78" spans="1:213" ht="12.75" customHeight="1">
      <c r="A78" s="12"/>
      <c r="B78" s="12"/>
      <c r="C78" s="12"/>
      <c r="D78" s="12"/>
      <c r="E78" s="12"/>
      <c r="F78" s="12"/>
      <c r="G78" s="12"/>
      <c r="H78" s="12"/>
      <c r="I78" s="12"/>
      <c r="J78" s="12"/>
      <c r="K78" s="12"/>
      <c r="L78" s="12"/>
      <c r="M78" s="12"/>
      <c r="N78" s="12"/>
      <c r="O78" s="12"/>
      <c r="P78" s="12"/>
      <c r="Q78" s="12"/>
      <c r="R78" s="12"/>
      <c r="S78" s="12"/>
      <c r="T78" s="12"/>
      <c r="U78" s="12"/>
      <c r="V78" s="15"/>
      <c r="W78" s="15"/>
      <c r="X78" s="15"/>
      <c r="Y78" s="15"/>
      <c r="Z78" s="12"/>
      <c r="AA78" s="12"/>
      <c r="AB78" s="12"/>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row>
    <row r="79" spans="1:213" ht="12.75" customHeight="1">
      <c r="A79" s="12"/>
      <c r="B79" s="12"/>
      <c r="C79" s="12"/>
      <c r="D79" s="12"/>
      <c r="E79" s="12"/>
      <c r="F79" s="12"/>
      <c r="G79" s="12"/>
      <c r="I79" s="12"/>
      <c r="J79" s="12"/>
      <c r="K79" s="12"/>
      <c r="L79" s="12"/>
      <c r="M79" s="12"/>
      <c r="N79" s="12"/>
      <c r="O79" s="12"/>
      <c r="P79" s="12"/>
      <c r="Q79" s="12"/>
      <c r="R79" s="12"/>
      <c r="S79" s="12"/>
      <c r="T79" s="12"/>
      <c r="U79" s="12"/>
      <c r="V79" s="15"/>
      <c r="W79" s="15"/>
      <c r="X79" s="15"/>
      <c r="Y79" s="15"/>
      <c r="Z79" s="12"/>
      <c r="AA79" s="12"/>
      <c r="AB79" s="12"/>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row>
    <row r="80" spans="1:213" ht="12.75" customHeight="1">
      <c r="A80" s="12"/>
      <c r="B80" s="12"/>
      <c r="C80" s="12"/>
      <c r="D80" s="12"/>
      <c r="E80" s="12"/>
      <c r="F80" s="12"/>
      <c r="G80" s="12"/>
      <c r="H80" s="12"/>
      <c r="I80" s="12"/>
      <c r="J80" s="12"/>
      <c r="K80" s="12"/>
      <c r="L80" s="12"/>
      <c r="M80" s="12"/>
      <c r="N80" s="12"/>
      <c r="O80" s="12"/>
      <c r="P80" s="12"/>
      <c r="Q80" s="12"/>
      <c r="R80" s="12"/>
      <c r="S80" s="12"/>
      <c r="T80" s="12"/>
      <c r="U80" s="12"/>
      <c r="V80" s="15"/>
      <c r="W80" s="15"/>
      <c r="X80" s="15"/>
      <c r="Y80" s="15"/>
      <c r="Z80" s="12"/>
      <c r="AA80" s="12"/>
      <c r="AB80" s="12"/>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row>
    <row r="81" spans="1:213" ht="9.9499999999999993" customHeight="1">
      <c r="A81" s="12"/>
      <c r="B81" s="12"/>
      <c r="C81" s="12"/>
      <c r="D81" s="12"/>
      <c r="E81" s="12"/>
      <c r="F81" s="12"/>
      <c r="G81" s="12"/>
      <c r="H81" s="12"/>
      <c r="I81" s="12"/>
      <c r="J81" s="12"/>
      <c r="K81" s="12"/>
      <c r="L81" s="12"/>
      <c r="M81" s="12"/>
      <c r="N81" s="12"/>
      <c r="O81" s="12"/>
      <c r="P81" s="12"/>
      <c r="Q81" s="12"/>
      <c r="R81" s="12"/>
      <c r="S81" s="12"/>
      <c r="T81" s="12"/>
      <c r="U81" s="12"/>
      <c r="V81" s="15"/>
      <c r="W81" s="15"/>
      <c r="X81" s="15"/>
      <c r="Y81" s="15"/>
      <c r="Z81" s="12"/>
      <c r="AA81" s="12"/>
      <c r="AB81" s="12"/>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row>
    <row r="82" spans="1:213" ht="9.9499999999999993" customHeight="1">
      <c r="A82" s="12"/>
      <c r="B82" s="12"/>
      <c r="C82" s="12"/>
      <c r="D82" s="12"/>
      <c r="E82" s="12"/>
      <c r="F82" s="12"/>
      <c r="G82" s="12"/>
      <c r="H82" s="12"/>
      <c r="I82" s="12"/>
      <c r="J82" s="12"/>
      <c r="K82" s="12"/>
      <c r="L82" s="12"/>
      <c r="M82" s="12"/>
      <c r="N82" s="12"/>
      <c r="O82" s="12"/>
      <c r="P82" s="12"/>
      <c r="Q82" s="12"/>
      <c r="R82" s="12"/>
      <c r="S82" s="12"/>
      <c r="T82" s="12"/>
      <c r="U82" s="12"/>
      <c r="V82" s="15"/>
      <c r="W82" s="15"/>
      <c r="X82" s="15"/>
      <c r="Y82" s="15"/>
      <c r="Z82" s="12"/>
      <c r="AA82" s="12"/>
      <c r="AB82" s="12"/>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9"/>
      <c r="GX82" s="19"/>
      <c r="GY82" s="19"/>
      <c r="GZ82" s="19"/>
      <c r="HA82" s="19"/>
      <c r="HB82" s="19"/>
      <c r="HC82" s="19"/>
      <c r="HD82" s="19"/>
      <c r="HE82" s="19"/>
    </row>
    <row r="83" spans="1:213">
      <c r="A83" s="12"/>
      <c r="B83" s="12"/>
      <c r="C83" s="12"/>
      <c r="D83" s="12"/>
      <c r="E83" s="12"/>
      <c r="F83" s="12"/>
      <c r="G83" s="12"/>
      <c r="H83" s="12"/>
      <c r="I83" s="12"/>
      <c r="J83" s="12"/>
      <c r="K83" s="12"/>
      <c r="L83" s="12"/>
      <c r="M83" s="12"/>
      <c r="N83" s="12"/>
      <c r="O83" s="12"/>
      <c r="P83" s="12"/>
      <c r="Q83" s="12"/>
      <c r="R83" s="12"/>
      <c r="S83" s="12"/>
      <c r="T83" s="12"/>
      <c r="U83" s="12"/>
      <c r="V83" s="15"/>
      <c r="W83" s="15"/>
      <c r="X83" s="15"/>
      <c r="Y83" s="15"/>
      <c r="Z83" s="12"/>
      <c r="AA83" s="12"/>
      <c r="AB83" s="12"/>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9"/>
      <c r="GV83" s="19"/>
      <c r="GW83" s="19"/>
      <c r="GX83" s="19"/>
      <c r="GY83" s="19"/>
      <c r="GZ83" s="19"/>
      <c r="HA83" s="19"/>
      <c r="HB83" s="19"/>
      <c r="HC83" s="19"/>
      <c r="HD83" s="19"/>
      <c r="HE83" s="19"/>
    </row>
    <row r="84" spans="1:213">
      <c r="A84" s="12"/>
      <c r="B84" s="12"/>
      <c r="C84" s="12"/>
      <c r="D84" s="12"/>
      <c r="E84" s="12"/>
      <c r="F84" s="12"/>
      <c r="G84" s="12"/>
      <c r="H84" s="12"/>
      <c r="I84" s="12"/>
      <c r="J84" s="12"/>
      <c r="K84" s="12"/>
      <c r="L84" s="12"/>
      <c r="M84" s="12"/>
      <c r="N84" s="12"/>
      <c r="O84" s="12"/>
      <c r="P84" s="12"/>
      <c r="Q84" s="12"/>
      <c r="R84" s="12"/>
      <c r="S84" s="12"/>
      <c r="T84" s="12"/>
      <c r="U84" s="12"/>
      <c r="V84" s="15"/>
      <c r="W84" s="15"/>
      <c r="X84" s="15"/>
      <c r="Y84" s="15"/>
      <c r="Z84" s="12"/>
      <c r="AA84" s="12"/>
      <c r="AB84" s="12"/>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9"/>
      <c r="GV84" s="19"/>
      <c r="GW84" s="19"/>
      <c r="GX84" s="19"/>
      <c r="GY84" s="19"/>
      <c r="GZ84" s="19"/>
      <c r="HA84" s="19"/>
      <c r="HB84" s="19"/>
      <c r="HC84" s="19"/>
      <c r="HD84" s="19"/>
      <c r="HE84" s="19"/>
    </row>
    <row r="85" spans="1:213">
      <c r="A85" s="12"/>
      <c r="B85" s="12"/>
      <c r="C85" s="12"/>
      <c r="D85" s="12"/>
      <c r="E85" s="12"/>
      <c r="F85" s="12"/>
      <c r="G85" s="12"/>
      <c r="H85" s="12"/>
      <c r="I85" s="12"/>
      <c r="J85" s="12"/>
      <c r="K85" s="12"/>
      <c r="L85" s="12"/>
      <c r="M85" s="12"/>
      <c r="N85" s="12"/>
      <c r="O85" s="12"/>
      <c r="P85" s="12"/>
      <c r="Q85" s="12"/>
      <c r="R85" s="12"/>
      <c r="S85" s="12"/>
      <c r="T85" s="12"/>
      <c r="U85" s="12"/>
      <c r="V85" s="15"/>
      <c r="W85" s="15"/>
      <c r="X85" s="15"/>
      <c r="Y85" s="15"/>
      <c r="Z85" s="12"/>
      <c r="AA85" s="12"/>
      <c r="AB85" s="12"/>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9"/>
      <c r="GX85" s="19"/>
      <c r="GY85" s="19"/>
      <c r="GZ85" s="19"/>
      <c r="HA85" s="19"/>
      <c r="HB85" s="19"/>
      <c r="HC85" s="19"/>
      <c r="HD85" s="12"/>
      <c r="HE85" s="12"/>
    </row>
    <row r="86" spans="1:213">
      <c r="B86" s="12"/>
      <c r="C86" s="12"/>
      <c r="D86" s="12"/>
      <c r="E86" s="12"/>
      <c r="F86" s="12"/>
      <c r="G86" s="12"/>
      <c r="H86" s="12"/>
      <c r="I86" s="12"/>
      <c r="J86" s="12"/>
      <c r="K86" s="12"/>
      <c r="L86" s="12"/>
      <c r="M86" s="12"/>
      <c r="N86" s="12"/>
      <c r="O86" s="12"/>
      <c r="P86" s="12"/>
      <c r="Q86" s="12"/>
      <c r="R86" s="12"/>
      <c r="S86" s="12"/>
      <c r="T86" s="12"/>
      <c r="U86" s="12"/>
      <c r="V86" s="15"/>
      <c r="W86" s="15"/>
      <c r="X86" s="15"/>
      <c r="Y86" s="15"/>
      <c r="Z86" s="12"/>
      <c r="AA86" s="12"/>
      <c r="AB86" s="12"/>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9"/>
      <c r="GX86" s="19"/>
      <c r="GY86" s="19"/>
      <c r="GZ86" s="19"/>
      <c r="HA86" s="19"/>
      <c r="HB86" s="19"/>
      <c r="HC86" s="19"/>
      <c r="HD86" s="12"/>
      <c r="HE86" s="12"/>
    </row>
    <row r="87" spans="1:213">
      <c r="B87" s="12"/>
      <c r="C87" s="12"/>
      <c r="D87" s="12"/>
      <c r="E87" s="12"/>
      <c r="F87" s="12"/>
      <c r="G87" s="12"/>
      <c r="H87" s="12"/>
      <c r="I87" s="12"/>
      <c r="J87" s="12"/>
      <c r="K87" s="12"/>
      <c r="L87" s="12"/>
      <c r="M87" s="12"/>
      <c r="N87" s="12"/>
      <c r="O87" s="12"/>
      <c r="P87" s="12"/>
      <c r="Q87" s="12"/>
      <c r="R87" s="12"/>
      <c r="S87" s="12"/>
      <c r="T87" s="12"/>
      <c r="U87" s="12"/>
      <c r="V87" s="15"/>
      <c r="W87" s="15"/>
      <c r="X87" s="15"/>
      <c r="Y87" s="15"/>
      <c r="Z87" s="12"/>
      <c r="AA87" s="12"/>
      <c r="AB87" s="12"/>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9"/>
      <c r="GX87" s="19"/>
      <c r="GY87" s="19"/>
      <c r="GZ87" s="19"/>
      <c r="HA87" s="19"/>
      <c r="HB87" s="19"/>
      <c r="HC87" s="19"/>
      <c r="HD87" s="12"/>
      <c r="HE87" s="12"/>
    </row>
    <row r="88" spans="1:213">
      <c r="B88" s="12"/>
      <c r="C88" s="12"/>
      <c r="D88" s="12"/>
      <c r="E88" s="12"/>
      <c r="F88" s="12"/>
      <c r="G88" s="12"/>
      <c r="H88" s="12"/>
      <c r="I88" s="12"/>
      <c r="J88" s="12"/>
      <c r="K88" s="12"/>
      <c r="L88" s="12"/>
      <c r="M88" s="12"/>
      <c r="N88" s="12"/>
      <c r="O88" s="12"/>
      <c r="P88" s="12"/>
      <c r="Q88" s="12"/>
      <c r="R88" s="12"/>
      <c r="S88" s="12"/>
      <c r="T88" s="12"/>
      <c r="U88" s="12"/>
      <c r="V88" s="15"/>
      <c r="W88" s="15"/>
      <c r="X88" s="15"/>
      <c r="Y88" s="15"/>
      <c r="Z88" s="12"/>
      <c r="AA88" s="12"/>
      <c r="AB88" s="12"/>
      <c r="AC88" s="12"/>
      <c r="AD88" s="12"/>
      <c r="AE88" s="12"/>
    </row>
    <row r="89" spans="1:213">
      <c r="B89" s="12"/>
      <c r="C89" s="12"/>
      <c r="D89" s="12"/>
      <c r="E89" s="12"/>
      <c r="F89" s="12"/>
      <c r="G89" s="12"/>
      <c r="H89" s="12"/>
    </row>
    <row r="90" spans="1:213">
      <c r="B90" s="12"/>
      <c r="C90" s="12"/>
      <c r="D90" s="12"/>
      <c r="E90" s="12"/>
      <c r="F90" s="12"/>
      <c r="G90" s="12"/>
      <c r="H90" s="12"/>
    </row>
    <row r="91" spans="1:213">
      <c r="B91" s="12"/>
      <c r="C91" s="12"/>
      <c r="D91" s="12"/>
      <c r="E91" s="12"/>
      <c r="F91" s="12"/>
      <c r="G91" s="12"/>
      <c r="H91" s="12"/>
    </row>
    <row r="92" spans="1:213">
      <c r="B92" s="18"/>
      <c r="C92" s="18"/>
      <c r="D92" s="18"/>
      <c r="E92" s="18"/>
      <c r="F92" s="18"/>
      <c r="G92" s="18"/>
      <c r="H92" s="18"/>
    </row>
  </sheetData>
  <phoneticPr fontId="9" type="noConversion"/>
  <pageMargins left="0.5" right="0.5" top="0.5" bottom="0.55000000000000004" header="0.5" footer="0.5"/>
  <pageSetup scale="88" orientation="landscape" verticalDpi="300" r:id="rId1"/>
  <headerFooter alignWithMargins="0">
    <oddFooter>&amp;LSREB Fact Book 1996/1997&amp;CUpdate&amp;R&amp;D</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17"/>
  </sheetPr>
  <dimension ref="A1:HF88"/>
  <sheetViews>
    <sheetView showZeros="0" zoomScaleNormal="100" workbookViewId="0">
      <pane xSplit="1" ySplit="3" topLeftCell="Z41" activePane="bottomRight" state="frozen"/>
      <selection activeCell="O44" sqref="O44"/>
      <selection pane="topRight" activeCell="O44" sqref="O44"/>
      <selection pane="bottomLeft" activeCell="O44" sqref="O44"/>
      <selection pane="bottomRight" activeCell="AG57" sqref="AG57"/>
    </sheetView>
  </sheetViews>
  <sheetFormatPr defaultColWidth="9.7109375" defaultRowHeight="12.75"/>
  <cols>
    <col min="1" max="1" width="19.5703125" style="13" bestFit="1" customWidth="1"/>
    <col min="2" max="28" width="10.7109375" style="53" customWidth="1"/>
    <col min="29" max="32" width="10.7109375" style="13" bestFit="1" customWidth="1"/>
    <col min="33" max="33" width="10.7109375" style="13" customWidth="1"/>
    <col min="34" max="178" width="9.7109375" style="13"/>
    <col min="179" max="179" width="11.7109375" style="13" customWidth="1"/>
    <col min="180" max="203" width="9.7109375" style="13"/>
    <col min="204" max="204" width="5.7109375" style="13" customWidth="1"/>
    <col min="205" max="205" width="6.7109375" style="13" customWidth="1"/>
    <col min="206" max="207" width="8.7109375" style="13" customWidth="1"/>
    <col min="208" max="209" width="6.7109375" style="13" customWidth="1"/>
    <col min="210" max="211" width="8.7109375" style="13" customWidth="1"/>
    <col min="212" max="213" width="6.7109375" style="13" customWidth="1"/>
    <col min="214" max="214" width="1.7109375" style="13" customWidth="1"/>
    <col min="215" max="16384" width="9.7109375" style="13"/>
  </cols>
  <sheetData>
    <row r="1" spans="1:214">
      <c r="A1" s="62" t="s">
        <v>89</v>
      </c>
      <c r="B1" s="157"/>
      <c r="C1" s="157"/>
      <c r="D1" s="157"/>
      <c r="E1" s="157"/>
      <c r="F1" s="157"/>
      <c r="G1" s="157"/>
      <c r="H1" s="157"/>
      <c r="I1" s="157"/>
      <c r="J1" s="157"/>
      <c r="K1" s="157"/>
      <c r="L1" s="157"/>
      <c r="M1" s="157"/>
      <c r="N1" s="157"/>
      <c r="O1" s="157"/>
      <c r="P1" s="157"/>
      <c r="Q1" s="157"/>
      <c r="R1" s="157"/>
      <c r="S1" s="157"/>
      <c r="T1" s="157"/>
      <c r="U1" s="157"/>
      <c r="V1" s="157"/>
      <c r="W1" s="157"/>
      <c r="X1" s="157"/>
      <c r="Y1" s="157"/>
      <c r="Z1" s="157"/>
      <c r="AA1" s="157"/>
      <c r="AB1" s="157"/>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row>
    <row r="2" spans="1:214">
      <c r="A2" s="12" t="s">
        <v>96</v>
      </c>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row>
    <row r="3" spans="1:214" s="155" customFormat="1">
      <c r="B3" s="158">
        <v>1984</v>
      </c>
      <c r="C3" s="158">
        <v>1985</v>
      </c>
      <c r="D3" s="158">
        <v>1986</v>
      </c>
      <c r="E3" s="158">
        <v>1987</v>
      </c>
      <c r="F3" s="158">
        <v>1988</v>
      </c>
      <c r="G3" s="158">
        <v>1989</v>
      </c>
      <c r="H3" s="158">
        <v>1990</v>
      </c>
      <c r="I3" s="158">
        <v>1991</v>
      </c>
      <c r="J3" s="158">
        <v>1992</v>
      </c>
      <c r="K3" s="158">
        <v>1993</v>
      </c>
      <c r="L3" s="158">
        <v>1994</v>
      </c>
      <c r="M3" s="158">
        <v>1995</v>
      </c>
      <c r="N3" s="158">
        <v>1996</v>
      </c>
      <c r="O3" s="158">
        <v>1997</v>
      </c>
      <c r="P3" s="158"/>
      <c r="Q3" s="158"/>
      <c r="R3" s="158">
        <v>2000</v>
      </c>
      <c r="S3" s="158">
        <v>2001</v>
      </c>
      <c r="T3" s="158">
        <v>2002</v>
      </c>
      <c r="U3" s="158">
        <v>2003</v>
      </c>
      <c r="V3" s="158">
        <v>2004</v>
      </c>
      <c r="W3" s="158">
        <v>2005</v>
      </c>
      <c r="X3" s="158">
        <v>2006</v>
      </c>
      <c r="Y3" s="158">
        <v>2007</v>
      </c>
      <c r="Z3" s="158">
        <v>2008</v>
      </c>
      <c r="AA3" s="158">
        <v>2009</v>
      </c>
      <c r="AB3" s="158">
        <v>2010</v>
      </c>
      <c r="AC3" s="158">
        <v>2011</v>
      </c>
      <c r="AD3" s="156">
        <v>2012</v>
      </c>
      <c r="AE3" s="156">
        <v>2013</v>
      </c>
      <c r="AF3" s="215">
        <v>2014</v>
      </c>
      <c r="AG3" s="215">
        <v>2015</v>
      </c>
      <c r="AH3" s="156"/>
      <c r="AI3" s="156"/>
      <c r="AJ3" s="156"/>
      <c r="AK3" s="156"/>
      <c r="AL3" s="156"/>
      <c r="AM3" s="156"/>
      <c r="AN3" s="156"/>
      <c r="AO3" s="156"/>
      <c r="AP3" s="156"/>
      <c r="AQ3" s="156"/>
      <c r="AR3" s="156"/>
      <c r="AS3" s="156"/>
      <c r="AT3" s="156"/>
      <c r="AU3" s="156"/>
      <c r="AV3" s="156"/>
      <c r="AW3" s="156"/>
      <c r="AX3" s="156"/>
      <c r="AY3" s="156"/>
      <c r="AZ3" s="156"/>
      <c r="BA3" s="156"/>
      <c r="BB3" s="156"/>
      <c r="BC3" s="156"/>
      <c r="BD3" s="156"/>
      <c r="BE3" s="156"/>
      <c r="BF3" s="156"/>
      <c r="BG3" s="156"/>
      <c r="BH3" s="156"/>
      <c r="BI3" s="156"/>
      <c r="BJ3" s="156"/>
      <c r="BK3" s="156"/>
      <c r="BL3" s="156"/>
      <c r="BM3" s="156"/>
      <c r="BN3" s="156"/>
      <c r="BO3" s="156"/>
      <c r="BP3" s="156"/>
      <c r="BQ3" s="156"/>
      <c r="BR3" s="156"/>
      <c r="BS3" s="156"/>
      <c r="BT3" s="156"/>
      <c r="BU3" s="156"/>
      <c r="BV3" s="156"/>
      <c r="BW3" s="156"/>
      <c r="BX3" s="156"/>
      <c r="BY3" s="156"/>
      <c r="BZ3" s="156"/>
      <c r="CA3" s="156"/>
      <c r="CB3" s="156"/>
      <c r="CC3" s="156"/>
      <c r="CD3" s="156"/>
      <c r="CE3" s="156"/>
      <c r="CF3" s="156"/>
      <c r="CG3" s="156"/>
      <c r="CH3" s="156"/>
      <c r="CI3" s="156"/>
      <c r="CJ3" s="156"/>
      <c r="CK3" s="156"/>
      <c r="CL3" s="156"/>
      <c r="CM3" s="156"/>
      <c r="CN3" s="156"/>
      <c r="CO3" s="156"/>
      <c r="CP3" s="156"/>
      <c r="CQ3" s="156"/>
      <c r="CR3" s="156"/>
      <c r="CS3" s="156"/>
      <c r="CT3" s="156"/>
      <c r="CU3" s="156"/>
      <c r="CV3" s="156"/>
      <c r="CW3" s="156"/>
      <c r="CX3" s="156"/>
      <c r="CY3" s="156"/>
      <c r="CZ3" s="156"/>
      <c r="DA3" s="156"/>
      <c r="DB3" s="156"/>
      <c r="DC3" s="156"/>
      <c r="DD3" s="156"/>
      <c r="DE3" s="156"/>
      <c r="DF3" s="156"/>
      <c r="DG3" s="156"/>
      <c r="DH3" s="156"/>
      <c r="DI3" s="156"/>
      <c r="DJ3" s="156"/>
      <c r="DK3" s="156"/>
      <c r="DL3" s="156"/>
      <c r="DM3" s="156"/>
      <c r="DN3" s="156"/>
      <c r="DO3" s="156"/>
      <c r="DP3" s="156"/>
      <c r="DQ3" s="156"/>
      <c r="DR3" s="156"/>
      <c r="DS3" s="156"/>
      <c r="DT3" s="156"/>
      <c r="DU3" s="156"/>
      <c r="DV3" s="156"/>
      <c r="DW3" s="156"/>
      <c r="DX3" s="156"/>
      <c r="DY3" s="156"/>
      <c r="DZ3" s="156"/>
      <c r="EA3" s="156"/>
      <c r="EB3" s="156"/>
      <c r="EC3" s="156"/>
      <c r="ED3" s="156"/>
      <c r="EE3" s="156"/>
      <c r="EF3" s="156"/>
      <c r="EG3" s="156"/>
      <c r="EH3" s="156"/>
      <c r="EI3" s="156"/>
      <c r="EJ3" s="156"/>
      <c r="EK3" s="156"/>
      <c r="EL3" s="156"/>
      <c r="EM3" s="156"/>
      <c r="EN3" s="156"/>
      <c r="EO3" s="156"/>
      <c r="EP3" s="156"/>
      <c r="EQ3" s="156"/>
      <c r="ER3" s="156"/>
      <c r="ES3" s="156"/>
      <c r="ET3" s="156"/>
      <c r="EU3" s="156"/>
      <c r="EV3" s="156"/>
      <c r="EW3" s="156"/>
      <c r="EX3" s="156"/>
      <c r="EY3" s="156"/>
      <c r="EZ3" s="156"/>
      <c r="FA3" s="156"/>
      <c r="FB3" s="156"/>
      <c r="FC3" s="156"/>
      <c r="FD3" s="156"/>
      <c r="FE3" s="156"/>
      <c r="FF3" s="156"/>
      <c r="FG3" s="156"/>
      <c r="FH3" s="156"/>
      <c r="FI3" s="156"/>
      <c r="FJ3" s="156"/>
      <c r="FK3" s="156"/>
      <c r="FL3" s="156"/>
      <c r="FM3" s="156"/>
      <c r="FN3" s="156"/>
      <c r="FO3" s="156"/>
      <c r="FP3" s="156"/>
      <c r="FQ3" s="156"/>
      <c r="FR3" s="156"/>
      <c r="FS3" s="156"/>
      <c r="FT3" s="156"/>
      <c r="FU3" s="156"/>
      <c r="FV3" s="156"/>
      <c r="FW3" s="156"/>
      <c r="FX3" s="156"/>
      <c r="FY3" s="156"/>
      <c r="FZ3" s="156"/>
      <c r="GA3" s="156"/>
      <c r="GB3" s="156"/>
      <c r="GC3" s="156"/>
      <c r="GD3" s="156"/>
      <c r="GE3" s="156"/>
      <c r="GF3" s="156"/>
      <c r="GG3" s="156"/>
      <c r="GH3" s="156"/>
      <c r="GI3" s="156"/>
      <c r="GJ3" s="156"/>
      <c r="GK3" s="156"/>
      <c r="GL3" s="156"/>
      <c r="GM3" s="156"/>
      <c r="GN3" s="156"/>
      <c r="GO3" s="156"/>
      <c r="GP3" s="156"/>
      <c r="GQ3" s="156"/>
      <c r="GR3" s="156"/>
      <c r="GS3" s="156"/>
      <c r="GT3" s="156"/>
      <c r="GU3" s="156"/>
      <c r="GV3" s="156"/>
      <c r="GW3" s="156"/>
      <c r="GX3" s="156"/>
      <c r="GY3" s="156"/>
      <c r="GZ3" s="156"/>
      <c r="HA3" s="156"/>
      <c r="HB3" s="156"/>
      <c r="HC3" s="156"/>
      <c r="HD3" s="156"/>
      <c r="HE3" s="156"/>
      <c r="HF3" s="156"/>
    </row>
    <row r="4" spans="1:214" ht="12.75" customHeight="1">
      <c r="A4" s="85" t="s">
        <v>142</v>
      </c>
      <c r="B4" s="159">
        <f>+'Tuition-2Yr'!B4+'State Appropriations-2Yr'!B4+'Local Appropriations-2Yr'!B4+'Fed Contracts Grnts-2Yr'!B4+'Other Contracts Grnts-2Yr'!B4+'Investment Income-2Yr'!B4+'All Other E&amp;G-2Yr'!B4</f>
        <v>9549523</v>
      </c>
      <c r="C4" s="159">
        <f>+'Tuition-2Yr'!C4+'State Appropriations-2Yr'!C4+'Local Appropriations-2Yr'!C4+'Fed Contracts Grnts-2Yr'!C4+'Other Contracts Grnts-2Yr'!C4+'Investment Income-2Yr'!C4+'All Other E&amp;G-2Yr'!C4</f>
        <v>10332952</v>
      </c>
      <c r="D4" s="159">
        <f>+'Tuition-2Yr'!D4+'State Appropriations-2Yr'!D4+'Local Appropriations-2Yr'!D4+'Fed Contracts Grnts-2Yr'!D4+'Other Contracts Grnts-2Yr'!D4+'Investment Income-2Yr'!D4+'All Other E&amp;G-2Yr'!D4</f>
        <v>11213971</v>
      </c>
      <c r="E4" s="159">
        <f>+'Tuition-2Yr'!E4+'State Appropriations-2Yr'!E4+'Local Appropriations-2Yr'!E4+'Fed Contracts Grnts-2Yr'!E4+'Other Contracts Grnts-2Yr'!E4+'Investment Income-2Yr'!E4+'All Other E&amp;G-2Yr'!E4</f>
        <v>0</v>
      </c>
      <c r="F4" s="159">
        <f>+'Tuition-2Yr'!F4+'State Appropriations-2Yr'!F4+'Local Appropriations-2Yr'!F4+'Fed Contracts Grnts-2Yr'!F4+'Other Contracts Grnts-2Yr'!F4+'Investment Income-2Yr'!F4+'All Other E&amp;G-2Yr'!F4</f>
        <v>0</v>
      </c>
      <c r="G4" s="159">
        <f>+'Tuition-2Yr'!G4+'State Appropriations-2Yr'!G4+'Local Appropriations-2Yr'!G4+'Fed Contracts Grnts-2Yr'!G4+'Other Contracts Grnts-2Yr'!G4+'Investment Income-2Yr'!G4+'All Other E&amp;G-2Yr'!G4</f>
        <v>0</v>
      </c>
      <c r="H4" s="159">
        <f>+'Tuition-2Yr'!H4+'State Appropriations-2Yr'!H4+'Local Appropriations-2Yr'!H4+'Fed Contracts Grnts-2Yr'!H4+'Other Contracts Grnts-2Yr'!H4+'Investment Income-2Yr'!H4+'All Other E&amp;G-2Yr'!H4</f>
        <v>0</v>
      </c>
      <c r="I4" s="159">
        <f>+'Tuition-2Yr'!I4+'State Appropriations-2Yr'!I4+'Local Appropriations-2Yr'!I4+'Fed Contracts Grnts-2Yr'!I4+'Other Contracts Grnts-2Yr'!I4+'Investment Income-2Yr'!I4+'All Other E&amp;G-2Yr'!I4</f>
        <v>16631086.160999998</v>
      </c>
      <c r="J4" s="159">
        <f>+'Tuition-2Yr'!J4+'State Appropriations-2Yr'!J4+'Local Appropriations-2Yr'!J4+'Fed Contracts Grnts-2Yr'!J4+'Other Contracts Grnts-2Yr'!J4+'Investment Income-2Yr'!J4+'All Other E&amp;G-2Yr'!J4</f>
        <v>17597888.829</v>
      </c>
      <c r="K4" s="159">
        <f>+'Tuition-2Yr'!K4+'State Appropriations-2Yr'!K4+'Local Appropriations-2Yr'!K4+'Fed Contracts Grnts-2Yr'!K4+'Other Contracts Grnts-2Yr'!K4+'Investment Income-2Yr'!K4+'All Other E&amp;G-2Yr'!K4</f>
        <v>19258908.179666668</v>
      </c>
      <c r="L4" s="159">
        <f>+'Tuition-2Yr'!L4+'State Appropriations-2Yr'!L4+'Local Appropriations-2Yr'!L4+'Fed Contracts Grnts-2Yr'!L4+'Other Contracts Grnts-2Yr'!L4+'Investment Income-2Yr'!L4+'All Other E&amp;G-2Yr'!L4</f>
        <v>20323146.969333332</v>
      </c>
      <c r="M4" s="159">
        <f>+'Tuition-2Yr'!M4+'State Appropriations-2Yr'!M4+'Local Appropriations-2Yr'!M4+'Fed Contracts Grnts-2Yr'!M4+'Other Contracts Grnts-2Yr'!M4+'Investment Income-2Yr'!M4+'All Other E&amp;G-2Yr'!M4</f>
        <v>20525660.449000001</v>
      </c>
      <c r="N4" s="159">
        <f>+'Tuition-2Yr'!N4+'State Appropriations-2Yr'!N4+'Local Appropriations-2Yr'!N4+'Fed Contracts Grnts-2Yr'!N4+'Other Contracts Grnts-2Yr'!N4+'Investment Income-2Yr'!N4+'All Other E&amp;G-2Yr'!N4</f>
        <v>23636604.783305001</v>
      </c>
      <c r="O4" s="159">
        <f>+'Tuition-2Yr'!O4+'State Appropriations-2Yr'!O4+'Local Appropriations-2Yr'!O4+'Fed Contracts Grnts-2Yr'!O4+'Other Contracts Grnts-2Yr'!O4+'Investment Income-2Yr'!O4+'All Other E&amp;G-2Yr'!O4</f>
        <v>23683188.14232</v>
      </c>
      <c r="P4" s="159">
        <f>+'Tuition-2Yr'!P4+'State Appropriations-2Yr'!P4+'Local Appropriations-2Yr'!P4+'Fed Contracts Grnts-2Yr'!P4+'Other Contracts Grnts-2Yr'!P4+'Investment Income-2Yr'!P4+'All Other E&amp;G-2Yr'!P4</f>
        <v>0</v>
      </c>
      <c r="Q4" s="159">
        <f>+'Tuition-2Yr'!Q4+'State Appropriations-2Yr'!Q4+'Local Appropriations-2Yr'!Q4+'Fed Contracts Grnts-2Yr'!Q4+'Other Contracts Grnts-2Yr'!Q4+'Investment Income-2Yr'!Q4+'All Other E&amp;G-2Yr'!Q4</f>
        <v>0</v>
      </c>
      <c r="R4" s="159">
        <f>+'Tuition-2Yr'!R4+'State Appropriations-2Yr'!R4+'Local Appropriations-2Yr'!R4+'Fed Contracts Grnts-2Yr'!R4+'Other Contracts Grnts-2Yr'!R4+'Investment Income-2Yr'!R4+'All Other E&amp;G-2Yr'!R4</f>
        <v>26617343.835999999</v>
      </c>
      <c r="S4" s="159">
        <f>+'Tuition-2Yr'!S4+'State Appropriations-2Yr'!S4+'Local Appropriations-2Yr'!S4+'Fed Contracts Grnts-2Yr'!S4+'Other Contracts Grnts-2Yr'!S4+'Investment Income-2Yr'!S4+'All Other E&amp;G-2Yr'!S4</f>
        <v>30065549.865000002</v>
      </c>
      <c r="T4" s="159">
        <f>+'Tuition-2Yr'!T4+'State Appropriations-2Yr'!T4+'Local Appropriations-2Yr'!T4+'Fed Contracts Grnts-2Yr'!T4+'Other Contracts Grnts-2Yr'!T4+'Investment Income-2Yr'!T4+'All Other E&amp;G-2Yr'!T4</f>
        <v>31322095.756000005</v>
      </c>
      <c r="U4" s="159">
        <f>+'Tuition-2Yr'!U4+'State Appropriations-2Yr'!U4+'Local Appropriations-2Yr'!U4+'Fed Contracts Grnts-2Yr'!U4+'Other Contracts Grnts-2Yr'!U4+'Investment Income-2Yr'!U4+'All Other E&amp;G-2Yr'!U4</f>
        <v>31173348.503000006</v>
      </c>
      <c r="V4" s="159">
        <f>+'Tuition-2Yr'!V4+'State Appropriations-2Yr'!V4+'Local Appropriations-2Yr'!V4+'Fed Contracts Grnts-2Yr'!V4+'Other Contracts Grnts-2Yr'!V4+'Investment Income-2Yr'!V4+'All Other E&amp;G-2Yr'!V4</f>
        <v>32446075.345999997</v>
      </c>
      <c r="W4" s="159">
        <f>+'Tuition-2Yr'!W4+'State Appropriations-2Yr'!W4+'Local Appropriations-2Yr'!W4+'Fed Contracts Grnts-2Yr'!W4+'Other Contracts Grnts-2Yr'!W4+'Investment Income-2Yr'!W4+'All Other E&amp;G-2Yr'!W4</f>
        <v>38571126.587000005</v>
      </c>
      <c r="X4" s="159">
        <f>+'Tuition-2Yr'!X4+'State Appropriations-2Yr'!X4+'Local Appropriations-2Yr'!X4+'Fed Contracts Grnts-2Yr'!X4+'Other Contracts Grnts-2Yr'!X4+'Investment Income-2Yr'!X4+'All Other E&amp;G-2Yr'!X4</f>
        <v>38247350.699000001</v>
      </c>
      <c r="Y4" s="159">
        <f>+'Tuition-2Yr'!Y4+'State Appropriations-2Yr'!Y4+'Local Appropriations-2Yr'!Y4+'Fed Contracts Grnts-2Yr'!Y4+'Other Contracts Grnts-2Yr'!Y4+'Investment Income-2Yr'!Y4+'All Other E&amp;G-2Yr'!Y4</f>
        <v>40985186.969999999</v>
      </c>
      <c r="Z4" s="159">
        <f>+'Tuition-2Yr'!Z4+'State Appropriations-2Yr'!Z4+'Local Appropriations-2Yr'!Z4+'Fed Contracts Grnts-2Yr'!Z4+'Other Contracts Grnts-2Yr'!Z4+'Investment Income-2Yr'!Z4+'All Other E&amp;G-2Yr'!Z4</f>
        <v>44227040.221999995</v>
      </c>
      <c r="AA4" s="159">
        <f>+'Tuition-2Yr'!AA4+'State Appropriations-2Yr'!AA4+'Local Appropriations-2Yr'!AA4+'Fed Contracts Grnts-2Yr'!AA4+'Other Contracts Grnts-2Yr'!AA4+'Investment Income-2Yr'!AA4+'All Other E&amp;G-2Yr'!AA4</f>
        <v>50856952.14199999</v>
      </c>
      <c r="AB4" s="159">
        <f>+'Tuition-2Yr'!AB4+'State Appropriations-2Yr'!AB4+'Local Appropriations-2Yr'!AB4+'Fed Contracts Grnts-2Yr'!AB4+'Other Contracts Grnts-2Yr'!AB4+'Investment Income-2Yr'!AB4+'All Other E&amp;G-2Yr'!AB4</f>
        <v>58413031.428999998</v>
      </c>
      <c r="AC4" s="159">
        <f>+'Tuition-2Yr'!AC4+'State Appropriations-2Yr'!AC4+'Local Appropriations-2Yr'!AC4+'Fed Contracts Grnts-2Yr'!AC4+'Other Contracts Grnts-2Yr'!AC4+'Investment Income-2Yr'!AC4+'All Other E&amp;G-2Yr'!AC4</f>
        <v>63181509</v>
      </c>
      <c r="AD4" s="159">
        <f>+'Tuition-2Yr'!AD4+'State Appropriations-2Yr'!AD4+'Local Appropriations-2Yr'!AD4+'Fed Contracts Grnts-2Yr'!AD4+'Other Contracts Grnts-2Yr'!AD4+'Investment Income-2Yr'!AD4+'All Other E&amp;G-2Yr'!AD4</f>
        <v>62158598.019000001</v>
      </c>
      <c r="AE4" s="159">
        <f>+'Tuition-2Yr'!AE4+'State Appropriations-2Yr'!AE4+'Local Appropriations-2Yr'!AE4+'Fed Contracts Grnts-2Yr'!AE4+'Other Contracts Grnts-2Yr'!AE4+'Investment Income-2Yr'!AE4+'All Other E&amp;G-2Yr'!AE4</f>
        <v>62344623.631999999</v>
      </c>
      <c r="AF4" s="159">
        <f>+'Tuition-2Yr'!AF4+'State Appropriations-2Yr'!AF4+'Local Appropriations-2Yr'!AF4+'Fed Contracts Grnts-2Yr'!AF4+'Other Contracts Grnts-2Yr'!AF4+'Investment Income-2Yr'!AF4+'All Other E&amp;G-2Yr'!AF4</f>
        <v>53742881.866000004</v>
      </c>
      <c r="AG4" s="159">
        <f>+'Tuition-2Yr'!AG4+'State Appropriations-2Yr'!AG4+'Local Appropriations-2Yr'!AG4+'Fed Contracts Grnts-2Yr'!AG4+'Other Contracts Grnts-2Yr'!AG4+'Investment Income-2Yr'!AG4+'All Other E&amp;G-2Yr'!AG4</f>
        <v>54073284.435000002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c r="HC4" s="12"/>
      <c r="HD4" s="12"/>
      <c r="HE4" s="12"/>
      <c r="HF4" s="12"/>
    </row>
    <row r="5" spans="1:214" ht="12.75" customHeight="1">
      <c r="A5" s="14" t="s">
        <v>61</v>
      </c>
      <c r="B5" s="160">
        <f>+'Tuition-2Yr'!B5+'State Appropriations-2Yr'!B5+'Local Appropriations-2Yr'!B5+'Fed Contracts Grnts-2Yr'!B5+'Other Contracts Grnts-2Yr'!B5+'Investment Income-2Yr'!B5+'All Other E&amp;G-2Yr'!B5</f>
        <v>2767877</v>
      </c>
      <c r="C5" s="160">
        <f>+'Tuition-2Yr'!C5+'State Appropriations-2Yr'!C5+'Local Appropriations-2Yr'!C5+'Fed Contracts Grnts-2Yr'!C5+'Other Contracts Grnts-2Yr'!C5+'Investment Income-2Yr'!C5+'All Other E&amp;G-2Yr'!C5</f>
        <v>3037055</v>
      </c>
      <c r="D5" s="160">
        <f>+'Tuition-2Yr'!D5+'State Appropriations-2Yr'!D5+'Local Appropriations-2Yr'!D5+'Fed Contracts Grnts-2Yr'!D5+'Other Contracts Grnts-2Yr'!D5+'Investment Income-2Yr'!D5+'All Other E&amp;G-2Yr'!D5</f>
        <v>3273127</v>
      </c>
      <c r="E5" s="160">
        <f>+'Tuition-2Yr'!E5+'State Appropriations-2Yr'!E5+'Local Appropriations-2Yr'!E5+'Fed Contracts Grnts-2Yr'!E5+'Other Contracts Grnts-2Yr'!E5+'Investment Income-2Yr'!E5+'All Other E&amp;G-2Yr'!E5</f>
        <v>0</v>
      </c>
      <c r="F5" s="160">
        <f>+'Tuition-2Yr'!F5+'State Appropriations-2Yr'!F5+'Local Appropriations-2Yr'!F5+'Fed Contracts Grnts-2Yr'!F5+'Other Contracts Grnts-2Yr'!F5+'Investment Income-2Yr'!F5+'All Other E&amp;G-2Yr'!F5</f>
        <v>0</v>
      </c>
      <c r="G5" s="160">
        <f>+'Tuition-2Yr'!G5+'State Appropriations-2Yr'!G5+'Local Appropriations-2Yr'!G5+'Fed Contracts Grnts-2Yr'!G5+'Other Contracts Grnts-2Yr'!G5+'Investment Income-2Yr'!G5+'All Other E&amp;G-2Yr'!G5</f>
        <v>0</v>
      </c>
      <c r="H5" s="160">
        <f>+'Tuition-2Yr'!H5+'State Appropriations-2Yr'!H5+'Local Appropriations-2Yr'!H5+'Fed Contracts Grnts-2Yr'!H5+'Other Contracts Grnts-2Yr'!H5+'Investment Income-2Yr'!H5+'All Other E&amp;G-2Yr'!H5</f>
        <v>0</v>
      </c>
      <c r="I5" s="160">
        <f>+'Tuition-2Yr'!I5+'State Appropriations-2Yr'!I5+'Local Appropriations-2Yr'!I5+'Fed Contracts Grnts-2Yr'!I5+'Other Contracts Grnts-2Yr'!I5+'Investment Income-2Yr'!I5+'All Other E&amp;G-2Yr'!I5</f>
        <v>5007105.7480000006</v>
      </c>
      <c r="J5" s="160">
        <f>+'Tuition-2Yr'!J5+'State Appropriations-2Yr'!J5+'Local Appropriations-2Yr'!J5+'Fed Contracts Grnts-2Yr'!J5+'Other Contracts Grnts-2Yr'!J5+'Investment Income-2Yr'!J5+'All Other E&amp;G-2Yr'!J5</f>
        <v>5324488.1989999991</v>
      </c>
      <c r="K5" s="160">
        <f>+'Tuition-2Yr'!K5+'State Appropriations-2Yr'!K5+'Local Appropriations-2Yr'!K5+'Fed Contracts Grnts-2Yr'!K5+'Other Contracts Grnts-2Yr'!K5+'Investment Income-2Yr'!K5+'All Other E&amp;G-2Yr'!K5</f>
        <v>5834672.4709999999</v>
      </c>
      <c r="L5" s="160">
        <f>+'Tuition-2Yr'!L5+'State Appropriations-2Yr'!L5+'Local Appropriations-2Yr'!L5+'Fed Contracts Grnts-2Yr'!L5+'Other Contracts Grnts-2Yr'!L5+'Investment Income-2Yr'!L5+'All Other E&amp;G-2Yr'!L5</f>
        <v>6298374.7659999998</v>
      </c>
      <c r="M5" s="160">
        <f>+'Tuition-2Yr'!M5+'State Appropriations-2Yr'!M5+'Local Appropriations-2Yr'!M5+'Fed Contracts Grnts-2Yr'!M5+'Other Contracts Grnts-2Yr'!M5+'Investment Income-2Yr'!M5+'All Other E&amp;G-2Yr'!M5</f>
        <v>6527582.9309999989</v>
      </c>
      <c r="N5" s="160">
        <f>+'Tuition-2Yr'!N5+'State Appropriations-2Yr'!N5+'Local Appropriations-2Yr'!N5+'Fed Contracts Grnts-2Yr'!N5+'Other Contracts Grnts-2Yr'!N5+'Investment Income-2Yr'!N5+'All Other E&amp;G-2Yr'!N5</f>
        <v>6967584.5180000011</v>
      </c>
      <c r="O5" s="160">
        <f>+'Tuition-2Yr'!O5+'State Appropriations-2Yr'!O5+'Local Appropriations-2Yr'!O5+'Fed Contracts Grnts-2Yr'!O5+'Other Contracts Grnts-2Yr'!O5+'Investment Income-2Yr'!O5+'All Other E&amp;G-2Yr'!O5</f>
        <v>7344980.3687100001</v>
      </c>
      <c r="P5" s="160">
        <f>+'Tuition-2Yr'!P5+'State Appropriations-2Yr'!P5+'Local Appropriations-2Yr'!P5+'Fed Contracts Grnts-2Yr'!P5+'Other Contracts Grnts-2Yr'!P5+'Investment Income-2Yr'!P5+'All Other E&amp;G-2Yr'!P5</f>
        <v>0</v>
      </c>
      <c r="Q5" s="160">
        <f>+'Tuition-2Yr'!Q5+'State Appropriations-2Yr'!Q5+'Local Appropriations-2Yr'!Q5+'Fed Contracts Grnts-2Yr'!Q5+'Other Contracts Grnts-2Yr'!Q5+'Investment Income-2Yr'!Q5+'All Other E&amp;G-2Yr'!Q5</f>
        <v>0</v>
      </c>
      <c r="R5" s="160">
        <f>+'Tuition-2Yr'!R5+'State Appropriations-2Yr'!R5+'Local Appropriations-2Yr'!R5+'Fed Contracts Grnts-2Yr'!R5+'Other Contracts Grnts-2Yr'!R5+'Investment Income-2Yr'!R5+'All Other E&amp;G-2Yr'!R5</f>
        <v>9225692.879999999</v>
      </c>
      <c r="S5" s="160">
        <f>+'Tuition-2Yr'!S5+'State Appropriations-2Yr'!S5+'Local Appropriations-2Yr'!S5+'Fed Contracts Grnts-2Yr'!S5+'Other Contracts Grnts-2Yr'!S5+'Investment Income-2Yr'!S5+'All Other E&amp;G-2Yr'!S5</f>
        <v>10378305.832000002</v>
      </c>
      <c r="T5" s="160">
        <f>+'Tuition-2Yr'!T5+'State Appropriations-2Yr'!T5+'Local Appropriations-2Yr'!T5+'Fed Contracts Grnts-2Yr'!T5+'Other Contracts Grnts-2Yr'!T5+'Investment Income-2Yr'!T5+'All Other E&amp;G-2Yr'!T5</f>
        <v>10522965.968999999</v>
      </c>
      <c r="U5" s="160">
        <f>+'Tuition-2Yr'!U5+'State Appropriations-2Yr'!U5+'Local Appropriations-2Yr'!U5+'Fed Contracts Grnts-2Yr'!U5+'Other Contracts Grnts-2Yr'!U5+'Investment Income-2Yr'!U5+'All Other E&amp;G-2Yr'!U5</f>
        <v>10338962.653000001</v>
      </c>
      <c r="V5" s="160">
        <f>+'Tuition-2Yr'!V5+'State Appropriations-2Yr'!V5+'Local Appropriations-2Yr'!V5+'Fed Contracts Grnts-2Yr'!V5+'Other Contracts Grnts-2Yr'!V5+'Investment Income-2Yr'!V5+'All Other E&amp;G-2Yr'!V5</f>
        <v>10614681.744999999</v>
      </c>
      <c r="W5" s="160">
        <f>+'Tuition-2Yr'!W5+'State Appropriations-2Yr'!W5+'Local Appropriations-2Yr'!W5+'Fed Contracts Grnts-2Yr'!W5+'Other Contracts Grnts-2Yr'!W5+'Investment Income-2Yr'!W5+'All Other E&amp;G-2Yr'!W5</f>
        <v>12513385.175999999</v>
      </c>
      <c r="X5" s="160">
        <f>+'Tuition-2Yr'!X5+'State Appropriations-2Yr'!X5+'Local Appropriations-2Yr'!X5+'Fed Contracts Grnts-2Yr'!X5+'Other Contracts Grnts-2Yr'!X5+'Investment Income-2Yr'!X5+'All Other E&amp;G-2Yr'!X5</f>
        <v>12287187.232999999</v>
      </c>
      <c r="Y5" s="160">
        <f>+'Tuition-2Yr'!Y5+'State Appropriations-2Yr'!Y5+'Local Appropriations-2Yr'!Y5+'Fed Contracts Grnts-2Yr'!Y5+'Other Contracts Grnts-2Yr'!Y5+'Investment Income-2Yr'!Y5+'All Other E&amp;G-2Yr'!Y5</f>
        <v>13500421.553999998</v>
      </c>
      <c r="Z5" s="160">
        <f>+'Tuition-2Yr'!Z5+'State Appropriations-2Yr'!Z5+'Local Appropriations-2Yr'!Z5+'Fed Contracts Grnts-2Yr'!Z5+'Other Contracts Grnts-2Yr'!Z5+'Investment Income-2Yr'!Z5+'All Other E&amp;G-2Yr'!Z5</f>
        <v>14649474.143999999</v>
      </c>
      <c r="AA5" s="160">
        <f>+'Tuition-2Yr'!AA5+'State Appropriations-2Yr'!AA5+'Local Appropriations-2Yr'!AA5+'Fed Contracts Grnts-2Yr'!AA5+'Other Contracts Grnts-2Yr'!AA5+'Investment Income-2Yr'!AA5+'All Other E&amp;G-2Yr'!AA5</f>
        <v>16563797.162</v>
      </c>
      <c r="AB5" s="160">
        <f>+'Tuition-2Yr'!AB5+'State Appropriations-2Yr'!AB5+'Local Appropriations-2Yr'!AB5+'Fed Contracts Grnts-2Yr'!AB5+'Other Contracts Grnts-2Yr'!AB5+'Investment Income-2Yr'!AB5+'All Other E&amp;G-2Yr'!AB5</f>
        <v>20460481.280999999</v>
      </c>
      <c r="AC5" s="160">
        <f>+'Tuition-2Yr'!AC5+'State Appropriations-2Yr'!AC5+'Local Appropriations-2Yr'!AC5+'Fed Contracts Grnts-2Yr'!AC5+'Other Contracts Grnts-2Yr'!AC5+'Investment Income-2Yr'!AC5+'All Other E&amp;G-2Yr'!AC5</f>
        <v>22180191</v>
      </c>
      <c r="AD5" s="160">
        <f>+'Tuition-2Yr'!AD5+'State Appropriations-2Yr'!AD5+'Local Appropriations-2Yr'!AD5+'Fed Contracts Grnts-2Yr'!AD5+'Other Contracts Grnts-2Yr'!AD5+'Investment Income-2Yr'!AD5+'All Other E&amp;G-2Yr'!AD5</f>
        <v>21984982.814000007</v>
      </c>
      <c r="AE5" s="160">
        <f>+'Tuition-2Yr'!AE5+'State Appropriations-2Yr'!AE5+'Local Appropriations-2Yr'!AE5+'Fed Contracts Grnts-2Yr'!AE5+'Other Contracts Grnts-2Yr'!AE5+'Investment Income-2Yr'!AE5+'All Other E&amp;G-2Yr'!AE5</f>
        <v>21588192.445999999</v>
      </c>
      <c r="AF5" s="160">
        <f>+'Tuition-2Yr'!AF5+'State Appropriations-2Yr'!AF5+'Local Appropriations-2Yr'!AF5+'Fed Contracts Grnts-2Yr'!AF5+'Other Contracts Grnts-2Yr'!AF5+'Investment Income-2Yr'!AF5+'All Other E&amp;G-2Yr'!AF5</f>
        <v>20633276.966000002</v>
      </c>
      <c r="AG5" s="160">
        <f>+'Tuition-2Yr'!AG5+'State Appropriations-2Yr'!AG5+'Local Appropriations-2Yr'!AG5+'Fed Contracts Grnts-2Yr'!AG5+'Other Contracts Grnts-2Yr'!AG5+'Investment Income-2Yr'!AG5+'All Other E&amp;G-2Yr'!AG5</f>
        <v>20688347.111000001</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c r="HC5" s="12"/>
      <c r="HD5" s="12"/>
      <c r="HE5" s="12"/>
      <c r="HF5" s="12"/>
    </row>
    <row r="6" spans="1:214" ht="12.75" customHeight="1">
      <c r="A6" s="84" t="s">
        <v>143</v>
      </c>
      <c r="B6" s="161">
        <f>+'Tuition-2Yr'!B6+'State Appropriations-2Yr'!B6+'Local Appropriations-2Yr'!B6+'Fed Contracts Grnts-2Yr'!B6+'Other Contracts Grnts-2Yr'!B6+'Investment Income-2Yr'!B6+'All Other E&amp;G-2Yr'!B6</f>
        <v>0</v>
      </c>
      <c r="C6" s="161">
        <f>+'Tuition-2Yr'!C6+'State Appropriations-2Yr'!C6+'Local Appropriations-2Yr'!C6+'Fed Contracts Grnts-2Yr'!C6+'Other Contracts Grnts-2Yr'!C6+'Investment Income-2Yr'!C6+'All Other E&amp;G-2Yr'!C6</f>
        <v>0</v>
      </c>
      <c r="D6" s="161">
        <f>+'Tuition-2Yr'!D6+'State Appropriations-2Yr'!D6+'Local Appropriations-2Yr'!D6+'Fed Contracts Grnts-2Yr'!D6+'Other Contracts Grnts-2Yr'!D6+'Investment Income-2Yr'!D6+'All Other E&amp;G-2Yr'!D6</f>
        <v>0</v>
      </c>
      <c r="E6" s="161">
        <f>+'Tuition-2Yr'!E6+'State Appropriations-2Yr'!E6+'Local Appropriations-2Yr'!E6+'Fed Contracts Grnts-2Yr'!E6+'Other Contracts Grnts-2Yr'!E6+'Investment Income-2Yr'!E6+'All Other E&amp;G-2Yr'!E6</f>
        <v>0</v>
      </c>
      <c r="F6" s="161">
        <f>+'Tuition-2Yr'!F6+'State Appropriations-2Yr'!F6+'Local Appropriations-2Yr'!F6+'Fed Contracts Grnts-2Yr'!F6+'Other Contracts Grnts-2Yr'!F6+'Investment Income-2Yr'!F6+'All Other E&amp;G-2Yr'!F6</f>
        <v>0</v>
      </c>
      <c r="G6" s="161">
        <f>+'Tuition-2Yr'!G6+'State Appropriations-2Yr'!G6+'Local Appropriations-2Yr'!G6+'Fed Contracts Grnts-2Yr'!G6+'Other Contracts Grnts-2Yr'!G6+'Investment Income-2Yr'!G6+'All Other E&amp;G-2Yr'!G6</f>
        <v>0</v>
      </c>
      <c r="H6" s="161">
        <f>+'Tuition-2Yr'!H6+'State Appropriations-2Yr'!H6+'Local Appropriations-2Yr'!H6+'Fed Contracts Grnts-2Yr'!H6+'Other Contracts Grnts-2Yr'!H6+'Investment Income-2Yr'!H6+'All Other E&amp;G-2Yr'!H6</f>
        <v>0</v>
      </c>
      <c r="I6" s="161">
        <f>+'Tuition-2Yr'!I6+'State Appropriations-2Yr'!I6+'Local Appropriations-2Yr'!I6+'Fed Contracts Grnts-2Yr'!I6+'Other Contracts Grnts-2Yr'!I6+'Investment Income-2Yr'!I6+'All Other E&amp;G-2Yr'!I6</f>
        <v>0</v>
      </c>
      <c r="J6" s="161">
        <f>+'Tuition-2Yr'!J6+'State Appropriations-2Yr'!J6+'Local Appropriations-2Yr'!J6+'Fed Contracts Grnts-2Yr'!J6+'Other Contracts Grnts-2Yr'!J6+'Investment Income-2Yr'!J6+'All Other E&amp;G-2Yr'!J6</f>
        <v>0</v>
      </c>
      <c r="K6" s="161">
        <f>+'Tuition-2Yr'!K6+'State Appropriations-2Yr'!K6+'Local Appropriations-2Yr'!K6+'Fed Contracts Grnts-2Yr'!K6+'Other Contracts Grnts-2Yr'!K6+'Investment Income-2Yr'!K6+'All Other E&amp;G-2Yr'!K6</f>
        <v>0</v>
      </c>
      <c r="L6" s="161">
        <f>+'Tuition-2Yr'!L6+'State Appropriations-2Yr'!L6+'Local Appropriations-2Yr'!L6+'Fed Contracts Grnts-2Yr'!L6+'Other Contracts Grnts-2Yr'!L6+'Investment Income-2Yr'!L6+'All Other E&amp;G-2Yr'!L6</f>
        <v>0</v>
      </c>
      <c r="M6" s="161">
        <f>+'Tuition-2Yr'!M6+'State Appropriations-2Yr'!M6+'Local Appropriations-2Yr'!M6+'Fed Contracts Grnts-2Yr'!M6+'Other Contracts Grnts-2Yr'!M6+'Investment Income-2Yr'!M6+'All Other E&amp;G-2Yr'!M6</f>
        <v>0</v>
      </c>
      <c r="N6" s="161">
        <f>+'Tuition-2Yr'!N6+'State Appropriations-2Yr'!N6+'Local Appropriations-2Yr'!N6+'Fed Contracts Grnts-2Yr'!N6+'Other Contracts Grnts-2Yr'!N6+'Investment Income-2Yr'!N6+'All Other E&amp;G-2Yr'!N6</f>
        <v>0</v>
      </c>
      <c r="O6" s="161">
        <f>+'Tuition-2Yr'!O6+'State Appropriations-2Yr'!O6+'Local Appropriations-2Yr'!O6+'Fed Contracts Grnts-2Yr'!O6+'Other Contracts Grnts-2Yr'!O6+'Investment Income-2Yr'!O6+'All Other E&amp;G-2Yr'!O6</f>
        <v>0</v>
      </c>
      <c r="P6" s="161">
        <f>+'Tuition-2Yr'!P6+'State Appropriations-2Yr'!P6+'Local Appropriations-2Yr'!P6+'Fed Contracts Grnts-2Yr'!P6+'Other Contracts Grnts-2Yr'!P6+'Investment Income-2Yr'!P6+'All Other E&amp;G-2Yr'!P6</f>
        <v>0</v>
      </c>
      <c r="Q6" s="161">
        <f>+'Tuition-2Yr'!Q6+'State Appropriations-2Yr'!Q6+'Local Appropriations-2Yr'!Q6+'Fed Contracts Grnts-2Yr'!Q6+'Other Contracts Grnts-2Yr'!Q6+'Investment Income-2Yr'!Q6+'All Other E&amp;G-2Yr'!Q6</f>
        <v>0</v>
      </c>
      <c r="R6" s="161">
        <f>+'Tuition-2Yr'!R6+'State Appropriations-2Yr'!R6+'Local Appropriations-2Yr'!R6+'Fed Contracts Grnts-2Yr'!R6+'Other Contracts Grnts-2Yr'!R6+'Investment Income-2Yr'!R6+'All Other E&amp;G-2Yr'!R6</f>
        <v>0</v>
      </c>
      <c r="S6" s="161">
        <f>+'Tuition-2Yr'!S6+'State Appropriations-2Yr'!S6+'Local Appropriations-2Yr'!S6+'Fed Contracts Grnts-2Yr'!S6+'Other Contracts Grnts-2Yr'!S6+'Investment Income-2Yr'!S6+'All Other E&amp;G-2Yr'!S6</f>
        <v>0</v>
      </c>
      <c r="T6" s="161">
        <f>+'Tuition-2Yr'!T6+'State Appropriations-2Yr'!T6+'Local Appropriations-2Yr'!T6+'Fed Contracts Grnts-2Yr'!T6+'Other Contracts Grnts-2Yr'!T6+'Investment Income-2Yr'!T6+'All Other E&amp;G-2Yr'!T6</f>
        <v>0</v>
      </c>
      <c r="U6" s="161">
        <f>+'Tuition-2Yr'!U6+'State Appropriations-2Yr'!U6+'Local Appropriations-2Yr'!U6+'Fed Contracts Grnts-2Yr'!U6+'Other Contracts Grnts-2Yr'!U6+'Investment Income-2Yr'!U6+'All Other E&amp;G-2Yr'!U6</f>
        <v>0</v>
      </c>
      <c r="V6" s="161">
        <f>+'Tuition-2Yr'!V6+'State Appropriations-2Yr'!V6+'Local Appropriations-2Yr'!V6+'Fed Contracts Grnts-2Yr'!V6+'Other Contracts Grnts-2Yr'!V6+'Investment Income-2Yr'!V6+'All Other E&amp;G-2Yr'!V6</f>
        <v>0</v>
      </c>
      <c r="W6" s="161">
        <f>+'Tuition-2Yr'!W6+'State Appropriations-2Yr'!W6+'Local Appropriations-2Yr'!W6+'Fed Contracts Grnts-2Yr'!W6+'Other Contracts Grnts-2Yr'!W6+'Investment Income-2Yr'!W6+'All Other E&amp;G-2Yr'!W6</f>
        <v>0</v>
      </c>
      <c r="X6" s="161">
        <f>+'Tuition-2Yr'!X6+'State Appropriations-2Yr'!X6+'Local Appropriations-2Yr'!X6+'Fed Contracts Grnts-2Yr'!X6+'Other Contracts Grnts-2Yr'!X6+'Investment Income-2Yr'!X6+'All Other E&amp;G-2Yr'!X6</f>
        <v>0</v>
      </c>
      <c r="Y6" s="161">
        <f>+'Tuition-2Yr'!Y6+'State Appropriations-2Yr'!Y6+'Local Appropriations-2Yr'!Y6+'Fed Contracts Grnts-2Yr'!Y6+'Other Contracts Grnts-2Yr'!Y6+'Investment Income-2Yr'!Y6+'All Other E&amp;G-2Yr'!Y6</f>
        <v>0</v>
      </c>
      <c r="Z6" s="161">
        <f>+'Tuition-2Yr'!Z6+'State Appropriations-2Yr'!Z6+'Local Appropriations-2Yr'!Z6+'Fed Contracts Grnts-2Yr'!Z6+'Other Contracts Grnts-2Yr'!Z6+'Investment Income-2Yr'!Z6+'All Other E&amp;G-2Yr'!Z6</f>
        <v>0</v>
      </c>
      <c r="AA6" s="161">
        <f>+'Tuition-2Yr'!AA6+'State Appropriations-2Yr'!AA6+'Local Appropriations-2Yr'!AA6+'Fed Contracts Grnts-2Yr'!AA6+'Other Contracts Grnts-2Yr'!AA6+'Investment Income-2Yr'!AA6+'All Other E&amp;G-2Yr'!AA6</f>
        <v>0</v>
      </c>
      <c r="AB6" s="161">
        <f>+'Tuition-2Yr'!AB6+'State Appropriations-2Yr'!AB6+'Local Appropriations-2Yr'!AB6+'Fed Contracts Grnts-2Yr'!AB6+'Other Contracts Grnts-2Yr'!AB6+'Investment Income-2Yr'!AB6+'All Other E&amp;G-2Yr'!AB6</f>
        <v>0</v>
      </c>
      <c r="AC6" s="161">
        <f>+'Tuition-2Yr'!AC6+'State Appropriations-2Yr'!AC6+'Local Appropriations-2Yr'!AC6+'Fed Contracts Grnts-2Yr'!AC6+'Other Contracts Grnts-2Yr'!AC6+'Investment Income-2Yr'!AC6+'All Other E&amp;G-2Yr'!AC6</f>
        <v>0</v>
      </c>
      <c r="AD6" s="161">
        <f>+'Tuition-2Yr'!AD6+'State Appropriations-2Yr'!AD6+'Local Appropriations-2Yr'!AD6+'Fed Contracts Grnts-2Yr'!AD6+'Other Contracts Grnts-2Yr'!AD6+'Investment Income-2Yr'!AD6+'All Other E&amp;G-2Yr'!AD6</f>
        <v>0</v>
      </c>
      <c r="AE6" s="161">
        <f>+'Tuition-2Yr'!AE6+'State Appropriations-2Yr'!AE6+'Local Appropriations-2Yr'!AE6+'Fed Contracts Grnts-2Yr'!AE6+'Other Contracts Grnts-2Yr'!AE6+'Investment Income-2Yr'!AE6+'All Other E&amp;G-2Yr'!AE6</f>
        <v>0</v>
      </c>
      <c r="AF6" s="161">
        <f>+'Tuition-2Yr'!AF6+'State Appropriations-2Yr'!AF6+'Local Appropriations-2Yr'!AF6+'Fed Contracts Grnts-2Yr'!AF6+'Other Contracts Grnts-2Yr'!AF6+'Investment Income-2Yr'!AF6+'All Other E&amp;G-2Yr'!AF6</f>
        <v>0</v>
      </c>
      <c r="AG6" s="161">
        <f>+'Tuition-2Yr'!AG6+'State Appropriations-2Yr'!AG6+'Local Appropriations-2Yr'!AG6+'Fed Contracts Grnts-2Yr'!AG6+'Other Contracts Grnts-2Yr'!AG6+'Investment Income-2Yr'!AG6+'All Other E&amp;G-2Yr'!AG6</f>
        <v>0</v>
      </c>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c r="HC6" s="12"/>
      <c r="HD6" s="12"/>
      <c r="HE6" s="12"/>
      <c r="HF6" s="12"/>
    </row>
    <row r="7" spans="1:214" ht="12.75" customHeight="1">
      <c r="A7" s="14" t="s">
        <v>1</v>
      </c>
      <c r="B7" s="160">
        <f>+'Tuition-2Yr'!B7+'State Appropriations-2Yr'!B7+'Local Appropriations-2Yr'!B7+'Fed Contracts Grnts-2Yr'!B7+'Other Contracts Grnts-2Yr'!B7+'Investment Income-2Yr'!B7+'All Other E&amp;G-2Yr'!B7</f>
        <v>103463</v>
      </c>
      <c r="C7" s="160">
        <f>+'Tuition-2Yr'!C7+'State Appropriations-2Yr'!C7+'Local Appropriations-2Yr'!C7+'Fed Contracts Grnts-2Yr'!C7+'Other Contracts Grnts-2Yr'!C7+'Investment Income-2Yr'!C7+'All Other E&amp;G-2Yr'!C7</f>
        <v>154527</v>
      </c>
      <c r="D7" s="160">
        <f>+'Tuition-2Yr'!D7+'State Appropriations-2Yr'!D7+'Local Appropriations-2Yr'!D7+'Fed Contracts Grnts-2Yr'!D7+'Other Contracts Grnts-2Yr'!D7+'Investment Income-2Yr'!D7+'All Other E&amp;G-2Yr'!D7</f>
        <v>178048</v>
      </c>
      <c r="E7" s="160">
        <f>+'Tuition-2Yr'!E7+'State Appropriations-2Yr'!E7+'Local Appropriations-2Yr'!E7+'Fed Contracts Grnts-2Yr'!E7+'Other Contracts Grnts-2Yr'!E7+'Investment Income-2Yr'!E7+'All Other E&amp;G-2Yr'!E7</f>
        <v>0</v>
      </c>
      <c r="F7" s="160">
        <f>+'Tuition-2Yr'!F7+'State Appropriations-2Yr'!F7+'Local Appropriations-2Yr'!F7+'Fed Contracts Grnts-2Yr'!F7+'Other Contracts Grnts-2Yr'!F7+'Investment Income-2Yr'!F7+'All Other E&amp;G-2Yr'!F7</f>
        <v>0</v>
      </c>
      <c r="G7" s="160">
        <f>+'Tuition-2Yr'!G7+'State Appropriations-2Yr'!G7+'Local Appropriations-2Yr'!G7+'Fed Contracts Grnts-2Yr'!G7+'Other Contracts Grnts-2Yr'!G7+'Investment Income-2Yr'!G7+'All Other E&amp;G-2Yr'!G7</f>
        <v>0</v>
      </c>
      <c r="H7" s="160">
        <f>+'Tuition-2Yr'!H7+'State Appropriations-2Yr'!H7+'Local Appropriations-2Yr'!H7+'Fed Contracts Grnts-2Yr'!H7+'Other Contracts Grnts-2Yr'!H7+'Investment Income-2Yr'!H7+'All Other E&amp;G-2Yr'!H7</f>
        <v>0</v>
      </c>
      <c r="I7" s="160">
        <f>+'Tuition-2Yr'!I7+'State Appropriations-2Yr'!I7+'Local Appropriations-2Yr'!I7+'Fed Contracts Grnts-2Yr'!I7+'Other Contracts Grnts-2Yr'!I7+'Investment Income-2Yr'!I7+'All Other E&amp;G-2Yr'!I7</f>
        <v>262185.45</v>
      </c>
      <c r="J7" s="160">
        <f>+'Tuition-2Yr'!J7+'State Appropriations-2Yr'!J7+'Local Appropriations-2Yr'!J7+'Fed Contracts Grnts-2Yr'!J7+'Other Contracts Grnts-2Yr'!J7+'Investment Income-2Yr'!J7+'All Other E&amp;G-2Yr'!J7</f>
        <v>294281.70199999999</v>
      </c>
      <c r="K7" s="160">
        <f>+'Tuition-2Yr'!K7+'State Appropriations-2Yr'!K7+'Local Appropriations-2Yr'!K7+'Fed Contracts Grnts-2Yr'!K7+'Other Contracts Grnts-2Yr'!K7+'Investment Income-2Yr'!K7+'All Other E&amp;G-2Yr'!K7</f>
        <v>320959.78500000003</v>
      </c>
      <c r="L7" s="160">
        <f>+'Tuition-2Yr'!L7+'State Appropriations-2Yr'!L7+'Local Appropriations-2Yr'!L7+'Fed Contracts Grnts-2Yr'!L7+'Other Contracts Grnts-2Yr'!L7+'Investment Income-2Yr'!L7+'All Other E&amp;G-2Yr'!L7</f>
        <v>353763.25199999998</v>
      </c>
      <c r="M7" s="160">
        <f>+'Tuition-2Yr'!M7+'State Appropriations-2Yr'!M7+'Local Appropriations-2Yr'!M7+'Fed Contracts Grnts-2Yr'!M7+'Other Contracts Grnts-2Yr'!M7+'Investment Income-2Yr'!M7+'All Other E&amp;G-2Yr'!M7</f>
        <v>365403.74700000003</v>
      </c>
      <c r="N7" s="160">
        <f>+'Tuition-2Yr'!N7+'State Appropriations-2Yr'!N7+'Local Appropriations-2Yr'!N7+'Fed Contracts Grnts-2Yr'!N7+'Other Contracts Grnts-2Yr'!N7+'Investment Income-2Yr'!N7+'All Other E&amp;G-2Yr'!N7</f>
        <v>375673.56299999997</v>
      </c>
      <c r="O7" s="160">
        <f>+'Tuition-2Yr'!O7+'State Appropriations-2Yr'!O7+'Local Appropriations-2Yr'!O7+'Fed Contracts Grnts-2Yr'!O7+'Other Contracts Grnts-2Yr'!O7+'Investment Income-2Yr'!O7+'All Other E&amp;G-2Yr'!O7</f>
        <v>388550.92608000006</v>
      </c>
      <c r="P7" s="160">
        <f>+'Tuition-2Yr'!P7+'State Appropriations-2Yr'!P7+'Local Appropriations-2Yr'!P7+'Fed Contracts Grnts-2Yr'!P7+'Other Contracts Grnts-2Yr'!P7+'Investment Income-2Yr'!P7+'All Other E&amp;G-2Yr'!P7</f>
        <v>0</v>
      </c>
      <c r="Q7" s="160">
        <f>+'Tuition-2Yr'!Q7+'State Appropriations-2Yr'!Q7+'Local Appropriations-2Yr'!Q7+'Fed Contracts Grnts-2Yr'!Q7+'Other Contracts Grnts-2Yr'!Q7+'Investment Income-2Yr'!Q7+'All Other E&amp;G-2Yr'!Q7</f>
        <v>0</v>
      </c>
      <c r="R7" s="160">
        <f>+'Tuition-2Yr'!R7+'State Appropriations-2Yr'!R7+'Local Appropriations-2Yr'!R7+'Fed Contracts Grnts-2Yr'!R7+'Other Contracts Grnts-2Yr'!R7+'Investment Income-2Yr'!R7+'All Other E&amp;G-2Yr'!R7</f>
        <v>449006.77699999994</v>
      </c>
      <c r="S7" s="160">
        <f>+'Tuition-2Yr'!S7+'State Appropriations-2Yr'!S7+'Local Appropriations-2Yr'!S7+'Fed Contracts Grnts-2Yr'!S7+'Other Contracts Grnts-2Yr'!S7+'Investment Income-2Yr'!S7+'All Other E&amp;G-2Yr'!S7</f>
        <v>483151.83000000007</v>
      </c>
      <c r="T7" s="160">
        <f>+'Tuition-2Yr'!T7+'State Appropriations-2Yr'!T7+'Local Appropriations-2Yr'!T7+'Fed Contracts Grnts-2Yr'!T7+'Other Contracts Grnts-2Yr'!T7+'Investment Income-2Yr'!T7+'All Other E&amp;G-2Yr'!T7</f>
        <v>544237.76699999999</v>
      </c>
      <c r="U7" s="160">
        <f>+'Tuition-2Yr'!U7+'State Appropriations-2Yr'!U7+'Local Appropriations-2Yr'!U7+'Fed Contracts Grnts-2Yr'!U7+'Other Contracts Grnts-2Yr'!U7+'Investment Income-2Yr'!U7+'All Other E&amp;G-2Yr'!U7</f>
        <v>517126.66499999998</v>
      </c>
      <c r="V7" s="160">
        <f>+'Tuition-2Yr'!V7+'State Appropriations-2Yr'!V7+'Local Appropriations-2Yr'!V7+'Fed Contracts Grnts-2Yr'!V7+'Other Contracts Grnts-2Yr'!V7+'Investment Income-2Yr'!V7+'All Other E&amp;G-2Yr'!V7</f>
        <v>533654.60599999991</v>
      </c>
      <c r="W7" s="160">
        <f>+'Tuition-2Yr'!W7+'State Appropriations-2Yr'!W7+'Local Appropriations-2Yr'!W7+'Fed Contracts Grnts-2Yr'!W7+'Other Contracts Grnts-2Yr'!W7+'Investment Income-2Yr'!W7+'All Other E&amp;G-2Yr'!W7</f>
        <v>626936.18999999994</v>
      </c>
      <c r="X7" s="160">
        <f>+'Tuition-2Yr'!X7+'State Appropriations-2Yr'!X7+'Local Appropriations-2Yr'!X7+'Fed Contracts Grnts-2Yr'!X7+'Other Contracts Grnts-2Yr'!X7+'Investment Income-2Yr'!X7+'All Other E&amp;G-2Yr'!X7</f>
        <v>603823.69799999997</v>
      </c>
      <c r="Y7" s="160">
        <f>+'Tuition-2Yr'!Y7+'State Appropriations-2Yr'!Y7+'Local Appropriations-2Yr'!Y7+'Fed Contracts Grnts-2Yr'!Y7+'Other Contracts Grnts-2Yr'!Y7+'Investment Income-2Yr'!Y7+'All Other E&amp;G-2Yr'!Y7</f>
        <v>648678.39899999998</v>
      </c>
      <c r="Z7" s="160">
        <f>+'Tuition-2Yr'!Z7+'State Appropriations-2Yr'!Z7+'Local Appropriations-2Yr'!Z7+'Fed Contracts Grnts-2Yr'!Z7+'Other Contracts Grnts-2Yr'!Z7+'Investment Income-2Yr'!Z7+'All Other E&amp;G-2Yr'!Z7</f>
        <v>724601.28100000008</v>
      </c>
      <c r="AA7" s="160">
        <f>+'Tuition-2Yr'!AA7+'State Appropriations-2Yr'!AA7+'Local Appropriations-2Yr'!AA7+'Fed Contracts Grnts-2Yr'!AA7+'Other Contracts Grnts-2Yr'!AA7+'Investment Income-2Yr'!AA7+'All Other E&amp;G-2Yr'!AA7</f>
        <v>748501.06599999999</v>
      </c>
      <c r="AB7" s="160">
        <f>+'Tuition-2Yr'!AB7+'State Appropriations-2Yr'!AB7+'Local Appropriations-2Yr'!AB7+'Fed Contracts Grnts-2Yr'!AB7+'Other Contracts Grnts-2Yr'!AB7+'Investment Income-2Yr'!AB7+'All Other E&amp;G-2Yr'!AB7</f>
        <v>952649.46200000006</v>
      </c>
      <c r="AC7" s="160">
        <f>+'Tuition-2Yr'!AC7+'State Appropriations-2Yr'!AC7+'Local Appropriations-2Yr'!AC7+'Fed Contracts Grnts-2Yr'!AC7+'Other Contracts Grnts-2Yr'!AC7+'Investment Income-2Yr'!AC7+'All Other E&amp;G-2Yr'!AC7</f>
        <v>988559</v>
      </c>
      <c r="AD7" s="160">
        <f>+'Tuition-2Yr'!AD7+'State Appropriations-2Yr'!AD7+'Local Appropriations-2Yr'!AD7+'Fed Contracts Grnts-2Yr'!AD7+'Other Contracts Grnts-2Yr'!AD7+'Investment Income-2Yr'!AD7+'All Other E&amp;G-2Yr'!AD7</f>
        <v>961550.35399999993</v>
      </c>
      <c r="AE7" s="160">
        <f>+'Tuition-2Yr'!AE7+'State Appropriations-2Yr'!AE7+'Local Appropriations-2Yr'!AE7+'Fed Contracts Grnts-2Yr'!AE7+'Other Contracts Grnts-2Yr'!AE7+'Investment Income-2Yr'!AE7+'All Other E&amp;G-2Yr'!AE7</f>
        <v>910385.24600000004</v>
      </c>
      <c r="AF7" s="160">
        <f>+'Tuition-2Yr'!AF7+'State Appropriations-2Yr'!AF7+'Local Appropriations-2Yr'!AF7+'Fed Contracts Grnts-2Yr'!AF7+'Other Contracts Grnts-2Yr'!AF7+'Investment Income-2Yr'!AF7+'All Other E&amp;G-2Yr'!AF7</f>
        <v>831096.45400000014</v>
      </c>
      <c r="AG7" s="160">
        <f>+'Tuition-2Yr'!AG7+'State Appropriations-2Yr'!AG7+'Local Appropriations-2Yr'!AG7+'Fed Contracts Grnts-2Yr'!AG7+'Other Contracts Grnts-2Yr'!AG7+'Investment Income-2Yr'!AG7+'All Other E&amp;G-2Yr'!AG7</f>
        <v>814957.85200000019</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c r="HC7" s="12"/>
      <c r="HD7" s="12"/>
      <c r="HE7" s="12"/>
      <c r="HF7" s="12"/>
    </row>
    <row r="8" spans="1:214" ht="12.75" customHeight="1">
      <c r="A8" s="14" t="s">
        <v>2</v>
      </c>
      <c r="B8" s="160">
        <f>+'Tuition-2Yr'!B8+'State Appropriations-2Yr'!B8+'Local Appropriations-2Yr'!B8+'Fed Contracts Grnts-2Yr'!B8+'Other Contracts Grnts-2Yr'!B8+'Investment Income-2Yr'!B8+'All Other E&amp;G-2Yr'!B8</f>
        <v>32568</v>
      </c>
      <c r="C8" s="160">
        <f>+'Tuition-2Yr'!C8+'State Appropriations-2Yr'!C8+'Local Appropriations-2Yr'!C8+'Fed Contracts Grnts-2Yr'!C8+'Other Contracts Grnts-2Yr'!C8+'Investment Income-2Yr'!C8+'All Other E&amp;G-2Yr'!C8</f>
        <v>38715</v>
      </c>
      <c r="D8" s="160">
        <f>+'Tuition-2Yr'!D8+'State Appropriations-2Yr'!D8+'Local Appropriations-2Yr'!D8+'Fed Contracts Grnts-2Yr'!D8+'Other Contracts Grnts-2Yr'!D8+'Investment Income-2Yr'!D8+'All Other E&amp;G-2Yr'!D8</f>
        <v>40219</v>
      </c>
      <c r="E8" s="160">
        <f>+'Tuition-2Yr'!E8+'State Appropriations-2Yr'!E8+'Local Appropriations-2Yr'!E8+'Fed Contracts Grnts-2Yr'!E8+'Other Contracts Grnts-2Yr'!E8+'Investment Income-2Yr'!E8+'All Other E&amp;G-2Yr'!E8</f>
        <v>0</v>
      </c>
      <c r="F8" s="160">
        <f>+'Tuition-2Yr'!F8+'State Appropriations-2Yr'!F8+'Local Appropriations-2Yr'!F8+'Fed Contracts Grnts-2Yr'!F8+'Other Contracts Grnts-2Yr'!F8+'Investment Income-2Yr'!F8+'All Other E&amp;G-2Yr'!F8</f>
        <v>0</v>
      </c>
      <c r="G8" s="160">
        <f>+'Tuition-2Yr'!G8+'State Appropriations-2Yr'!G8+'Local Appropriations-2Yr'!G8+'Fed Contracts Grnts-2Yr'!G8+'Other Contracts Grnts-2Yr'!G8+'Investment Income-2Yr'!G8+'All Other E&amp;G-2Yr'!G8</f>
        <v>0</v>
      </c>
      <c r="H8" s="160">
        <f>+'Tuition-2Yr'!H8+'State Appropriations-2Yr'!H8+'Local Appropriations-2Yr'!H8+'Fed Contracts Grnts-2Yr'!H8+'Other Contracts Grnts-2Yr'!H8+'Investment Income-2Yr'!H8+'All Other E&amp;G-2Yr'!H8</f>
        <v>0</v>
      </c>
      <c r="I8" s="160">
        <f>+'Tuition-2Yr'!I8+'State Appropriations-2Yr'!I8+'Local Appropriations-2Yr'!I8+'Fed Contracts Grnts-2Yr'!I8+'Other Contracts Grnts-2Yr'!I8+'Investment Income-2Yr'!I8+'All Other E&amp;G-2Yr'!I8</f>
        <v>59648.76999999999</v>
      </c>
      <c r="J8" s="160">
        <f>+'Tuition-2Yr'!J8+'State Appropriations-2Yr'!J8+'Local Appropriations-2Yr'!J8+'Fed Contracts Grnts-2Yr'!J8+'Other Contracts Grnts-2Yr'!J8+'Investment Income-2Yr'!J8+'All Other E&amp;G-2Yr'!J8</f>
        <v>70842.769</v>
      </c>
      <c r="K8" s="160">
        <f>+'Tuition-2Yr'!K8+'State Appropriations-2Yr'!K8+'Local Appropriations-2Yr'!K8+'Fed Contracts Grnts-2Yr'!K8+'Other Contracts Grnts-2Yr'!K8+'Investment Income-2Yr'!K8+'All Other E&amp;G-2Yr'!K8</f>
        <v>85187.807000000001</v>
      </c>
      <c r="L8" s="160">
        <f>+'Tuition-2Yr'!L8+'State Appropriations-2Yr'!L8+'Local Appropriations-2Yr'!L8+'Fed Contracts Grnts-2Yr'!L8+'Other Contracts Grnts-2Yr'!L8+'Investment Income-2Yr'!L8+'All Other E&amp;G-2Yr'!L8</f>
        <v>91379.108999999997</v>
      </c>
      <c r="M8" s="160">
        <f>+'Tuition-2Yr'!M8+'State Appropriations-2Yr'!M8+'Local Appropriations-2Yr'!M8+'Fed Contracts Grnts-2Yr'!M8+'Other Contracts Grnts-2Yr'!M8+'Investment Income-2Yr'!M8+'All Other E&amp;G-2Yr'!M8</f>
        <v>105025.058</v>
      </c>
      <c r="N8" s="160">
        <f>+'Tuition-2Yr'!N8+'State Appropriations-2Yr'!N8+'Local Appropriations-2Yr'!N8+'Fed Contracts Grnts-2Yr'!N8+'Other Contracts Grnts-2Yr'!N8+'Investment Income-2Yr'!N8+'All Other E&amp;G-2Yr'!N8</f>
        <v>146089.23500000002</v>
      </c>
      <c r="O8" s="160">
        <f>+'Tuition-2Yr'!O8+'State Appropriations-2Yr'!O8+'Local Appropriations-2Yr'!O8+'Fed Contracts Grnts-2Yr'!O8+'Other Contracts Grnts-2Yr'!O8+'Investment Income-2Yr'!O8+'All Other E&amp;G-2Yr'!O8</f>
        <v>143968.503</v>
      </c>
      <c r="P8" s="160">
        <f>+'Tuition-2Yr'!P8+'State Appropriations-2Yr'!P8+'Local Appropriations-2Yr'!P8+'Fed Contracts Grnts-2Yr'!P8+'Other Contracts Grnts-2Yr'!P8+'Investment Income-2Yr'!P8+'All Other E&amp;G-2Yr'!P8</f>
        <v>0</v>
      </c>
      <c r="Q8" s="160">
        <f>+'Tuition-2Yr'!Q8+'State Appropriations-2Yr'!Q8+'Local Appropriations-2Yr'!Q8+'Fed Contracts Grnts-2Yr'!Q8+'Other Contracts Grnts-2Yr'!Q8+'Investment Income-2Yr'!Q8+'All Other E&amp;G-2Yr'!Q8</f>
        <v>0</v>
      </c>
      <c r="R8" s="160">
        <f>+'Tuition-2Yr'!R8+'State Appropriations-2Yr'!R8+'Local Appropriations-2Yr'!R8+'Fed Contracts Grnts-2Yr'!R8+'Other Contracts Grnts-2Yr'!R8+'Investment Income-2Yr'!R8+'All Other E&amp;G-2Yr'!R8</f>
        <v>210283.50799999997</v>
      </c>
      <c r="S8" s="160">
        <f>+'Tuition-2Yr'!S8+'State Appropriations-2Yr'!S8+'Local Appropriations-2Yr'!S8+'Fed Contracts Grnts-2Yr'!S8+'Other Contracts Grnts-2Yr'!S8+'Investment Income-2Yr'!S8+'All Other E&amp;G-2Yr'!S8</f>
        <v>230001.23500000002</v>
      </c>
      <c r="T8" s="160">
        <f>+'Tuition-2Yr'!T8+'State Appropriations-2Yr'!T8+'Local Appropriations-2Yr'!T8+'Fed Contracts Grnts-2Yr'!T8+'Other Contracts Grnts-2Yr'!T8+'Investment Income-2Yr'!T8+'All Other E&amp;G-2Yr'!T8</f>
        <v>254537.86900000001</v>
      </c>
      <c r="U8" s="160">
        <f>+'Tuition-2Yr'!U8+'State Appropriations-2Yr'!U8+'Local Appropriations-2Yr'!U8+'Fed Contracts Grnts-2Yr'!U8+'Other Contracts Grnts-2Yr'!U8+'Investment Income-2Yr'!U8+'All Other E&amp;G-2Yr'!U8</f>
        <v>246127.20500000002</v>
      </c>
      <c r="V8" s="160">
        <f>+'Tuition-2Yr'!V8+'State Appropriations-2Yr'!V8+'Local Appropriations-2Yr'!V8+'Fed Contracts Grnts-2Yr'!V8+'Other Contracts Grnts-2Yr'!V8+'Investment Income-2Yr'!V8+'All Other E&amp;G-2Yr'!V8</f>
        <v>282567.17000000004</v>
      </c>
      <c r="W8" s="160">
        <f>+'Tuition-2Yr'!W8+'State Appropriations-2Yr'!W8+'Local Appropriations-2Yr'!W8+'Fed Contracts Grnts-2Yr'!W8+'Other Contracts Grnts-2Yr'!W8+'Investment Income-2Yr'!W8+'All Other E&amp;G-2Yr'!W8</f>
        <v>319375.79999999993</v>
      </c>
      <c r="X8" s="160">
        <f>+'Tuition-2Yr'!X8+'State Appropriations-2Yr'!X8+'Local Appropriations-2Yr'!X8+'Fed Contracts Grnts-2Yr'!X8+'Other Contracts Grnts-2Yr'!X8+'Investment Income-2Yr'!X8+'All Other E&amp;G-2Yr'!X8</f>
        <v>319583.04300000001</v>
      </c>
      <c r="Y8" s="160">
        <f>+'Tuition-2Yr'!Y8+'State Appropriations-2Yr'!Y8+'Local Appropriations-2Yr'!Y8+'Fed Contracts Grnts-2Yr'!Y8+'Other Contracts Grnts-2Yr'!Y8+'Investment Income-2Yr'!Y8+'All Other E&amp;G-2Yr'!Y8</f>
        <v>396624.07700000005</v>
      </c>
      <c r="Z8" s="160">
        <f>+'Tuition-2Yr'!Z8+'State Appropriations-2Yr'!Z8+'Local Appropriations-2Yr'!Z8+'Fed Contracts Grnts-2Yr'!Z8+'Other Contracts Grnts-2Yr'!Z8+'Investment Income-2Yr'!Z8+'All Other E&amp;G-2Yr'!Z8</f>
        <v>458411.21199999994</v>
      </c>
      <c r="AA8" s="160">
        <f>+'Tuition-2Yr'!AA8+'State Appropriations-2Yr'!AA8+'Local Appropriations-2Yr'!AA8+'Fed Contracts Grnts-2Yr'!AA8+'Other Contracts Grnts-2Yr'!AA8+'Investment Income-2Yr'!AA8+'All Other E&amp;G-2Yr'!AA8</f>
        <v>472906.05799999996</v>
      </c>
      <c r="AB8" s="160">
        <f>+'Tuition-2Yr'!AB8+'State Appropriations-2Yr'!AB8+'Local Appropriations-2Yr'!AB8+'Fed Contracts Grnts-2Yr'!AB8+'Other Contracts Grnts-2Yr'!AB8+'Investment Income-2Yr'!AB8+'All Other E&amp;G-2Yr'!AB8</f>
        <v>553684.15500000003</v>
      </c>
      <c r="AC8" s="160">
        <f>+'Tuition-2Yr'!AC8+'State Appropriations-2Yr'!AC8+'Local Appropriations-2Yr'!AC8+'Fed Contracts Grnts-2Yr'!AC8+'Other Contracts Grnts-2Yr'!AC8+'Investment Income-2Yr'!AC8+'All Other E&amp;G-2Yr'!AC8</f>
        <v>593731</v>
      </c>
      <c r="AD8" s="160">
        <f>+'Tuition-2Yr'!AD8+'State Appropriations-2Yr'!AD8+'Local Appropriations-2Yr'!AD8+'Fed Contracts Grnts-2Yr'!AD8+'Other Contracts Grnts-2Yr'!AD8+'Investment Income-2Yr'!AD8+'All Other E&amp;G-2Yr'!AD8</f>
        <v>580420.1</v>
      </c>
      <c r="AE8" s="160">
        <f>+'Tuition-2Yr'!AE8+'State Appropriations-2Yr'!AE8+'Local Appropriations-2Yr'!AE8+'Fed Contracts Grnts-2Yr'!AE8+'Other Contracts Grnts-2Yr'!AE8+'Investment Income-2Yr'!AE8+'All Other E&amp;G-2Yr'!AE8</f>
        <v>566790.57699999993</v>
      </c>
      <c r="AF8" s="160">
        <f>+'Tuition-2Yr'!AF8+'State Appropriations-2Yr'!AF8+'Local Appropriations-2Yr'!AF8+'Fed Contracts Grnts-2Yr'!AF8+'Other Contracts Grnts-2Yr'!AF8+'Investment Income-2Yr'!AF8+'All Other E&amp;G-2Yr'!AF8</f>
        <v>556515.06699999992</v>
      </c>
      <c r="AG8" s="160">
        <f>+'Tuition-2Yr'!AG8+'State Appropriations-2Yr'!AG8+'Local Appropriations-2Yr'!AG8+'Fed Contracts Grnts-2Yr'!AG8+'Other Contracts Grnts-2Yr'!AG8+'Investment Income-2Yr'!AG8+'All Other E&amp;G-2Yr'!AG8</f>
        <v>537464.08699999994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c r="HC8" s="12"/>
      <c r="HD8" s="12"/>
      <c r="HE8" s="12"/>
      <c r="HF8" s="12"/>
    </row>
    <row r="9" spans="1:214" ht="12.75" customHeight="1">
      <c r="A9" s="14" t="s">
        <v>60</v>
      </c>
      <c r="B9" s="160">
        <f>+'Tuition-2Yr'!B9+'State Appropriations-2Yr'!B9+'Local Appropriations-2Yr'!B9+'Fed Contracts Grnts-2Yr'!B9+'Other Contracts Grnts-2Yr'!B9+'Investment Income-2Yr'!B9+'All Other E&amp;G-2Yr'!B9</f>
        <v>0</v>
      </c>
      <c r="C9" s="160">
        <f>+'Tuition-2Yr'!C9+'State Appropriations-2Yr'!C9+'Local Appropriations-2Yr'!C9+'Fed Contracts Grnts-2Yr'!C9+'Other Contracts Grnts-2Yr'!C9+'Investment Income-2Yr'!C9+'All Other E&amp;G-2Yr'!C9</f>
        <v>0</v>
      </c>
      <c r="D9" s="160">
        <f>+'Tuition-2Yr'!D9+'State Appropriations-2Yr'!D9+'Local Appropriations-2Yr'!D9+'Fed Contracts Grnts-2Yr'!D9+'Other Contracts Grnts-2Yr'!D9+'Investment Income-2Yr'!D9+'All Other E&amp;G-2Yr'!D9</f>
        <v>23735</v>
      </c>
      <c r="E9" s="160">
        <f>+'Tuition-2Yr'!E9+'State Appropriations-2Yr'!E9+'Local Appropriations-2Yr'!E9+'Fed Contracts Grnts-2Yr'!E9+'Other Contracts Grnts-2Yr'!E9+'Investment Income-2Yr'!E9+'All Other E&amp;G-2Yr'!E9</f>
        <v>0</v>
      </c>
      <c r="F9" s="160">
        <f>+'Tuition-2Yr'!F9+'State Appropriations-2Yr'!F9+'Local Appropriations-2Yr'!F9+'Fed Contracts Grnts-2Yr'!F9+'Other Contracts Grnts-2Yr'!F9+'Investment Income-2Yr'!F9+'All Other E&amp;G-2Yr'!F9</f>
        <v>0</v>
      </c>
      <c r="G9" s="160">
        <f>+'Tuition-2Yr'!G9+'State Appropriations-2Yr'!G9+'Local Appropriations-2Yr'!G9+'Fed Contracts Grnts-2Yr'!G9+'Other Contracts Grnts-2Yr'!G9+'Investment Income-2Yr'!G9+'All Other E&amp;G-2Yr'!G9</f>
        <v>0</v>
      </c>
      <c r="H9" s="160">
        <f>+'Tuition-2Yr'!H9+'State Appropriations-2Yr'!H9+'Local Appropriations-2Yr'!H9+'Fed Contracts Grnts-2Yr'!H9+'Other Contracts Grnts-2Yr'!H9+'Investment Income-2Yr'!H9+'All Other E&amp;G-2Yr'!H9</f>
        <v>0</v>
      </c>
      <c r="I9" s="160">
        <f>+'Tuition-2Yr'!I9+'State Appropriations-2Yr'!I9+'Local Appropriations-2Yr'!I9+'Fed Contracts Grnts-2Yr'!I9+'Other Contracts Grnts-2Yr'!I9+'Investment Income-2Yr'!I9+'All Other E&amp;G-2Yr'!I9</f>
        <v>47014.712999999996</v>
      </c>
      <c r="J9" s="160">
        <f>+'Tuition-2Yr'!J9+'State Appropriations-2Yr'!J9+'Local Appropriations-2Yr'!J9+'Fed Contracts Grnts-2Yr'!J9+'Other Contracts Grnts-2Yr'!J9+'Investment Income-2Yr'!J9+'All Other E&amp;G-2Yr'!J9</f>
        <v>63905.838000000003</v>
      </c>
      <c r="K9" s="160">
        <f>+'Tuition-2Yr'!K9+'State Appropriations-2Yr'!K9+'Local Appropriations-2Yr'!K9+'Fed Contracts Grnts-2Yr'!K9+'Other Contracts Grnts-2Yr'!K9+'Investment Income-2Yr'!K9+'All Other E&amp;G-2Yr'!K9</f>
        <v>0</v>
      </c>
      <c r="L9" s="160">
        <f>+'Tuition-2Yr'!L9+'State Appropriations-2Yr'!L9+'Local Appropriations-2Yr'!L9+'Fed Contracts Grnts-2Yr'!L9+'Other Contracts Grnts-2Yr'!L9+'Investment Income-2Yr'!L9+'All Other E&amp;G-2Yr'!L9</f>
        <v>0</v>
      </c>
      <c r="M9" s="160">
        <f>+'Tuition-2Yr'!M9+'State Appropriations-2Yr'!M9+'Local Appropriations-2Yr'!M9+'Fed Contracts Grnts-2Yr'!M9+'Other Contracts Grnts-2Yr'!M9+'Investment Income-2Yr'!M9+'All Other E&amp;G-2Yr'!M9</f>
        <v>64359.7</v>
      </c>
      <c r="N9" s="160">
        <f>+'Tuition-2Yr'!N9+'State Appropriations-2Yr'!N9+'Local Appropriations-2Yr'!N9+'Fed Contracts Grnts-2Yr'!N9+'Other Contracts Grnts-2Yr'!N9+'Investment Income-2Yr'!N9+'All Other E&amp;G-2Yr'!N9</f>
        <v>68917.567999999999</v>
      </c>
      <c r="O9" s="160">
        <f>+'Tuition-2Yr'!O9+'State Appropriations-2Yr'!O9+'Local Appropriations-2Yr'!O9+'Fed Contracts Grnts-2Yr'!O9+'Other Contracts Grnts-2Yr'!O9+'Investment Income-2Yr'!O9+'All Other E&amp;G-2Yr'!O9</f>
        <v>74762.218999999997</v>
      </c>
      <c r="P9" s="160">
        <f>+'Tuition-2Yr'!P9+'State Appropriations-2Yr'!P9+'Local Appropriations-2Yr'!P9+'Fed Contracts Grnts-2Yr'!P9+'Other Contracts Grnts-2Yr'!P9+'Investment Income-2Yr'!P9+'All Other E&amp;G-2Yr'!P9</f>
        <v>0</v>
      </c>
      <c r="Q9" s="160">
        <f>+'Tuition-2Yr'!Q9+'State Appropriations-2Yr'!Q9+'Local Appropriations-2Yr'!Q9+'Fed Contracts Grnts-2Yr'!Q9+'Other Contracts Grnts-2Yr'!Q9+'Investment Income-2Yr'!Q9+'All Other E&amp;G-2Yr'!Q9</f>
        <v>0</v>
      </c>
      <c r="R9" s="160">
        <f>+'Tuition-2Yr'!R9+'State Appropriations-2Yr'!R9+'Local Appropriations-2Yr'!R9+'Fed Contracts Grnts-2Yr'!R9+'Other Contracts Grnts-2Yr'!R9+'Investment Income-2Yr'!R9+'All Other E&amp;G-2Yr'!R9</f>
        <v>83793.294999999998</v>
      </c>
      <c r="S9" s="160">
        <f>+'Tuition-2Yr'!S9+'State Appropriations-2Yr'!S9+'Local Appropriations-2Yr'!S9+'Fed Contracts Grnts-2Yr'!S9+'Other Contracts Grnts-2Yr'!S9+'Investment Income-2Yr'!S9+'All Other E&amp;G-2Yr'!S9</f>
        <v>89812.878999999986</v>
      </c>
      <c r="T9" s="160">
        <f>+'Tuition-2Yr'!T9+'State Appropriations-2Yr'!T9+'Local Appropriations-2Yr'!T9+'Fed Contracts Grnts-2Yr'!T9+'Other Contracts Grnts-2Yr'!T9+'Investment Income-2Yr'!T9+'All Other E&amp;G-2Yr'!T9</f>
        <v>90428.844999999987</v>
      </c>
      <c r="U9" s="160">
        <f>+'Tuition-2Yr'!U9+'State Appropriations-2Yr'!U9+'Local Appropriations-2Yr'!U9+'Fed Contracts Grnts-2Yr'!U9+'Other Contracts Grnts-2Yr'!U9+'Investment Income-2Yr'!U9+'All Other E&amp;G-2Yr'!U9</f>
        <v>97110.25</v>
      </c>
      <c r="V9" s="160">
        <f>+'Tuition-2Yr'!V9+'State Appropriations-2Yr'!V9+'Local Appropriations-2Yr'!V9+'Fed Contracts Grnts-2Yr'!V9+'Other Contracts Grnts-2Yr'!V9+'Investment Income-2Yr'!V9+'All Other E&amp;G-2Yr'!V9</f>
        <v>98673.514999999999</v>
      </c>
      <c r="W9" s="160">
        <f>+'Tuition-2Yr'!W9+'State Appropriations-2Yr'!W9+'Local Appropriations-2Yr'!W9+'Fed Contracts Grnts-2Yr'!W9+'Other Contracts Grnts-2Yr'!W9+'Investment Income-2Yr'!W9+'All Other E&amp;G-2Yr'!W9</f>
        <v>105824.777</v>
      </c>
      <c r="X9" s="160">
        <f>+'Tuition-2Yr'!X9+'State Appropriations-2Yr'!X9+'Local Appropriations-2Yr'!X9+'Fed Contracts Grnts-2Yr'!X9+'Other Contracts Grnts-2Yr'!X9+'Investment Income-2Yr'!X9+'All Other E&amp;G-2Yr'!X9</f>
        <v>111203.78700000001</v>
      </c>
      <c r="Y9" s="160">
        <f>+'Tuition-2Yr'!Y9+'State Appropriations-2Yr'!Y9+'Local Appropriations-2Yr'!Y9+'Fed Contracts Grnts-2Yr'!Y9+'Other Contracts Grnts-2Yr'!Y9+'Investment Income-2Yr'!Y9+'All Other E&amp;G-2Yr'!Y9</f>
        <v>118677.982</v>
      </c>
      <c r="Z9" s="160">
        <f>+'Tuition-2Yr'!Z9+'State Appropriations-2Yr'!Z9+'Local Appropriations-2Yr'!Z9+'Fed Contracts Grnts-2Yr'!Z9+'Other Contracts Grnts-2Yr'!Z9+'Investment Income-2Yr'!Z9+'All Other E&amp;G-2Yr'!Z9</f>
        <v>127897.902</v>
      </c>
      <c r="AA9" s="160">
        <f>+'Tuition-2Yr'!AA9+'State Appropriations-2Yr'!AA9+'Local Appropriations-2Yr'!AA9+'Fed Contracts Grnts-2Yr'!AA9+'Other Contracts Grnts-2Yr'!AA9+'Investment Income-2Yr'!AA9+'All Other E&amp;G-2Yr'!AA9</f>
        <v>131744.76</v>
      </c>
      <c r="AB9" s="160">
        <f>+'Tuition-2Yr'!AB9+'State Appropriations-2Yr'!AB9+'Local Appropriations-2Yr'!AB9+'Fed Contracts Grnts-2Yr'!AB9+'Other Contracts Grnts-2Yr'!AB9+'Investment Income-2Yr'!AB9+'All Other E&amp;G-2Yr'!AB9</f>
        <v>154882.375</v>
      </c>
      <c r="AC9" s="160">
        <f>+'Tuition-2Yr'!AC9+'State Appropriations-2Yr'!AC9+'Local Appropriations-2Yr'!AC9+'Fed Contracts Grnts-2Yr'!AC9+'Other Contracts Grnts-2Yr'!AC9+'Investment Income-2Yr'!AC9+'All Other E&amp;G-2Yr'!AC9</f>
        <v>170110</v>
      </c>
      <c r="AD9" s="160">
        <f>+'Tuition-2Yr'!AD9+'State Appropriations-2Yr'!AD9+'Local Appropriations-2Yr'!AD9+'Fed Contracts Grnts-2Yr'!AD9+'Other Contracts Grnts-2Yr'!AD9+'Investment Income-2Yr'!AD9+'All Other E&amp;G-2Yr'!AD9</f>
        <v>188914.93400000001</v>
      </c>
      <c r="AE9" s="160">
        <f>+'Tuition-2Yr'!AE9+'State Appropriations-2Yr'!AE9+'Local Appropriations-2Yr'!AE9+'Fed Contracts Grnts-2Yr'!AE9+'Other Contracts Grnts-2Yr'!AE9+'Investment Income-2Yr'!AE9+'All Other E&amp;G-2Yr'!AE9</f>
        <v>174771.13</v>
      </c>
      <c r="AF9" s="160">
        <f>+'Tuition-2Yr'!AF9+'State Appropriations-2Yr'!AF9+'Local Appropriations-2Yr'!AF9+'Fed Contracts Grnts-2Yr'!AF9+'Other Contracts Grnts-2Yr'!AF9+'Investment Income-2Yr'!AF9+'All Other E&amp;G-2Yr'!AF9</f>
        <v>178575.492</v>
      </c>
      <c r="AG9" s="160">
        <f>+'Tuition-2Yr'!AG9+'State Appropriations-2Yr'!AG9+'Local Appropriations-2Yr'!AG9+'Fed Contracts Grnts-2Yr'!AG9+'Other Contracts Grnts-2Yr'!AG9+'Investment Income-2Yr'!AG9+'All Other E&amp;G-2Yr'!AG9</f>
        <v>180491.46100000001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c r="HC9" s="12"/>
      <c r="HD9" s="12"/>
      <c r="HE9" s="12"/>
      <c r="HF9" s="12"/>
    </row>
    <row r="10" spans="1:214" ht="12.75" customHeight="1">
      <c r="A10" s="14" t="s">
        <v>3</v>
      </c>
      <c r="B10" s="160">
        <f>+'Tuition-2Yr'!B10+'State Appropriations-2Yr'!B10+'Local Appropriations-2Yr'!B10+'Fed Contracts Grnts-2Yr'!B10+'Other Contracts Grnts-2Yr'!B10+'Investment Income-2Yr'!B10+'All Other E&amp;G-2Yr'!B10</f>
        <v>500236</v>
      </c>
      <c r="C10" s="160">
        <f>+'Tuition-2Yr'!C10+'State Appropriations-2Yr'!C10+'Local Appropriations-2Yr'!C10+'Fed Contracts Grnts-2Yr'!C10+'Other Contracts Grnts-2Yr'!C10+'Investment Income-2Yr'!C10+'All Other E&amp;G-2Yr'!C10</f>
        <v>522708</v>
      </c>
      <c r="D10" s="160">
        <f>+'Tuition-2Yr'!D10+'State Appropriations-2Yr'!D10+'Local Appropriations-2Yr'!D10+'Fed Contracts Grnts-2Yr'!D10+'Other Contracts Grnts-2Yr'!D10+'Investment Income-2Yr'!D10+'All Other E&amp;G-2Yr'!D10</f>
        <v>552297</v>
      </c>
      <c r="E10" s="160">
        <f>+'Tuition-2Yr'!E10+'State Appropriations-2Yr'!E10+'Local Appropriations-2Yr'!E10+'Fed Contracts Grnts-2Yr'!E10+'Other Contracts Grnts-2Yr'!E10+'Investment Income-2Yr'!E10+'All Other E&amp;G-2Yr'!E10</f>
        <v>0</v>
      </c>
      <c r="F10" s="160">
        <f>+'Tuition-2Yr'!F10+'State Appropriations-2Yr'!F10+'Local Appropriations-2Yr'!F10+'Fed Contracts Grnts-2Yr'!F10+'Other Contracts Grnts-2Yr'!F10+'Investment Income-2Yr'!F10+'All Other E&amp;G-2Yr'!F10</f>
        <v>0</v>
      </c>
      <c r="G10" s="160">
        <f>+'Tuition-2Yr'!G10+'State Appropriations-2Yr'!G10+'Local Appropriations-2Yr'!G10+'Fed Contracts Grnts-2Yr'!G10+'Other Contracts Grnts-2Yr'!G10+'Investment Income-2Yr'!G10+'All Other E&amp;G-2Yr'!G10</f>
        <v>0</v>
      </c>
      <c r="H10" s="160">
        <f>+'Tuition-2Yr'!H10+'State Appropriations-2Yr'!H10+'Local Appropriations-2Yr'!H10+'Fed Contracts Grnts-2Yr'!H10+'Other Contracts Grnts-2Yr'!H10+'Investment Income-2Yr'!H10+'All Other E&amp;G-2Yr'!H10</f>
        <v>0</v>
      </c>
      <c r="I10" s="160">
        <f>+'Tuition-2Yr'!I10+'State Appropriations-2Yr'!I10+'Local Appropriations-2Yr'!I10+'Fed Contracts Grnts-2Yr'!I10+'Other Contracts Grnts-2Yr'!I10+'Investment Income-2Yr'!I10+'All Other E&amp;G-2Yr'!I10</f>
        <v>927756.37200000009</v>
      </c>
      <c r="J10" s="160">
        <f>+'Tuition-2Yr'!J10+'State Appropriations-2Yr'!J10+'Local Appropriations-2Yr'!J10+'Fed Contracts Grnts-2Yr'!J10+'Other Contracts Grnts-2Yr'!J10+'Investment Income-2Yr'!J10+'All Other E&amp;G-2Yr'!J10</f>
        <v>986859.01599999995</v>
      </c>
      <c r="K10" s="160">
        <f>+'Tuition-2Yr'!K10+'State Appropriations-2Yr'!K10+'Local Appropriations-2Yr'!K10+'Fed Contracts Grnts-2Yr'!K10+'Other Contracts Grnts-2Yr'!K10+'Investment Income-2Yr'!K10+'All Other E&amp;G-2Yr'!K10</f>
        <v>1052291.798</v>
      </c>
      <c r="L10" s="160">
        <f>+'Tuition-2Yr'!L10+'State Appropriations-2Yr'!L10+'Local Appropriations-2Yr'!L10+'Fed Contracts Grnts-2Yr'!L10+'Other Contracts Grnts-2Yr'!L10+'Investment Income-2Yr'!L10+'All Other E&amp;G-2Yr'!L10</f>
        <v>1113754.05</v>
      </c>
      <c r="M10" s="160">
        <f>+'Tuition-2Yr'!M10+'State Appropriations-2Yr'!M10+'Local Appropriations-2Yr'!M10+'Fed Contracts Grnts-2Yr'!M10+'Other Contracts Grnts-2Yr'!M10+'Investment Income-2Yr'!M10+'All Other E&amp;G-2Yr'!M10</f>
        <v>1158694.4040000003</v>
      </c>
      <c r="N10" s="160">
        <f>+'Tuition-2Yr'!N10+'State Appropriations-2Yr'!N10+'Local Appropriations-2Yr'!N10+'Fed Contracts Grnts-2Yr'!N10+'Other Contracts Grnts-2Yr'!N10+'Investment Income-2Yr'!N10+'All Other E&amp;G-2Yr'!N10</f>
        <v>1195912.5059999998</v>
      </c>
      <c r="O10" s="160">
        <f>+'Tuition-2Yr'!O10+'State Appropriations-2Yr'!O10+'Local Appropriations-2Yr'!O10+'Fed Contracts Grnts-2Yr'!O10+'Other Contracts Grnts-2Yr'!O10+'Investment Income-2Yr'!O10+'All Other E&amp;G-2Yr'!O10</f>
        <v>1303896.9039999999</v>
      </c>
      <c r="P10" s="160">
        <f>+'Tuition-2Yr'!P10+'State Appropriations-2Yr'!P10+'Local Appropriations-2Yr'!P10+'Fed Contracts Grnts-2Yr'!P10+'Other Contracts Grnts-2Yr'!P10+'Investment Income-2Yr'!P10+'All Other E&amp;G-2Yr'!P10</f>
        <v>0</v>
      </c>
      <c r="Q10" s="160">
        <f>+'Tuition-2Yr'!Q10+'State Appropriations-2Yr'!Q10+'Local Appropriations-2Yr'!Q10+'Fed Contracts Grnts-2Yr'!Q10+'Other Contracts Grnts-2Yr'!Q10+'Investment Income-2Yr'!Q10+'All Other E&amp;G-2Yr'!Q10</f>
        <v>0</v>
      </c>
      <c r="R10" s="160">
        <f>+'Tuition-2Yr'!R10+'State Appropriations-2Yr'!R10+'Local Appropriations-2Yr'!R10+'Fed Contracts Grnts-2Yr'!R10+'Other Contracts Grnts-2Yr'!R10+'Investment Income-2Yr'!R10+'All Other E&amp;G-2Yr'!R10</f>
        <v>1555907.463</v>
      </c>
      <c r="S10" s="160">
        <f>+'Tuition-2Yr'!S10+'State Appropriations-2Yr'!S10+'Local Appropriations-2Yr'!S10+'Fed Contracts Grnts-2Yr'!S10+'Other Contracts Grnts-2Yr'!S10+'Investment Income-2Yr'!S10+'All Other E&amp;G-2Yr'!S10</f>
        <v>1943647.986</v>
      </c>
      <c r="T10" s="160">
        <f>+'Tuition-2Yr'!T10+'State Appropriations-2Yr'!T10+'Local Appropriations-2Yr'!T10+'Fed Contracts Grnts-2Yr'!T10+'Other Contracts Grnts-2Yr'!T10+'Investment Income-2Yr'!T10+'All Other E&amp;G-2Yr'!T10</f>
        <v>1679629.1740000003</v>
      </c>
      <c r="U10" s="160">
        <f>+'Tuition-2Yr'!U10+'State Appropriations-2Yr'!U10+'Local Appropriations-2Yr'!U10+'Fed Contracts Grnts-2Yr'!U10+'Other Contracts Grnts-2Yr'!U10+'Investment Income-2Yr'!U10+'All Other E&amp;G-2Yr'!U10</f>
        <v>1361985.9249999998</v>
      </c>
      <c r="V10" s="160">
        <f>+'Tuition-2Yr'!V10+'State Appropriations-2Yr'!V10+'Local Appropriations-2Yr'!V10+'Fed Contracts Grnts-2Yr'!V10+'Other Contracts Grnts-2Yr'!V10+'Investment Income-2Yr'!V10+'All Other E&amp;G-2Yr'!V10</f>
        <v>1353467.6710000001</v>
      </c>
      <c r="W10" s="160">
        <f>+'Tuition-2Yr'!W10+'State Appropriations-2Yr'!W10+'Local Appropriations-2Yr'!W10+'Fed Contracts Grnts-2Yr'!W10+'Other Contracts Grnts-2Yr'!W10+'Investment Income-2Yr'!W10+'All Other E&amp;G-2Yr'!W10</f>
        <v>1583708.6690000002</v>
      </c>
      <c r="X10" s="160">
        <f>+'Tuition-2Yr'!X10+'State Appropriations-2Yr'!X10+'Local Appropriations-2Yr'!X10+'Fed Contracts Grnts-2Yr'!X10+'Other Contracts Grnts-2Yr'!X10+'Investment Income-2Yr'!X10+'All Other E&amp;G-2Yr'!X10</f>
        <v>1517317.129</v>
      </c>
      <c r="Y10" s="160">
        <f>+'Tuition-2Yr'!Y10+'State Appropriations-2Yr'!Y10+'Local Appropriations-2Yr'!Y10+'Fed Contracts Grnts-2Yr'!Y10+'Other Contracts Grnts-2Yr'!Y10+'Investment Income-2Yr'!Y10+'All Other E&amp;G-2Yr'!Y10</f>
        <v>1925255.132</v>
      </c>
      <c r="Z10" s="160">
        <f>+'Tuition-2Yr'!Z10+'State Appropriations-2Yr'!Z10+'Local Appropriations-2Yr'!Z10+'Fed Contracts Grnts-2Yr'!Z10+'Other Contracts Grnts-2Yr'!Z10+'Investment Income-2Yr'!Z10+'All Other E&amp;G-2Yr'!Z10</f>
        <v>1944414.281</v>
      </c>
      <c r="AA10" s="160">
        <f>+'Tuition-2Yr'!AA10+'State Appropriations-2Yr'!AA10+'Local Appropriations-2Yr'!AA10+'Fed Contracts Grnts-2Yr'!AA10+'Other Contracts Grnts-2Yr'!AA10+'Investment Income-2Yr'!AA10+'All Other E&amp;G-2Yr'!AA10</f>
        <v>2642656.3679999998</v>
      </c>
      <c r="AB10" s="160">
        <f>+'Tuition-2Yr'!AB10+'State Appropriations-2Yr'!AB10+'Local Appropriations-2Yr'!AB10+'Fed Contracts Grnts-2Yr'!AB10+'Other Contracts Grnts-2Yr'!AB10+'Investment Income-2Yr'!AB10+'All Other E&amp;G-2Yr'!AB10</f>
        <v>3221592.9819999998</v>
      </c>
      <c r="AC10" s="160">
        <f>+'Tuition-2Yr'!AC10+'State Appropriations-2Yr'!AC10+'Local Appropriations-2Yr'!AC10+'Fed Contracts Grnts-2Yr'!AC10+'Other Contracts Grnts-2Yr'!AC10+'Investment Income-2Yr'!AC10+'All Other E&amp;G-2Yr'!AC10</f>
        <v>3586428</v>
      </c>
      <c r="AD10" s="160">
        <f>+'Tuition-2Yr'!AD10+'State Appropriations-2Yr'!AD10+'Local Appropriations-2Yr'!AD10+'Fed Contracts Grnts-2Yr'!AD10+'Other Contracts Grnts-2Yr'!AD10+'Investment Income-2Yr'!AD10+'All Other E&amp;G-2Yr'!AD10</f>
        <v>3473602.9040000001</v>
      </c>
      <c r="AE10" s="160">
        <f>+'Tuition-2Yr'!AE10+'State Appropriations-2Yr'!AE10+'Local Appropriations-2Yr'!AE10+'Fed Contracts Grnts-2Yr'!AE10+'Other Contracts Grnts-2Yr'!AE10+'Investment Income-2Yr'!AE10+'All Other E&amp;G-2Yr'!AE10</f>
        <v>3425535.3559999992</v>
      </c>
      <c r="AF10" s="160">
        <f>+'Tuition-2Yr'!AF10+'State Appropriations-2Yr'!AF10+'Local Appropriations-2Yr'!AF10+'Fed Contracts Grnts-2Yr'!AF10+'Other Contracts Grnts-2Yr'!AF10+'Investment Income-2Yr'!AF10+'All Other E&amp;G-2Yr'!AF10</f>
        <v>3484381.5359999998</v>
      </c>
      <c r="AG10" s="160">
        <f>+'Tuition-2Yr'!AG10+'State Appropriations-2Yr'!AG10+'Local Appropriations-2Yr'!AG10+'Fed Contracts Grnts-2Yr'!AG10+'Other Contracts Grnts-2Yr'!AG10+'Investment Income-2Yr'!AG10+'All Other E&amp;G-2Yr'!AG10</f>
        <v>3509401.2829999998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c r="HC10" s="12"/>
      <c r="HD10" s="12"/>
      <c r="HE10" s="12"/>
      <c r="HF10" s="12"/>
    </row>
    <row r="11" spans="1:214" ht="12.75" customHeight="1">
      <c r="A11" s="14" t="s">
        <v>4</v>
      </c>
      <c r="B11" s="160">
        <f>+'Tuition-2Yr'!B11+'State Appropriations-2Yr'!B11+'Local Appropriations-2Yr'!B11+'Fed Contracts Grnts-2Yr'!B11+'Other Contracts Grnts-2Yr'!B11+'Investment Income-2Yr'!B11+'All Other E&amp;G-2Yr'!B11</f>
        <v>92232</v>
      </c>
      <c r="C11" s="160">
        <f>+'Tuition-2Yr'!C11+'State Appropriations-2Yr'!C11+'Local Appropriations-2Yr'!C11+'Fed Contracts Grnts-2Yr'!C11+'Other Contracts Grnts-2Yr'!C11+'Investment Income-2Yr'!C11+'All Other E&amp;G-2Yr'!C11</f>
        <v>97429</v>
      </c>
      <c r="D11" s="160">
        <f>+'Tuition-2Yr'!D11+'State Appropriations-2Yr'!D11+'Local Appropriations-2Yr'!D11+'Fed Contracts Grnts-2Yr'!D11+'Other Contracts Grnts-2Yr'!D11+'Investment Income-2Yr'!D11+'All Other E&amp;G-2Yr'!D11</f>
        <v>102678</v>
      </c>
      <c r="E11" s="160">
        <f>+'Tuition-2Yr'!E11+'State Appropriations-2Yr'!E11+'Local Appropriations-2Yr'!E11+'Fed Contracts Grnts-2Yr'!E11+'Other Contracts Grnts-2Yr'!E11+'Investment Income-2Yr'!E11+'All Other E&amp;G-2Yr'!E11</f>
        <v>0</v>
      </c>
      <c r="F11" s="160">
        <f>+'Tuition-2Yr'!F11+'State Appropriations-2Yr'!F11+'Local Appropriations-2Yr'!F11+'Fed Contracts Grnts-2Yr'!F11+'Other Contracts Grnts-2Yr'!F11+'Investment Income-2Yr'!F11+'All Other E&amp;G-2Yr'!F11</f>
        <v>0</v>
      </c>
      <c r="G11" s="160">
        <f>+'Tuition-2Yr'!G11+'State Appropriations-2Yr'!G11+'Local Appropriations-2Yr'!G11+'Fed Contracts Grnts-2Yr'!G11+'Other Contracts Grnts-2Yr'!G11+'Investment Income-2Yr'!G11+'All Other E&amp;G-2Yr'!G11</f>
        <v>0</v>
      </c>
      <c r="H11" s="160">
        <f>+'Tuition-2Yr'!H11+'State Appropriations-2Yr'!H11+'Local Appropriations-2Yr'!H11+'Fed Contracts Grnts-2Yr'!H11+'Other Contracts Grnts-2Yr'!H11+'Investment Income-2Yr'!H11+'All Other E&amp;G-2Yr'!H11</f>
        <v>0</v>
      </c>
      <c r="I11" s="160">
        <f>+'Tuition-2Yr'!I11+'State Appropriations-2Yr'!I11+'Local Appropriations-2Yr'!I11+'Fed Contracts Grnts-2Yr'!I11+'Other Contracts Grnts-2Yr'!I11+'Investment Income-2Yr'!I11+'All Other E&amp;G-2Yr'!I11</f>
        <v>276571.53000000003</v>
      </c>
      <c r="J11" s="160">
        <f>+'Tuition-2Yr'!J11+'State Appropriations-2Yr'!J11+'Local Appropriations-2Yr'!J11+'Fed Contracts Grnts-2Yr'!J11+'Other Contracts Grnts-2Yr'!J11+'Investment Income-2Yr'!J11+'All Other E&amp;G-2Yr'!J11</f>
        <v>313912.46699999989</v>
      </c>
      <c r="K11" s="160">
        <f>+'Tuition-2Yr'!K11+'State Appropriations-2Yr'!K11+'Local Appropriations-2Yr'!K11+'Fed Contracts Grnts-2Yr'!K11+'Other Contracts Grnts-2Yr'!K11+'Investment Income-2Yr'!K11+'All Other E&amp;G-2Yr'!K11</f>
        <v>357431.97000000003</v>
      </c>
      <c r="L11" s="160">
        <f>+'Tuition-2Yr'!L11+'State Appropriations-2Yr'!L11+'Local Appropriations-2Yr'!L11+'Fed Contracts Grnts-2Yr'!L11+'Other Contracts Grnts-2Yr'!L11+'Investment Income-2Yr'!L11+'All Other E&amp;G-2Yr'!L11</f>
        <v>414423.78</v>
      </c>
      <c r="M11" s="160">
        <f>+'Tuition-2Yr'!M11+'State Appropriations-2Yr'!M11+'Local Appropriations-2Yr'!M11+'Fed Contracts Grnts-2Yr'!M11+'Other Contracts Grnts-2Yr'!M11+'Investment Income-2Yr'!M11+'All Other E&amp;G-2Yr'!M11</f>
        <v>464653.00600000005</v>
      </c>
      <c r="N11" s="160">
        <f>+'Tuition-2Yr'!N11+'State Appropriations-2Yr'!N11+'Local Appropriations-2Yr'!N11+'Fed Contracts Grnts-2Yr'!N11+'Other Contracts Grnts-2Yr'!N11+'Investment Income-2Yr'!N11+'All Other E&amp;G-2Yr'!N11</f>
        <v>382705.2950000001</v>
      </c>
      <c r="O11" s="160">
        <f>+'Tuition-2Yr'!O11+'State Appropriations-2Yr'!O11+'Local Appropriations-2Yr'!O11+'Fed Contracts Grnts-2Yr'!O11+'Other Contracts Grnts-2Yr'!O11+'Investment Income-2Yr'!O11+'All Other E&amp;G-2Yr'!O11</f>
        <v>406283.61050999997</v>
      </c>
      <c r="P11" s="160">
        <f>+'Tuition-2Yr'!P11+'State Appropriations-2Yr'!P11+'Local Appropriations-2Yr'!P11+'Fed Contracts Grnts-2Yr'!P11+'Other Contracts Grnts-2Yr'!P11+'Investment Income-2Yr'!P11+'All Other E&amp;G-2Yr'!P11</f>
        <v>0</v>
      </c>
      <c r="Q11" s="160">
        <f>+'Tuition-2Yr'!Q11+'State Appropriations-2Yr'!Q11+'Local Appropriations-2Yr'!Q11+'Fed Contracts Grnts-2Yr'!Q11+'Other Contracts Grnts-2Yr'!Q11+'Investment Income-2Yr'!Q11+'All Other E&amp;G-2Yr'!Q11</f>
        <v>0</v>
      </c>
      <c r="R11" s="160">
        <f>+'Tuition-2Yr'!R11+'State Appropriations-2Yr'!R11+'Local Appropriations-2Yr'!R11+'Fed Contracts Grnts-2Yr'!R11+'Other Contracts Grnts-2Yr'!R11+'Investment Income-2Yr'!R11+'All Other E&amp;G-2Yr'!R11</f>
        <v>672689.72200000007</v>
      </c>
      <c r="S11" s="160">
        <f>+'Tuition-2Yr'!S11+'State Appropriations-2Yr'!S11+'Local Appropriations-2Yr'!S11+'Fed Contracts Grnts-2Yr'!S11+'Other Contracts Grnts-2Yr'!S11+'Investment Income-2Yr'!S11+'All Other E&amp;G-2Yr'!S11</f>
        <v>763830.20800000022</v>
      </c>
      <c r="T11" s="160">
        <f>+'Tuition-2Yr'!T11+'State Appropriations-2Yr'!T11+'Local Appropriations-2Yr'!T11+'Fed Contracts Grnts-2Yr'!T11+'Other Contracts Grnts-2Yr'!T11+'Investment Income-2Yr'!T11+'All Other E&amp;G-2Yr'!T11</f>
        <v>816856.0399999998</v>
      </c>
      <c r="U11" s="160">
        <f>+'Tuition-2Yr'!U11+'State Appropriations-2Yr'!U11+'Local Appropriations-2Yr'!U11+'Fed Contracts Grnts-2Yr'!U11+'Other Contracts Grnts-2Yr'!U11+'Investment Income-2Yr'!U11+'All Other E&amp;G-2Yr'!U11</f>
        <v>749160.58199999994</v>
      </c>
      <c r="V11" s="160">
        <f>+'Tuition-2Yr'!V11+'State Appropriations-2Yr'!V11+'Local Appropriations-2Yr'!V11+'Fed Contracts Grnts-2Yr'!V11+'Other Contracts Grnts-2Yr'!V11+'Investment Income-2Yr'!V11+'All Other E&amp;G-2Yr'!V11</f>
        <v>815846.69699999993</v>
      </c>
      <c r="W11" s="160">
        <f>+'Tuition-2Yr'!W11+'State Appropriations-2Yr'!W11+'Local Appropriations-2Yr'!W11+'Fed Contracts Grnts-2Yr'!W11+'Other Contracts Grnts-2Yr'!W11+'Investment Income-2Yr'!W11+'All Other E&amp;G-2Yr'!W11</f>
        <v>863449.51399999997</v>
      </c>
      <c r="X11" s="160">
        <f>+'Tuition-2Yr'!X11+'State Appropriations-2Yr'!X11+'Local Appropriations-2Yr'!X11+'Fed Contracts Grnts-2Yr'!X11+'Other Contracts Grnts-2Yr'!X11+'Investment Income-2Yr'!X11+'All Other E&amp;G-2Yr'!X11</f>
        <v>904249.46799999988</v>
      </c>
      <c r="Y11" s="160">
        <f>+'Tuition-2Yr'!Y11+'State Appropriations-2Yr'!Y11+'Local Appropriations-2Yr'!Y11+'Fed Contracts Grnts-2Yr'!Y11+'Other Contracts Grnts-2Yr'!Y11+'Investment Income-2Yr'!Y11+'All Other E&amp;G-2Yr'!Y11</f>
        <v>892147.799</v>
      </c>
      <c r="Z11" s="160">
        <f>+'Tuition-2Yr'!Z11+'State Appropriations-2Yr'!Z11+'Local Appropriations-2Yr'!Z11+'Fed Contracts Grnts-2Yr'!Z11+'Other Contracts Grnts-2Yr'!Z11+'Investment Income-2Yr'!Z11+'All Other E&amp;G-2Yr'!Z11</f>
        <v>968287.45599999989</v>
      </c>
      <c r="AA11" s="160">
        <f>+'Tuition-2Yr'!AA11+'State Appropriations-2Yr'!AA11+'Local Appropriations-2Yr'!AA11+'Fed Contracts Grnts-2Yr'!AA11+'Other Contracts Grnts-2Yr'!AA11+'Investment Income-2Yr'!AA11+'All Other E&amp;G-2Yr'!AA11</f>
        <v>544947.58699999994</v>
      </c>
      <c r="AB11" s="160">
        <f>+'Tuition-2Yr'!AB11+'State Appropriations-2Yr'!AB11+'Local Appropriations-2Yr'!AB11+'Fed Contracts Grnts-2Yr'!AB11+'Other Contracts Grnts-2Yr'!AB11+'Investment Income-2Yr'!AB11+'All Other E&amp;G-2Yr'!AB11</f>
        <v>1444578.2080000001</v>
      </c>
      <c r="AC11" s="160">
        <f>+'Tuition-2Yr'!AC11+'State Appropriations-2Yr'!AC11+'Local Appropriations-2Yr'!AC11+'Fed Contracts Grnts-2Yr'!AC11+'Other Contracts Grnts-2Yr'!AC11+'Investment Income-2Yr'!AC11+'All Other E&amp;G-2Yr'!AC11</f>
        <v>1599843</v>
      </c>
      <c r="AD11" s="160">
        <f>+'Tuition-2Yr'!AD11+'State Appropriations-2Yr'!AD11+'Local Appropriations-2Yr'!AD11+'Fed Contracts Grnts-2Yr'!AD11+'Other Contracts Grnts-2Yr'!AD11+'Investment Income-2Yr'!AD11+'All Other E&amp;G-2Yr'!AD11</f>
        <v>1653457.13</v>
      </c>
      <c r="AE11" s="160">
        <f>+'Tuition-2Yr'!AE11+'State Appropriations-2Yr'!AE11+'Local Appropriations-2Yr'!AE11+'Fed Contracts Grnts-2Yr'!AE11+'Other Contracts Grnts-2Yr'!AE11+'Investment Income-2Yr'!AE11+'All Other E&amp;G-2Yr'!AE11</f>
        <v>1367579.898</v>
      </c>
      <c r="AF11" s="160">
        <f>+'Tuition-2Yr'!AF11+'State Appropriations-2Yr'!AF11+'Local Appropriations-2Yr'!AF11+'Fed Contracts Grnts-2Yr'!AF11+'Other Contracts Grnts-2Yr'!AF11+'Investment Income-2Yr'!AF11+'All Other E&amp;G-2Yr'!AF11</f>
        <v>578387.47399999993</v>
      </c>
      <c r="AG11" s="160">
        <f>+'Tuition-2Yr'!AG11+'State Appropriations-2Yr'!AG11+'Local Appropriations-2Yr'!AG11+'Fed Contracts Grnts-2Yr'!AG11+'Other Contracts Grnts-2Yr'!AG11+'Investment Income-2Yr'!AG11+'All Other E&amp;G-2Yr'!AG11</f>
        <v>588655.44900000002</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row>
    <row r="12" spans="1:214" ht="12.75" customHeight="1">
      <c r="A12" s="14" t="s">
        <v>5</v>
      </c>
      <c r="B12" s="160">
        <f>+'Tuition-2Yr'!B12+'State Appropriations-2Yr'!B12+'Local Appropriations-2Yr'!B12+'Fed Contracts Grnts-2Yr'!B12+'Other Contracts Grnts-2Yr'!B12+'Investment Income-2Yr'!B12+'All Other E&amp;G-2Yr'!B12</f>
        <v>45935</v>
      </c>
      <c r="C12" s="160">
        <f>+'Tuition-2Yr'!C12+'State Appropriations-2Yr'!C12+'Local Appropriations-2Yr'!C12+'Fed Contracts Grnts-2Yr'!C12+'Other Contracts Grnts-2Yr'!C12+'Investment Income-2Yr'!C12+'All Other E&amp;G-2Yr'!C12</f>
        <v>48653</v>
      </c>
      <c r="D12" s="160">
        <f>+'Tuition-2Yr'!D12+'State Appropriations-2Yr'!D12+'Local Appropriations-2Yr'!D12+'Fed Contracts Grnts-2Yr'!D12+'Other Contracts Grnts-2Yr'!D12+'Investment Income-2Yr'!D12+'All Other E&amp;G-2Yr'!D12</f>
        <v>53038</v>
      </c>
      <c r="E12" s="160">
        <f>+'Tuition-2Yr'!E12+'State Appropriations-2Yr'!E12+'Local Appropriations-2Yr'!E12+'Fed Contracts Grnts-2Yr'!E12+'Other Contracts Grnts-2Yr'!E12+'Investment Income-2Yr'!E12+'All Other E&amp;G-2Yr'!E12</f>
        <v>0</v>
      </c>
      <c r="F12" s="160">
        <f>+'Tuition-2Yr'!F12+'State Appropriations-2Yr'!F12+'Local Appropriations-2Yr'!F12+'Fed Contracts Grnts-2Yr'!F12+'Other Contracts Grnts-2Yr'!F12+'Investment Income-2Yr'!F12+'All Other E&amp;G-2Yr'!F12</f>
        <v>0</v>
      </c>
      <c r="G12" s="160">
        <f>+'Tuition-2Yr'!G12+'State Appropriations-2Yr'!G12+'Local Appropriations-2Yr'!G12+'Fed Contracts Grnts-2Yr'!G12+'Other Contracts Grnts-2Yr'!G12+'Investment Income-2Yr'!G12+'All Other E&amp;G-2Yr'!G12</f>
        <v>0</v>
      </c>
      <c r="H12" s="160">
        <f>+'Tuition-2Yr'!H12+'State Appropriations-2Yr'!H12+'Local Appropriations-2Yr'!H12+'Fed Contracts Grnts-2Yr'!H12+'Other Contracts Grnts-2Yr'!H12+'Investment Income-2Yr'!H12+'All Other E&amp;G-2Yr'!H12</f>
        <v>0</v>
      </c>
      <c r="I12" s="160">
        <f>+'Tuition-2Yr'!I12+'State Appropriations-2Yr'!I12+'Local Appropriations-2Yr'!I12+'Fed Contracts Grnts-2Yr'!I12+'Other Contracts Grnts-2Yr'!I12+'Investment Income-2Yr'!I12+'All Other E&amp;G-2Yr'!I12</f>
        <v>109229.542</v>
      </c>
      <c r="J12" s="160">
        <f>+'Tuition-2Yr'!J12+'State Appropriations-2Yr'!J12+'Local Appropriations-2Yr'!J12+'Fed Contracts Grnts-2Yr'!J12+'Other Contracts Grnts-2Yr'!J12+'Investment Income-2Yr'!J12+'All Other E&amp;G-2Yr'!J12</f>
        <v>132337.99700000003</v>
      </c>
      <c r="K12" s="160">
        <f>+'Tuition-2Yr'!K12+'State Appropriations-2Yr'!K12+'Local Appropriations-2Yr'!K12+'Fed Contracts Grnts-2Yr'!K12+'Other Contracts Grnts-2Yr'!K12+'Investment Income-2Yr'!K12+'All Other E&amp;G-2Yr'!K12</f>
        <v>139059.01400000002</v>
      </c>
      <c r="L12" s="160">
        <f>+'Tuition-2Yr'!L12+'State Appropriations-2Yr'!L12+'Local Appropriations-2Yr'!L12+'Fed Contracts Grnts-2Yr'!L12+'Other Contracts Grnts-2Yr'!L12+'Investment Income-2Yr'!L12+'All Other E&amp;G-2Yr'!L12</f>
        <v>148663.77600000001</v>
      </c>
      <c r="M12" s="160">
        <f>+'Tuition-2Yr'!M12+'State Appropriations-2Yr'!M12+'Local Appropriations-2Yr'!M12+'Fed Contracts Grnts-2Yr'!M12+'Other Contracts Grnts-2Yr'!M12+'Investment Income-2Yr'!M12+'All Other E&amp;G-2Yr'!M12</f>
        <v>153571.057</v>
      </c>
      <c r="N12" s="160">
        <f>+'Tuition-2Yr'!N12+'State Appropriations-2Yr'!N12+'Local Appropriations-2Yr'!N12+'Fed Contracts Grnts-2Yr'!N12+'Other Contracts Grnts-2Yr'!N12+'Investment Income-2Yr'!N12+'All Other E&amp;G-2Yr'!N12</f>
        <v>156540.37699999998</v>
      </c>
      <c r="O12" s="160">
        <f>+'Tuition-2Yr'!O12+'State Appropriations-2Yr'!O12+'Local Appropriations-2Yr'!O12+'Fed Contracts Grnts-2Yr'!O12+'Other Contracts Grnts-2Yr'!O12+'Investment Income-2Yr'!O12+'All Other E&amp;G-2Yr'!O12</f>
        <v>172500.185</v>
      </c>
      <c r="P12" s="160">
        <f>+'Tuition-2Yr'!P12+'State Appropriations-2Yr'!P12+'Local Appropriations-2Yr'!P12+'Fed Contracts Grnts-2Yr'!P12+'Other Contracts Grnts-2Yr'!P12+'Investment Income-2Yr'!P12+'All Other E&amp;G-2Yr'!P12</f>
        <v>0</v>
      </c>
      <c r="Q12" s="160">
        <f>+'Tuition-2Yr'!Q12+'State Appropriations-2Yr'!Q12+'Local Appropriations-2Yr'!Q12+'Fed Contracts Grnts-2Yr'!Q12+'Other Contracts Grnts-2Yr'!Q12+'Investment Income-2Yr'!Q12+'All Other E&amp;G-2Yr'!Q12</f>
        <v>0</v>
      </c>
      <c r="R12" s="160">
        <f>+'Tuition-2Yr'!R12+'State Appropriations-2Yr'!R12+'Local Appropriations-2Yr'!R12+'Fed Contracts Grnts-2Yr'!R12+'Other Contracts Grnts-2Yr'!R12+'Investment Income-2Yr'!R12+'All Other E&amp;G-2Yr'!R12</f>
        <v>345410.11800000007</v>
      </c>
      <c r="S12" s="160">
        <f>+'Tuition-2Yr'!S12+'State Appropriations-2Yr'!S12+'Local Appropriations-2Yr'!S12+'Fed Contracts Grnts-2Yr'!S12+'Other Contracts Grnts-2Yr'!S12+'Investment Income-2Yr'!S12+'All Other E&amp;G-2Yr'!S12</f>
        <v>380740.38300000003</v>
      </c>
      <c r="T12" s="160">
        <f>+'Tuition-2Yr'!T12+'State Appropriations-2Yr'!T12+'Local Appropriations-2Yr'!T12+'Fed Contracts Grnts-2Yr'!T12+'Other Contracts Grnts-2Yr'!T12+'Investment Income-2Yr'!T12+'All Other E&amp;G-2Yr'!T12</f>
        <v>31721.755999999998</v>
      </c>
      <c r="U12" s="160">
        <f>+'Tuition-2Yr'!U12+'State Appropriations-2Yr'!U12+'Local Appropriations-2Yr'!U12+'Fed Contracts Grnts-2Yr'!U12+'Other Contracts Grnts-2Yr'!U12+'Investment Income-2Yr'!U12+'All Other E&amp;G-2Yr'!U12</f>
        <v>29224.599000000002</v>
      </c>
      <c r="V12" s="160">
        <f>+'Tuition-2Yr'!V12+'State Appropriations-2Yr'!V12+'Local Appropriations-2Yr'!V12+'Fed Contracts Grnts-2Yr'!V12+'Other Contracts Grnts-2Yr'!V12+'Investment Income-2Yr'!V12+'All Other E&amp;G-2Yr'!V12</f>
        <v>31708.478000000003</v>
      </c>
      <c r="W12" s="160">
        <f>+'Tuition-2Yr'!W12+'State Appropriations-2Yr'!W12+'Local Appropriations-2Yr'!W12+'Fed Contracts Grnts-2Yr'!W12+'Other Contracts Grnts-2Yr'!W12+'Investment Income-2Yr'!W12+'All Other E&amp;G-2Yr'!W12</f>
        <v>418950.35200000001</v>
      </c>
      <c r="X12" s="160">
        <f>+'Tuition-2Yr'!X12+'State Appropriations-2Yr'!X12+'Local Appropriations-2Yr'!X12+'Fed Contracts Grnts-2Yr'!X12+'Other Contracts Grnts-2Yr'!X12+'Investment Income-2Yr'!X12+'All Other E&amp;G-2Yr'!X12</f>
        <v>403288.95299999998</v>
      </c>
      <c r="Y12" s="160">
        <f>+'Tuition-2Yr'!Y12+'State Appropriations-2Yr'!Y12+'Local Appropriations-2Yr'!Y12+'Fed Contracts Grnts-2Yr'!Y12+'Other Contracts Grnts-2Yr'!Y12+'Investment Income-2Yr'!Y12+'All Other E&amp;G-2Yr'!Y12</f>
        <v>422347.64599999995</v>
      </c>
      <c r="Z12" s="160">
        <f>+'Tuition-2Yr'!Z12+'State Appropriations-2Yr'!Z12+'Local Appropriations-2Yr'!Z12+'Fed Contracts Grnts-2Yr'!Z12+'Other Contracts Grnts-2Yr'!Z12+'Investment Income-2Yr'!Z12+'All Other E&amp;G-2Yr'!Z12</f>
        <v>463356.06799999997</v>
      </c>
      <c r="AA12" s="160">
        <f>+'Tuition-2Yr'!AA12+'State Appropriations-2Yr'!AA12+'Local Appropriations-2Yr'!AA12+'Fed Contracts Grnts-2Yr'!AA12+'Other Contracts Grnts-2Yr'!AA12+'Investment Income-2Yr'!AA12+'All Other E&amp;G-2Yr'!AA12</f>
        <v>555928.95600000001</v>
      </c>
      <c r="AB12" s="160">
        <f>+'Tuition-2Yr'!AB12+'State Appropriations-2Yr'!AB12+'Local Appropriations-2Yr'!AB12+'Fed Contracts Grnts-2Yr'!AB12+'Other Contracts Grnts-2Yr'!AB12+'Investment Income-2Yr'!AB12+'All Other E&amp;G-2Yr'!AB12</f>
        <v>692469.38299999991</v>
      </c>
      <c r="AC12" s="160">
        <f>+'Tuition-2Yr'!AC12+'State Appropriations-2Yr'!AC12+'Local Appropriations-2Yr'!AC12+'Fed Contracts Grnts-2Yr'!AC12+'Other Contracts Grnts-2Yr'!AC12+'Investment Income-2Yr'!AC12+'All Other E&amp;G-2Yr'!AC12</f>
        <v>738136</v>
      </c>
      <c r="AD12" s="160">
        <f>+'Tuition-2Yr'!AD12+'State Appropriations-2Yr'!AD12+'Local Appropriations-2Yr'!AD12+'Fed Contracts Grnts-2Yr'!AD12+'Other Contracts Grnts-2Yr'!AD12+'Investment Income-2Yr'!AD12+'All Other E&amp;G-2Yr'!AD12</f>
        <v>741744.79599999986</v>
      </c>
      <c r="AE12" s="160">
        <f>+'Tuition-2Yr'!AE12+'State Appropriations-2Yr'!AE12+'Local Appropriations-2Yr'!AE12+'Fed Contracts Grnts-2Yr'!AE12+'Other Contracts Grnts-2Yr'!AE12+'Investment Income-2Yr'!AE12+'All Other E&amp;G-2Yr'!AE12</f>
        <v>722720.32299999997</v>
      </c>
      <c r="AF12" s="160">
        <f>+'Tuition-2Yr'!AF12+'State Appropriations-2Yr'!AF12+'Local Appropriations-2Yr'!AF12+'Fed Contracts Grnts-2Yr'!AF12+'Other Contracts Grnts-2Yr'!AF12+'Investment Income-2Yr'!AF12+'All Other E&amp;G-2Yr'!AF12</f>
        <v>595554.39199999999</v>
      </c>
      <c r="AG12" s="160">
        <f>+'Tuition-2Yr'!AG12+'State Appropriations-2Yr'!AG12+'Local Appropriations-2Yr'!AG12+'Fed Contracts Grnts-2Yr'!AG12+'Other Contracts Grnts-2Yr'!AG12+'Investment Income-2Yr'!AG12+'All Other E&amp;G-2Yr'!AG12</f>
        <v>588690.82500000007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row>
    <row r="13" spans="1:214" ht="12.75" customHeight="1">
      <c r="A13" s="14" t="s">
        <v>6</v>
      </c>
      <c r="B13" s="160">
        <f>+'Tuition-2Yr'!B13+'State Appropriations-2Yr'!B13+'Local Appropriations-2Yr'!B13+'Fed Contracts Grnts-2Yr'!B13+'Other Contracts Grnts-2Yr'!B13+'Investment Income-2Yr'!B13+'All Other E&amp;G-2Yr'!B13</f>
        <v>34993</v>
      </c>
      <c r="C13" s="160">
        <f>+'Tuition-2Yr'!C13+'State Appropriations-2Yr'!C13+'Local Appropriations-2Yr'!C13+'Fed Contracts Grnts-2Yr'!C13+'Other Contracts Grnts-2Yr'!C13+'Investment Income-2Yr'!C13+'All Other E&amp;G-2Yr'!C13</f>
        <v>38515</v>
      </c>
      <c r="D13" s="160">
        <f>+'Tuition-2Yr'!D13+'State Appropriations-2Yr'!D13+'Local Appropriations-2Yr'!D13+'Fed Contracts Grnts-2Yr'!D13+'Other Contracts Grnts-2Yr'!D13+'Investment Income-2Yr'!D13+'All Other E&amp;G-2Yr'!D13</f>
        <v>41033</v>
      </c>
      <c r="E13" s="160">
        <f>+'Tuition-2Yr'!E13+'State Appropriations-2Yr'!E13+'Local Appropriations-2Yr'!E13+'Fed Contracts Grnts-2Yr'!E13+'Other Contracts Grnts-2Yr'!E13+'Investment Income-2Yr'!E13+'All Other E&amp;G-2Yr'!E13</f>
        <v>0</v>
      </c>
      <c r="F13" s="160">
        <f>+'Tuition-2Yr'!F13+'State Appropriations-2Yr'!F13+'Local Appropriations-2Yr'!F13+'Fed Contracts Grnts-2Yr'!F13+'Other Contracts Grnts-2Yr'!F13+'Investment Income-2Yr'!F13+'All Other E&amp;G-2Yr'!F13</f>
        <v>0</v>
      </c>
      <c r="G13" s="160">
        <f>+'Tuition-2Yr'!G13+'State Appropriations-2Yr'!G13+'Local Appropriations-2Yr'!G13+'Fed Contracts Grnts-2Yr'!G13+'Other Contracts Grnts-2Yr'!G13+'Investment Income-2Yr'!G13+'All Other E&amp;G-2Yr'!G13</f>
        <v>0</v>
      </c>
      <c r="H13" s="160">
        <f>+'Tuition-2Yr'!H13+'State Appropriations-2Yr'!H13+'Local Appropriations-2Yr'!H13+'Fed Contracts Grnts-2Yr'!H13+'Other Contracts Grnts-2Yr'!H13+'Investment Income-2Yr'!H13+'All Other E&amp;G-2Yr'!H13</f>
        <v>0</v>
      </c>
      <c r="I13" s="160">
        <f>+'Tuition-2Yr'!I13+'State Appropriations-2Yr'!I13+'Local Appropriations-2Yr'!I13+'Fed Contracts Grnts-2Yr'!I13+'Other Contracts Grnts-2Yr'!I13+'Investment Income-2Yr'!I13+'All Other E&amp;G-2Yr'!I13</f>
        <v>67154.485000000001</v>
      </c>
      <c r="J13" s="160">
        <f>+'Tuition-2Yr'!J13+'State Appropriations-2Yr'!J13+'Local Appropriations-2Yr'!J13+'Fed Contracts Grnts-2Yr'!J13+'Other Contracts Grnts-2Yr'!J13+'Investment Income-2Yr'!J13+'All Other E&amp;G-2Yr'!J13</f>
        <v>79632.660999999993</v>
      </c>
      <c r="K13" s="160">
        <f>+'Tuition-2Yr'!K13+'State Appropriations-2Yr'!K13+'Local Appropriations-2Yr'!K13+'Fed Contracts Grnts-2Yr'!K13+'Other Contracts Grnts-2Yr'!K13+'Investment Income-2Yr'!K13+'All Other E&amp;G-2Yr'!K13</f>
        <v>84286.120999999999</v>
      </c>
      <c r="L13" s="160">
        <f>+'Tuition-2Yr'!L13+'State Appropriations-2Yr'!L13+'Local Appropriations-2Yr'!L13+'Fed Contracts Grnts-2Yr'!L13+'Other Contracts Grnts-2Yr'!L13+'Investment Income-2Yr'!L13+'All Other E&amp;G-2Yr'!L13</f>
        <v>93203.606</v>
      </c>
      <c r="M13" s="160">
        <f>+'Tuition-2Yr'!M13+'State Appropriations-2Yr'!M13+'Local Appropriations-2Yr'!M13+'Fed Contracts Grnts-2Yr'!M13+'Other Contracts Grnts-2Yr'!M13+'Investment Income-2Yr'!M13+'All Other E&amp;G-2Yr'!M13</f>
        <v>98616.828999999998</v>
      </c>
      <c r="N13" s="160">
        <f>+'Tuition-2Yr'!N13+'State Appropriations-2Yr'!N13+'Local Appropriations-2Yr'!N13+'Fed Contracts Grnts-2Yr'!N13+'Other Contracts Grnts-2Yr'!N13+'Investment Income-2Yr'!N13+'All Other E&amp;G-2Yr'!N13</f>
        <v>165650.36199999996</v>
      </c>
      <c r="O13" s="160">
        <f>+'Tuition-2Yr'!O13+'State Appropriations-2Yr'!O13+'Local Appropriations-2Yr'!O13+'Fed Contracts Grnts-2Yr'!O13+'Other Contracts Grnts-2Yr'!O13+'Investment Income-2Yr'!O13+'All Other E&amp;G-2Yr'!O13</f>
        <v>174218.20714000001</v>
      </c>
      <c r="P13" s="160">
        <f>+'Tuition-2Yr'!P13+'State Appropriations-2Yr'!P13+'Local Appropriations-2Yr'!P13+'Fed Contracts Grnts-2Yr'!P13+'Other Contracts Grnts-2Yr'!P13+'Investment Income-2Yr'!P13+'All Other E&amp;G-2Yr'!P13</f>
        <v>0</v>
      </c>
      <c r="Q13" s="160">
        <f>+'Tuition-2Yr'!Q13+'State Appropriations-2Yr'!Q13+'Local Appropriations-2Yr'!Q13+'Fed Contracts Grnts-2Yr'!Q13+'Other Contracts Grnts-2Yr'!Q13+'Investment Income-2Yr'!Q13+'All Other E&amp;G-2Yr'!Q13</f>
        <v>0</v>
      </c>
      <c r="R13" s="160">
        <f>+'Tuition-2Yr'!R13+'State Appropriations-2Yr'!R13+'Local Appropriations-2Yr'!R13+'Fed Contracts Grnts-2Yr'!R13+'Other Contracts Grnts-2Yr'!R13+'Investment Income-2Yr'!R13+'All Other E&amp;G-2Yr'!R13</f>
        <v>212561.33499999999</v>
      </c>
      <c r="S13" s="160">
        <f>+'Tuition-2Yr'!S13+'State Appropriations-2Yr'!S13+'Local Appropriations-2Yr'!S13+'Fed Contracts Grnts-2Yr'!S13+'Other Contracts Grnts-2Yr'!S13+'Investment Income-2Yr'!S13+'All Other E&amp;G-2Yr'!S13</f>
        <v>229980.30999999997</v>
      </c>
      <c r="T13" s="160">
        <f>+'Tuition-2Yr'!T13+'State Appropriations-2Yr'!T13+'Local Appropriations-2Yr'!T13+'Fed Contracts Grnts-2Yr'!T13+'Other Contracts Grnts-2Yr'!T13+'Investment Income-2Yr'!T13+'All Other E&amp;G-2Yr'!T13</f>
        <v>292455.74500000005</v>
      </c>
      <c r="U13" s="160">
        <f>+'Tuition-2Yr'!U13+'State Appropriations-2Yr'!U13+'Local Appropriations-2Yr'!U13+'Fed Contracts Grnts-2Yr'!U13+'Other Contracts Grnts-2Yr'!U13+'Investment Income-2Yr'!U13+'All Other E&amp;G-2Yr'!U13</f>
        <v>315541.14399999997</v>
      </c>
      <c r="V13" s="160">
        <f>+'Tuition-2Yr'!V13+'State Appropriations-2Yr'!V13+'Local Appropriations-2Yr'!V13+'Fed Contracts Grnts-2Yr'!V13+'Other Contracts Grnts-2Yr'!V13+'Investment Income-2Yr'!V13+'All Other E&amp;G-2Yr'!V13</f>
        <v>337842.34100000001</v>
      </c>
      <c r="W13" s="160">
        <f>+'Tuition-2Yr'!W13+'State Appropriations-2Yr'!W13+'Local Appropriations-2Yr'!W13+'Fed Contracts Grnts-2Yr'!W13+'Other Contracts Grnts-2Yr'!W13+'Investment Income-2Yr'!W13+'All Other E&amp;G-2Yr'!W13</f>
        <v>389163.46800000005</v>
      </c>
      <c r="X13" s="160">
        <f>+'Tuition-2Yr'!X13+'State Appropriations-2Yr'!X13+'Local Appropriations-2Yr'!X13+'Fed Contracts Grnts-2Yr'!X13+'Other Contracts Grnts-2Yr'!X13+'Investment Income-2Yr'!X13+'All Other E&amp;G-2Yr'!X13</f>
        <v>330223.234</v>
      </c>
      <c r="Y13" s="160">
        <f>+'Tuition-2Yr'!Y13+'State Appropriations-2Yr'!Y13+'Local Appropriations-2Yr'!Y13+'Fed Contracts Grnts-2Yr'!Y13+'Other Contracts Grnts-2Yr'!Y13+'Investment Income-2Yr'!Y13+'All Other E&amp;G-2Yr'!Y13</f>
        <v>393124.98400000005</v>
      </c>
      <c r="Z13" s="160">
        <f>+'Tuition-2Yr'!Z13+'State Appropriations-2Yr'!Z13+'Local Appropriations-2Yr'!Z13+'Fed Contracts Grnts-2Yr'!Z13+'Other Contracts Grnts-2Yr'!Z13+'Investment Income-2Yr'!Z13+'All Other E&amp;G-2Yr'!Z13</f>
        <v>461040.72699999996</v>
      </c>
      <c r="AA13" s="160">
        <f>+'Tuition-2Yr'!AA13+'State Appropriations-2Yr'!AA13+'Local Appropriations-2Yr'!AA13+'Fed Contracts Grnts-2Yr'!AA13+'Other Contracts Grnts-2Yr'!AA13+'Investment Income-2Yr'!AA13+'All Other E&amp;G-2Yr'!AA13</f>
        <v>322473.97700000001</v>
      </c>
      <c r="AB13" s="160">
        <f>+'Tuition-2Yr'!AB13+'State Appropriations-2Yr'!AB13+'Local Appropriations-2Yr'!AB13+'Fed Contracts Grnts-2Yr'!AB13+'Other Contracts Grnts-2Yr'!AB13+'Investment Income-2Yr'!AB13+'All Other E&amp;G-2Yr'!AB13</f>
        <v>523992.32700000005</v>
      </c>
      <c r="AC13" s="160">
        <f>+'Tuition-2Yr'!AC13+'State Appropriations-2Yr'!AC13+'Local Appropriations-2Yr'!AC13+'Fed Contracts Grnts-2Yr'!AC13+'Other Contracts Grnts-2Yr'!AC13+'Investment Income-2Yr'!AC13+'All Other E&amp;G-2Yr'!AC13</f>
        <v>599572</v>
      </c>
      <c r="AD13" s="160">
        <f>+'Tuition-2Yr'!AD13+'State Appropriations-2Yr'!AD13+'Local Appropriations-2Yr'!AD13+'Fed Contracts Grnts-2Yr'!AD13+'Other Contracts Grnts-2Yr'!AD13+'Investment Income-2Yr'!AD13+'All Other E&amp;G-2Yr'!AD13</f>
        <v>562549.22899999993</v>
      </c>
      <c r="AE13" s="160">
        <f>+'Tuition-2Yr'!AE13+'State Appropriations-2Yr'!AE13+'Local Appropriations-2Yr'!AE13+'Fed Contracts Grnts-2Yr'!AE13+'Other Contracts Grnts-2Yr'!AE13+'Investment Income-2Yr'!AE13+'All Other E&amp;G-2Yr'!AE13</f>
        <v>525577.37100000004</v>
      </c>
      <c r="AF13" s="160">
        <f>+'Tuition-2Yr'!AF13+'State Appropriations-2Yr'!AF13+'Local Appropriations-2Yr'!AF13+'Fed Contracts Grnts-2Yr'!AF13+'Other Contracts Grnts-2Yr'!AF13+'Investment Income-2Yr'!AF13+'All Other E&amp;G-2Yr'!AF13</f>
        <v>438427.60599999997</v>
      </c>
      <c r="AG13" s="160">
        <f>+'Tuition-2Yr'!AG13+'State Appropriations-2Yr'!AG13+'Local Appropriations-2Yr'!AG13+'Fed Contracts Grnts-2Yr'!AG13+'Other Contracts Grnts-2Yr'!AG13+'Investment Income-2Yr'!AG13+'All Other E&amp;G-2Yr'!AG13</f>
        <v>456187.98800000001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row>
    <row r="14" spans="1:214" ht="12.75" customHeight="1">
      <c r="A14" s="14" t="s">
        <v>7</v>
      </c>
      <c r="B14" s="160">
        <f>+'Tuition-2Yr'!B14+'State Appropriations-2Yr'!B14+'Local Appropriations-2Yr'!B14+'Fed Contracts Grnts-2Yr'!B14+'Other Contracts Grnts-2Yr'!B14+'Investment Income-2Yr'!B14+'All Other E&amp;G-2Yr'!B14</f>
        <v>225047</v>
      </c>
      <c r="C14" s="160">
        <f>+'Tuition-2Yr'!C14+'State Appropriations-2Yr'!C14+'Local Appropriations-2Yr'!C14+'Fed Contracts Grnts-2Yr'!C14+'Other Contracts Grnts-2Yr'!C14+'Investment Income-2Yr'!C14+'All Other E&amp;G-2Yr'!C14</f>
        <v>241105</v>
      </c>
      <c r="D14" s="160">
        <f>+'Tuition-2Yr'!D14+'State Appropriations-2Yr'!D14+'Local Appropriations-2Yr'!D14+'Fed Contracts Grnts-2Yr'!D14+'Other Contracts Grnts-2Yr'!D14+'Investment Income-2Yr'!D14+'All Other E&amp;G-2Yr'!D14</f>
        <v>260886</v>
      </c>
      <c r="E14" s="160">
        <f>+'Tuition-2Yr'!E14+'State Appropriations-2Yr'!E14+'Local Appropriations-2Yr'!E14+'Fed Contracts Grnts-2Yr'!E14+'Other Contracts Grnts-2Yr'!E14+'Investment Income-2Yr'!E14+'All Other E&amp;G-2Yr'!E14</f>
        <v>0</v>
      </c>
      <c r="F14" s="160">
        <f>+'Tuition-2Yr'!F14+'State Appropriations-2Yr'!F14+'Local Appropriations-2Yr'!F14+'Fed Contracts Grnts-2Yr'!F14+'Other Contracts Grnts-2Yr'!F14+'Investment Income-2Yr'!F14+'All Other E&amp;G-2Yr'!F14</f>
        <v>0</v>
      </c>
      <c r="G14" s="160">
        <f>+'Tuition-2Yr'!G14+'State Appropriations-2Yr'!G14+'Local Appropriations-2Yr'!G14+'Fed Contracts Grnts-2Yr'!G14+'Other Contracts Grnts-2Yr'!G14+'Investment Income-2Yr'!G14+'All Other E&amp;G-2Yr'!G14</f>
        <v>0</v>
      </c>
      <c r="H14" s="160">
        <f>+'Tuition-2Yr'!H14+'State Appropriations-2Yr'!H14+'Local Appropriations-2Yr'!H14+'Fed Contracts Grnts-2Yr'!H14+'Other Contracts Grnts-2Yr'!H14+'Investment Income-2Yr'!H14+'All Other E&amp;G-2Yr'!H14</f>
        <v>0</v>
      </c>
      <c r="I14" s="160">
        <f>+'Tuition-2Yr'!I14+'State Appropriations-2Yr'!I14+'Local Appropriations-2Yr'!I14+'Fed Contracts Grnts-2Yr'!I14+'Other Contracts Grnts-2Yr'!I14+'Investment Income-2Yr'!I14+'All Other E&amp;G-2Yr'!I14</f>
        <v>368424.09700000001</v>
      </c>
      <c r="J14" s="160">
        <f>+'Tuition-2Yr'!J14+'State Appropriations-2Yr'!J14+'Local Appropriations-2Yr'!J14+'Fed Contracts Grnts-2Yr'!J14+'Other Contracts Grnts-2Yr'!J14+'Investment Income-2Yr'!J14+'All Other E&amp;G-2Yr'!J14</f>
        <v>303286.55099999992</v>
      </c>
      <c r="K14" s="160">
        <f>+'Tuition-2Yr'!K14+'State Appropriations-2Yr'!K14+'Local Appropriations-2Yr'!K14+'Fed Contracts Grnts-2Yr'!K14+'Other Contracts Grnts-2Yr'!K14+'Investment Income-2Yr'!K14+'All Other E&amp;G-2Yr'!K14</f>
        <v>409983.84600000002</v>
      </c>
      <c r="L14" s="160">
        <f>+'Tuition-2Yr'!L14+'State Appropriations-2Yr'!L14+'Local Appropriations-2Yr'!L14+'Fed Contracts Grnts-2Yr'!L14+'Other Contracts Grnts-2Yr'!L14+'Investment Income-2Yr'!L14+'All Other E&amp;G-2Yr'!L14</f>
        <v>437178.63099999994</v>
      </c>
      <c r="M14" s="160">
        <f>+'Tuition-2Yr'!M14+'State Appropriations-2Yr'!M14+'Local Appropriations-2Yr'!M14+'Fed Contracts Grnts-2Yr'!M14+'Other Contracts Grnts-2Yr'!M14+'Investment Income-2Yr'!M14+'All Other E&amp;G-2Yr'!M14</f>
        <v>369789.89799999999</v>
      </c>
      <c r="N14" s="160">
        <f>+'Tuition-2Yr'!N14+'State Appropriations-2Yr'!N14+'Local Appropriations-2Yr'!N14+'Fed Contracts Grnts-2Yr'!N14+'Other Contracts Grnts-2Yr'!N14+'Investment Income-2Yr'!N14+'All Other E&amp;G-2Yr'!N14</f>
        <v>476815.87100000004</v>
      </c>
      <c r="O14" s="160">
        <f>+'Tuition-2Yr'!O14+'State Appropriations-2Yr'!O14+'Local Appropriations-2Yr'!O14+'Fed Contracts Grnts-2Yr'!O14+'Other Contracts Grnts-2Yr'!O14+'Investment Income-2Yr'!O14+'All Other E&amp;G-2Yr'!O14</f>
        <v>488418.82199999999</v>
      </c>
      <c r="P14" s="160">
        <f>+'Tuition-2Yr'!P14+'State Appropriations-2Yr'!P14+'Local Appropriations-2Yr'!P14+'Fed Contracts Grnts-2Yr'!P14+'Other Contracts Grnts-2Yr'!P14+'Investment Income-2Yr'!P14+'All Other E&amp;G-2Yr'!P14</f>
        <v>0</v>
      </c>
      <c r="Q14" s="160">
        <f>+'Tuition-2Yr'!Q14+'State Appropriations-2Yr'!Q14+'Local Appropriations-2Yr'!Q14+'Fed Contracts Grnts-2Yr'!Q14+'Other Contracts Grnts-2Yr'!Q14+'Investment Income-2Yr'!Q14+'All Other E&amp;G-2Yr'!Q14</f>
        <v>0</v>
      </c>
      <c r="R14" s="160">
        <f>+'Tuition-2Yr'!R14+'State Appropriations-2Yr'!R14+'Local Appropriations-2Yr'!R14+'Fed Contracts Grnts-2Yr'!R14+'Other Contracts Grnts-2Yr'!R14+'Investment Income-2Yr'!R14+'All Other E&amp;G-2Yr'!R14</f>
        <v>597558.39799999993</v>
      </c>
      <c r="S14" s="160">
        <f>+'Tuition-2Yr'!S14+'State Appropriations-2Yr'!S14+'Local Appropriations-2Yr'!S14+'Fed Contracts Grnts-2Yr'!S14+'Other Contracts Grnts-2Yr'!S14+'Investment Income-2Yr'!S14+'All Other E&amp;G-2Yr'!S14</f>
        <v>655235.005</v>
      </c>
      <c r="T14" s="160">
        <f>+'Tuition-2Yr'!T14+'State Appropriations-2Yr'!T14+'Local Appropriations-2Yr'!T14+'Fed Contracts Grnts-2Yr'!T14+'Other Contracts Grnts-2Yr'!T14+'Investment Income-2Yr'!T14+'All Other E&amp;G-2Yr'!T14</f>
        <v>699336.63999999978</v>
      </c>
      <c r="U14" s="160">
        <f>+'Tuition-2Yr'!U14+'State Appropriations-2Yr'!U14+'Local Appropriations-2Yr'!U14+'Fed Contracts Grnts-2Yr'!U14+'Other Contracts Grnts-2Yr'!U14+'Investment Income-2Yr'!U14+'All Other E&amp;G-2Yr'!U14</f>
        <v>743818.255</v>
      </c>
      <c r="V14" s="160">
        <f>+'Tuition-2Yr'!V14+'State Appropriations-2Yr'!V14+'Local Appropriations-2Yr'!V14+'Fed Contracts Grnts-2Yr'!V14+'Other Contracts Grnts-2Yr'!V14+'Investment Income-2Yr'!V14+'All Other E&amp;G-2Yr'!V14</f>
        <v>774005.25299999991</v>
      </c>
      <c r="W14" s="160">
        <f>+'Tuition-2Yr'!W14+'State Appropriations-2Yr'!W14+'Local Appropriations-2Yr'!W14+'Fed Contracts Grnts-2Yr'!W14+'Other Contracts Grnts-2Yr'!W14+'Investment Income-2Yr'!W14+'All Other E&amp;G-2Yr'!W14</f>
        <v>879291.23899999994</v>
      </c>
      <c r="X14" s="160">
        <f>+'Tuition-2Yr'!X14+'State Appropriations-2Yr'!X14+'Local Appropriations-2Yr'!X14+'Fed Contracts Grnts-2Yr'!X14+'Other Contracts Grnts-2Yr'!X14+'Investment Income-2Yr'!X14+'All Other E&amp;G-2Yr'!X14</f>
        <v>861379.95899999992</v>
      </c>
      <c r="Y14" s="160">
        <f>+'Tuition-2Yr'!Y14+'State Appropriations-2Yr'!Y14+'Local Appropriations-2Yr'!Y14+'Fed Contracts Grnts-2Yr'!Y14+'Other Contracts Grnts-2Yr'!Y14+'Investment Income-2Yr'!Y14+'All Other E&amp;G-2Yr'!Y14</f>
        <v>944351.69699999993</v>
      </c>
      <c r="Z14" s="160">
        <f>+'Tuition-2Yr'!Z14+'State Appropriations-2Yr'!Z14+'Local Appropriations-2Yr'!Z14+'Fed Contracts Grnts-2Yr'!Z14+'Other Contracts Grnts-2Yr'!Z14+'Investment Income-2Yr'!Z14+'All Other E&amp;G-2Yr'!Z14</f>
        <v>1049315.9080000001</v>
      </c>
      <c r="AA14" s="160">
        <f>+'Tuition-2Yr'!AA14+'State Appropriations-2Yr'!AA14+'Local Appropriations-2Yr'!AA14+'Fed Contracts Grnts-2Yr'!AA14+'Other Contracts Grnts-2Yr'!AA14+'Investment Income-2Yr'!AA14+'All Other E&amp;G-2Yr'!AA14</f>
        <v>1176947.7420000001</v>
      </c>
      <c r="AB14" s="160">
        <f>+'Tuition-2Yr'!AB14+'State Appropriations-2Yr'!AB14+'Local Appropriations-2Yr'!AB14+'Fed Contracts Grnts-2Yr'!AB14+'Other Contracts Grnts-2Yr'!AB14+'Investment Income-2Yr'!AB14+'All Other E&amp;G-2Yr'!AB14</f>
        <v>1282740.5299999998</v>
      </c>
      <c r="AC14" s="160">
        <f>+'Tuition-2Yr'!AC14+'State Appropriations-2Yr'!AC14+'Local Appropriations-2Yr'!AC14+'Fed Contracts Grnts-2Yr'!AC14+'Other Contracts Grnts-2Yr'!AC14+'Investment Income-2Yr'!AC14+'All Other E&amp;G-2Yr'!AC14</f>
        <v>1347726</v>
      </c>
      <c r="AD14" s="160">
        <f>+'Tuition-2Yr'!AD14+'State Appropriations-2Yr'!AD14+'Local Appropriations-2Yr'!AD14+'Fed Contracts Grnts-2Yr'!AD14+'Other Contracts Grnts-2Yr'!AD14+'Investment Income-2Yr'!AD14+'All Other E&amp;G-2Yr'!AD14</f>
        <v>1370492.5249999999</v>
      </c>
      <c r="AE14" s="160">
        <f>+'Tuition-2Yr'!AE14+'State Appropriations-2Yr'!AE14+'Local Appropriations-2Yr'!AE14+'Fed Contracts Grnts-2Yr'!AE14+'Other Contracts Grnts-2Yr'!AE14+'Investment Income-2Yr'!AE14+'All Other E&amp;G-2Yr'!AE14</f>
        <v>1386485.89</v>
      </c>
      <c r="AF14" s="160">
        <f>+'Tuition-2Yr'!AF14+'State Appropriations-2Yr'!AF14+'Local Appropriations-2Yr'!AF14+'Fed Contracts Grnts-2Yr'!AF14+'Other Contracts Grnts-2Yr'!AF14+'Investment Income-2Yr'!AF14+'All Other E&amp;G-2Yr'!AF14</f>
        <v>1400723.5759999999</v>
      </c>
      <c r="AG14" s="160">
        <f>+'Tuition-2Yr'!AG14+'State Appropriations-2Yr'!AG14+'Local Appropriations-2Yr'!AG14+'Fed Contracts Grnts-2Yr'!AG14+'Other Contracts Grnts-2Yr'!AG14+'Investment Income-2Yr'!AG14+'All Other E&amp;G-2Yr'!AG14</f>
        <v>1406629.16</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c r="HC14" s="12"/>
      <c r="HD14" s="12"/>
      <c r="HE14" s="12"/>
      <c r="HF14" s="12"/>
    </row>
    <row r="15" spans="1:214" ht="12.75" customHeight="1">
      <c r="A15" s="14" t="s">
        <v>8</v>
      </c>
      <c r="B15" s="160">
        <f>+'Tuition-2Yr'!B15+'State Appropriations-2Yr'!B15+'Local Appropriations-2Yr'!B15+'Fed Contracts Grnts-2Yr'!B15+'Other Contracts Grnts-2Yr'!B15+'Investment Income-2Yr'!B15+'All Other E&amp;G-2Yr'!B15</f>
        <v>129715</v>
      </c>
      <c r="C15" s="160">
        <f>+'Tuition-2Yr'!C15+'State Appropriations-2Yr'!C15+'Local Appropriations-2Yr'!C15+'Fed Contracts Grnts-2Yr'!C15+'Other Contracts Grnts-2Yr'!C15+'Investment Income-2Yr'!C15+'All Other E&amp;G-2Yr'!C15</f>
        <v>132970</v>
      </c>
      <c r="D15" s="160">
        <f>+'Tuition-2Yr'!D15+'State Appropriations-2Yr'!D15+'Local Appropriations-2Yr'!D15+'Fed Contracts Grnts-2Yr'!D15+'Other Contracts Grnts-2Yr'!D15+'Investment Income-2Yr'!D15+'All Other E&amp;G-2Yr'!D15</f>
        <v>148068</v>
      </c>
      <c r="E15" s="160">
        <f>+'Tuition-2Yr'!E15+'State Appropriations-2Yr'!E15+'Local Appropriations-2Yr'!E15+'Fed Contracts Grnts-2Yr'!E15+'Other Contracts Grnts-2Yr'!E15+'Investment Income-2Yr'!E15+'All Other E&amp;G-2Yr'!E15</f>
        <v>0</v>
      </c>
      <c r="F15" s="160">
        <f>+'Tuition-2Yr'!F15+'State Appropriations-2Yr'!F15+'Local Appropriations-2Yr'!F15+'Fed Contracts Grnts-2Yr'!F15+'Other Contracts Grnts-2Yr'!F15+'Investment Income-2Yr'!F15+'All Other E&amp;G-2Yr'!F15</f>
        <v>0</v>
      </c>
      <c r="G15" s="160">
        <f>+'Tuition-2Yr'!G15+'State Appropriations-2Yr'!G15+'Local Appropriations-2Yr'!G15+'Fed Contracts Grnts-2Yr'!G15+'Other Contracts Grnts-2Yr'!G15+'Investment Income-2Yr'!G15+'All Other E&amp;G-2Yr'!G15</f>
        <v>0</v>
      </c>
      <c r="H15" s="160">
        <f>+'Tuition-2Yr'!H15+'State Appropriations-2Yr'!H15+'Local Appropriations-2Yr'!H15+'Fed Contracts Grnts-2Yr'!H15+'Other Contracts Grnts-2Yr'!H15+'Investment Income-2Yr'!H15+'All Other E&amp;G-2Yr'!H15</f>
        <v>0</v>
      </c>
      <c r="I15" s="160">
        <f>+'Tuition-2Yr'!I15+'State Appropriations-2Yr'!I15+'Local Appropriations-2Yr'!I15+'Fed Contracts Grnts-2Yr'!I15+'Other Contracts Grnts-2Yr'!I15+'Investment Income-2Yr'!I15+'All Other E&amp;G-2Yr'!I15</f>
        <v>207902.73499999999</v>
      </c>
      <c r="J15" s="160">
        <f>+'Tuition-2Yr'!J15+'State Appropriations-2Yr'!J15+'Local Appropriations-2Yr'!J15+'Fed Contracts Grnts-2Yr'!J15+'Other Contracts Grnts-2Yr'!J15+'Investment Income-2Yr'!J15+'All Other E&amp;G-2Yr'!J15</f>
        <v>215226.16399999999</v>
      </c>
      <c r="K15" s="160">
        <f>+'Tuition-2Yr'!K15+'State Appropriations-2Yr'!K15+'Local Appropriations-2Yr'!K15+'Fed Contracts Grnts-2Yr'!K15+'Other Contracts Grnts-2Yr'!K15+'Investment Income-2Yr'!K15+'All Other E&amp;G-2Yr'!K15</f>
        <v>242325.337</v>
      </c>
      <c r="L15" s="160">
        <f>+'Tuition-2Yr'!L15+'State Appropriations-2Yr'!L15+'Local Appropriations-2Yr'!L15+'Fed Contracts Grnts-2Yr'!L15+'Other Contracts Grnts-2Yr'!L15+'Investment Income-2Yr'!L15+'All Other E&amp;G-2Yr'!L15</f>
        <v>259042.61199999996</v>
      </c>
      <c r="M15" s="160">
        <f>+'Tuition-2Yr'!M15+'State Appropriations-2Yr'!M15+'Local Appropriations-2Yr'!M15+'Fed Contracts Grnts-2Yr'!M15+'Other Contracts Grnts-2Yr'!M15+'Investment Income-2Yr'!M15+'All Other E&amp;G-2Yr'!M15</f>
        <v>302768.60900000005</v>
      </c>
      <c r="N15" s="160">
        <f>+'Tuition-2Yr'!N15+'State Appropriations-2Yr'!N15+'Local Appropriations-2Yr'!N15+'Fed Contracts Grnts-2Yr'!N15+'Other Contracts Grnts-2Yr'!N15+'Investment Income-2Yr'!N15+'All Other E&amp;G-2Yr'!N15</f>
        <v>330974.42800000001</v>
      </c>
      <c r="O15" s="160">
        <f>+'Tuition-2Yr'!O15+'State Appropriations-2Yr'!O15+'Local Appropriations-2Yr'!O15+'Fed Contracts Grnts-2Yr'!O15+'Other Contracts Grnts-2Yr'!O15+'Investment Income-2Yr'!O15+'All Other E&amp;G-2Yr'!O15</f>
        <v>340262.49899999995</v>
      </c>
      <c r="P15" s="160">
        <f>+'Tuition-2Yr'!P15+'State Appropriations-2Yr'!P15+'Local Appropriations-2Yr'!P15+'Fed Contracts Grnts-2Yr'!P15+'Other Contracts Grnts-2Yr'!P15+'Investment Income-2Yr'!P15+'All Other E&amp;G-2Yr'!P15</f>
        <v>0</v>
      </c>
      <c r="Q15" s="160">
        <f>+'Tuition-2Yr'!Q15+'State Appropriations-2Yr'!Q15+'Local Appropriations-2Yr'!Q15+'Fed Contracts Grnts-2Yr'!Q15+'Other Contracts Grnts-2Yr'!Q15+'Investment Income-2Yr'!Q15+'All Other E&amp;G-2Yr'!Q15</f>
        <v>0</v>
      </c>
      <c r="R15" s="160">
        <f>+'Tuition-2Yr'!R15+'State Appropriations-2Yr'!R15+'Local Appropriations-2Yr'!R15+'Fed Contracts Grnts-2Yr'!R15+'Other Contracts Grnts-2Yr'!R15+'Investment Income-2Yr'!R15+'All Other E&amp;G-2Yr'!R15</f>
        <v>421972.24400000001</v>
      </c>
      <c r="S15" s="160">
        <f>+'Tuition-2Yr'!S15+'State Appropriations-2Yr'!S15+'Local Appropriations-2Yr'!S15+'Fed Contracts Grnts-2Yr'!S15+'Other Contracts Grnts-2Yr'!S15+'Investment Income-2Yr'!S15+'All Other E&amp;G-2Yr'!S15</f>
        <v>424284.15899999999</v>
      </c>
      <c r="T15" s="160">
        <f>+'Tuition-2Yr'!T15+'State Appropriations-2Yr'!T15+'Local Appropriations-2Yr'!T15+'Fed Contracts Grnts-2Yr'!T15+'Other Contracts Grnts-2Yr'!T15+'Investment Income-2Yr'!T15+'All Other E&amp;G-2Yr'!T15</f>
        <v>458201.16200000001</v>
      </c>
      <c r="U15" s="160">
        <f>+'Tuition-2Yr'!U15+'State Appropriations-2Yr'!U15+'Local Appropriations-2Yr'!U15+'Fed Contracts Grnts-2Yr'!U15+'Other Contracts Grnts-2Yr'!U15+'Investment Income-2Yr'!U15+'All Other E&amp;G-2Yr'!U15</f>
        <v>472602.73000000004</v>
      </c>
      <c r="V15" s="160">
        <f>+'Tuition-2Yr'!V15+'State Appropriations-2Yr'!V15+'Local Appropriations-2Yr'!V15+'Fed Contracts Grnts-2Yr'!V15+'Other Contracts Grnts-2Yr'!V15+'Investment Income-2Yr'!V15+'All Other E&amp;G-2Yr'!V15</f>
        <v>484381.10000000003</v>
      </c>
      <c r="W15" s="160">
        <f>+'Tuition-2Yr'!W15+'State Appropriations-2Yr'!W15+'Local Appropriations-2Yr'!W15+'Fed Contracts Grnts-2Yr'!W15+'Other Contracts Grnts-2Yr'!W15+'Investment Income-2Yr'!W15+'All Other E&amp;G-2Yr'!W15</f>
        <v>548281.98</v>
      </c>
      <c r="X15" s="160">
        <f>+'Tuition-2Yr'!X15+'State Appropriations-2Yr'!X15+'Local Appropriations-2Yr'!X15+'Fed Contracts Grnts-2Yr'!X15+'Other Contracts Grnts-2Yr'!X15+'Investment Income-2Yr'!X15+'All Other E&amp;G-2Yr'!X15</f>
        <v>558239.08299999998</v>
      </c>
      <c r="Y15" s="160">
        <f>+'Tuition-2Yr'!Y15+'State Appropriations-2Yr'!Y15+'Local Appropriations-2Yr'!Y15+'Fed Contracts Grnts-2Yr'!Y15+'Other Contracts Grnts-2Yr'!Y15+'Investment Income-2Yr'!Y15+'All Other E&amp;G-2Yr'!Y15</f>
        <v>578054.50399999996</v>
      </c>
      <c r="Z15" s="160">
        <f>+'Tuition-2Yr'!Z15+'State Appropriations-2Yr'!Z15+'Local Appropriations-2Yr'!Z15+'Fed Contracts Grnts-2Yr'!Z15+'Other Contracts Grnts-2Yr'!Z15+'Investment Income-2Yr'!Z15+'All Other E&amp;G-2Yr'!Z15</f>
        <v>644505.5780000001</v>
      </c>
      <c r="AA15" s="160">
        <f>+'Tuition-2Yr'!AA15+'State Appropriations-2Yr'!AA15+'Local Appropriations-2Yr'!AA15+'Fed Contracts Grnts-2Yr'!AA15+'Other Contracts Grnts-2Yr'!AA15+'Investment Income-2Yr'!AA15+'All Other E&amp;G-2Yr'!AA15</f>
        <v>738437.13199999998</v>
      </c>
      <c r="AB15" s="160">
        <f>+'Tuition-2Yr'!AB15+'State Appropriations-2Yr'!AB15+'Local Appropriations-2Yr'!AB15+'Fed Contracts Grnts-2Yr'!AB15+'Other Contracts Grnts-2Yr'!AB15+'Investment Income-2Yr'!AB15+'All Other E&amp;G-2Yr'!AB15</f>
        <v>879112.13000000012</v>
      </c>
      <c r="AC15" s="160">
        <f>+'Tuition-2Yr'!AC15+'State Appropriations-2Yr'!AC15+'Local Appropriations-2Yr'!AC15+'Fed Contracts Grnts-2Yr'!AC15+'Other Contracts Grnts-2Yr'!AC15+'Investment Income-2Yr'!AC15+'All Other E&amp;G-2Yr'!AC15</f>
        <v>947084</v>
      </c>
      <c r="AD15" s="160">
        <f>+'Tuition-2Yr'!AD15+'State Appropriations-2Yr'!AD15+'Local Appropriations-2Yr'!AD15+'Fed Contracts Grnts-2Yr'!AD15+'Other Contracts Grnts-2Yr'!AD15+'Investment Income-2Yr'!AD15+'All Other E&amp;G-2Yr'!AD15</f>
        <v>859044.85600000003</v>
      </c>
      <c r="AE15" s="160">
        <f>+'Tuition-2Yr'!AE15+'State Appropriations-2Yr'!AE15+'Local Appropriations-2Yr'!AE15+'Fed Contracts Grnts-2Yr'!AE15+'Other Contracts Grnts-2Yr'!AE15+'Investment Income-2Yr'!AE15+'All Other E&amp;G-2Yr'!AE15</f>
        <v>814117.81700000004</v>
      </c>
      <c r="AF15" s="160">
        <f>+'Tuition-2Yr'!AF15+'State Appropriations-2Yr'!AF15+'Local Appropriations-2Yr'!AF15+'Fed Contracts Grnts-2Yr'!AF15+'Other Contracts Grnts-2Yr'!AF15+'Investment Income-2Yr'!AF15+'All Other E&amp;G-2Yr'!AF15</f>
        <v>822131.10800000012</v>
      </c>
      <c r="AG15" s="160">
        <f>+'Tuition-2Yr'!AG15+'State Appropriations-2Yr'!AG15+'Local Appropriations-2Yr'!AG15+'Fed Contracts Grnts-2Yr'!AG15+'Other Contracts Grnts-2Yr'!AG15+'Investment Income-2Yr'!AG15+'All Other E&amp;G-2Yr'!AG15</f>
        <v>831353.30300000019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c r="HC15" s="12"/>
      <c r="HD15" s="12"/>
      <c r="HE15" s="12"/>
      <c r="HF15" s="12"/>
    </row>
    <row r="16" spans="1:214" s="65" customFormat="1" ht="12.75" customHeight="1">
      <c r="A16" s="14" t="s">
        <v>9</v>
      </c>
      <c r="B16" s="160">
        <f>+'Tuition-2Yr'!B16+'State Appropriations-2Yr'!B16+'Local Appropriations-2Yr'!B16+'Fed Contracts Grnts-2Yr'!B16+'Other Contracts Grnts-2Yr'!B16+'Investment Income-2Yr'!B16+'All Other E&amp;G-2Yr'!B16</f>
        <v>299113</v>
      </c>
      <c r="C16" s="160">
        <f>+'Tuition-2Yr'!C16+'State Appropriations-2Yr'!C16+'Local Appropriations-2Yr'!C16+'Fed Contracts Grnts-2Yr'!C16+'Other Contracts Grnts-2Yr'!C16+'Investment Income-2Yr'!C16+'All Other E&amp;G-2Yr'!C16</f>
        <v>330100</v>
      </c>
      <c r="D16" s="160">
        <f>+'Tuition-2Yr'!D16+'State Appropriations-2Yr'!D16+'Local Appropriations-2Yr'!D16+'Fed Contracts Grnts-2Yr'!D16+'Other Contracts Grnts-2Yr'!D16+'Investment Income-2Yr'!D16+'All Other E&amp;G-2Yr'!D16</f>
        <v>357737</v>
      </c>
      <c r="E16" s="160">
        <f>+'Tuition-2Yr'!E16+'State Appropriations-2Yr'!E16+'Local Appropriations-2Yr'!E16+'Fed Contracts Grnts-2Yr'!E16+'Other Contracts Grnts-2Yr'!E16+'Investment Income-2Yr'!E16+'All Other E&amp;G-2Yr'!E16</f>
        <v>0</v>
      </c>
      <c r="F16" s="160">
        <f>+'Tuition-2Yr'!F16+'State Appropriations-2Yr'!F16+'Local Appropriations-2Yr'!F16+'Fed Contracts Grnts-2Yr'!F16+'Other Contracts Grnts-2Yr'!F16+'Investment Income-2Yr'!F16+'All Other E&amp;G-2Yr'!F16</f>
        <v>0</v>
      </c>
      <c r="G16" s="160">
        <f>+'Tuition-2Yr'!G16+'State Appropriations-2Yr'!G16+'Local Appropriations-2Yr'!G16+'Fed Contracts Grnts-2Yr'!G16+'Other Contracts Grnts-2Yr'!G16+'Investment Income-2Yr'!G16+'All Other E&amp;G-2Yr'!G16</f>
        <v>0</v>
      </c>
      <c r="H16" s="160">
        <f>+'Tuition-2Yr'!H16+'State Appropriations-2Yr'!H16+'Local Appropriations-2Yr'!H16+'Fed Contracts Grnts-2Yr'!H16+'Other Contracts Grnts-2Yr'!H16+'Investment Income-2Yr'!H16+'All Other E&amp;G-2Yr'!H16</f>
        <v>0</v>
      </c>
      <c r="I16" s="160">
        <f>+'Tuition-2Yr'!I16+'State Appropriations-2Yr'!I16+'Local Appropriations-2Yr'!I16+'Fed Contracts Grnts-2Yr'!I16+'Other Contracts Grnts-2Yr'!I16+'Investment Income-2Yr'!I16+'All Other E&amp;G-2Yr'!I16</f>
        <v>528435.83299999998</v>
      </c>
      <c r="J16" s="160">
        <f>+'Tuition-2Yr'!J16+'State Appropriations-2Yr'!J16+'Local Appropriations-2Yr'!J16+'Fed Contracts Grnts-2Yr'!J16+'Other Contracts Grnts-2Yr'!J16+'Investment Income-2Yr'!J16+'All Other E&amp;G-2Yr'!J16</f>
        <v>555025.272</v>
      </c>
      <c r="K16" s="160">
        <f>+'Tuition-2Yr'!K16+'State Appropriations-2Yr'!K16+'Local Appropriations-2Yr'!K16+'Fed Contracts Grnts-2Yr'!K16+'Other Contracts Grnts-2Yr'!K16+'Investment Income-2Yr'!K16+'All Other E&amp;G-2Yr'!K16</f>
        <v>614810.87600000005</v>
      </c>
      <c r="L16" s="160">
        <f>+'Tuition-2Yr'!L16+'State Appropriations-2Yr'!L16+'Local Appropriations-2Yr'!L16+'Fed Contracts Grnts-2Yr'!L16+'Other Contracts Grnts-2Yr'!L16+'Investment Income-2Yr'!L16+'All Other E&amp;G-2Yr'!L16</f>
        <v>657699.87799999991</v>
      </c>
      <c r="M16" s="160">
        <f>+'Tuition-2Yr'!M16+'State Appropriations-2Yr'!M16+'Local Appropriations-2Yr'!M16+'Fed Contracts Grnts-2Yr'!M16+'Other Contracts Grnts-2Yr'!M16+'Investment Income-2Yr'!M16+'All Other E&amp;G-2Yr'!M16</f>
        <v>704262.15800000005</v>
      </c>
      <c r="N16" s="160">
        <f>+'Tuition-2Yr'!N16+'State Appropriations-2Yr'!N16+'Local Appropriations-2Yr'!N16+'Fed Contracts Grnts-2Yr'!N16+'Other Contracts Grnts-2Yr'!N16+'Investment Income-2Yr'!N16+'All Other E&amp;G-2Yr'!N16</f>
        <v>718090.76599999995</v>
      </c>
      <c r="O16" s="160">
        <f>+'Tuition-2Yr'!O16+'State Appropriations-2Yr'!O16+'Local Appropriations-2Yr'!O16+'Fed Contracts Grnts-2Yr'!O16+'Other Contracts Grnts-2Yr'!O16+'Investment Income-2Yr'!O16+'All Other E&amp;G-2Yr'!O16</f>
        <v>747801.57782000001</v>
      </c>
      <c r="P16" s="160">
        <f>+'Tuition-2Yr'!P16+'State Appropriations-2Yr'!P16+'Local Appropriations-2Yr'!P16+'Fed Contracts Grnts-2Yr'!P16+'Other Contracts Grnts-2Yr'!P16+'Investment Income-2Yr'!P16+'All Other E&amp;G-2Yr'!P16</f>
        <v>0</v>
      </c>
      <c r="Q16" s="160">
        <f>+'Tuition-2Yr'!Q16+'State Appropriations-2Yr'!Q16+'Local Appropriations-2Yr'!Q16+'Fed Contracts Grnts-2Yr'!Q16+'Other Contracts Grnts-2Yr'!Q16+'Investment Income-2Yr'!Q16+'All Other E&amp;G-2Yr'!Q16</f>
        <v>0</v>
      </c>
      <c r="R16" s="160">
        <f>+'Tuition-2Yr'!R16+'State Appropriations-2Yr'!R16+'Local Appropriations-2Yr'!R16+'Fed Contracts Grnts-2Yr'!R16+'Other Contracts Grnts-2Yr'!R16+'Investment Income-2Yr'!R16+'All Other E&amp;G-2Yr'!R16</f>
        <v>940204.11199999996</v>
      </c>
      <c r="S16" s="160">
        <f>+'Tuition-2Yr'!S16+'State Appropriations-2Yr'!S16+'Local Appropriations-2Yr'!S16+'Fed Contracts Grnts-2Yr'!S16+'Other Contracts Grnts-2Yr'!S16+'Investment Income-2Yr'!S16+'All Other E&amp;G-2Yr'!S16</f>
        <v>1018905.5929999999</v>
      </c>
      <c r="T16" s="160">
        <f>+'Tuition-2Yr'!T16+'State Appropriations-2Yr'!T16+'Local Appropriations-2Yr'!T16+'Fed Contracts Grnts-2Yr'!T16+'Other Contracts Grnts-2Yr'!T16+'Investment Income-2Yr'!T16+'All Other E&amp;G-2Yr'!T16</f>
        <v>1077652.6950000001</v>
      </c>
      <c r="U16" s="160">
        <f>+'Tuition-2Yr'!U16+'State Appropriations-2Yr'!U16+'Local Appropriations-2Yr'!U16+'Fed Contracts Grnts-2Yr'!U16+'Other Contracts Grnts-2Yr'!U16+'Investment Income-2Yr'!U16+'All Other E&amp;G-2Yr'!U16</f>
        <v>1156754.7789999999</v>
      </c>
      <c r="V16" s="160">
        <f>+'Tuition-2Yr'!V16+'State Appropriations-2Yr'!V16+'Local Appropriations-2Yr'!V16+'Fed Contracts Grnts-2Yr'!V16+'Other Contracts Grnts-2Yr'!V16+'Investment Income-2Yr'!V16+'All Other E&amp;G-2Yr'!V16</f>
        <v>1186269.0209999999</v>
      </c>
      <c r="W16" s="160">
        <f>+'Tuition-2Yr'!W16+'State Appropriations-2Yr'!W16+'Local Appropriations-2Yr'!W16+'Fed Contracts Grnts-2Yr'!W16+'Other Contracts Grnts-2Yr'!W16+'Investment Income-2Yr'!W16+'All Other E&amp;G-2Yr'!W16</f>
        <v>1351178.7830000001</v>
      </c>
      <c r="X16" s="160">
        <f>+'Tuition-2Yr'!X16+'State Appropriations-2Yr'!X16+'Local Appropriations-2Yr'!X16+'Fed Contracts Grnts-2Yr'!X16+'Other Contracts Grnts-2Yr'!X16+'Investment Income-2Yr'!X16+'All Other E&amp;G-2Yr'!X16</f>
        <v>1339797.3220000002</v>
      </c>
      <c r="Y16" s="160">
        <f>+'Tuition-2Yr'!Y16+'State Appropriations-2Yr'!Y16+'Local Appropriations-2Yr'!Y16+'Fed Contracts Grnts-2Yr'!Y16+'Other Contracts Grnts-2Yr'!Y16+'Investment Income-2Yr'!Y16+'All Other E&amp;G-2Yr'!Y16</f>
        <v>1457659.8930000002</v>
      </c>
      <c r="Z16" s="160">
        <f>+'Tuition-2Yr'!Z16+'State Appropriations-2Yr'!Z16+'Local Appropriations-2Yr'!Z16+'Fed Contracts Grnts-2Yr'!Z16+'Other Contracts Grnts-2Yr'!Z16+'Investment Income-2Yr'!Z16+'All Other E&amp;G-2Yr'!Z16</f>
        <v>1555350.4939999999</v>
      </c>
      <c r="AA16" s="160">
        <f>+'Tuition-2Yr'!AA16+'State Appropriations-2Yr'!AA16+'Local Appropriations-2Yr'!AA16+'Fed Contracts Grnts-2Yr'!AA16+'Other Contracts Grnts-2Yr'!AA16+'Investment Income-2Yr'!AA16+'All Other E&amp;G-2Yr'!AA16</f>
        <v>1739608.5219999999</v>
      </c>
      <c r="AB16" s="160">
        <f>+'Tuition-2Yr'!AB16+'State Appropriations-2Yr'!AB16+'Local Appropriations-2Yr'!AB16+'Fed Contracts Grnts-2Yr'!AB16+'Other Contracts Grnts-2Yr'!AB16+'Investment Income-2Yr'!AB16+'All Other E&amp;G-2Yr'!AB16</f>
        <v>2010296.2719999996</v>
      </c>
      <c r="AC16" s="160">
        <f>+'Tuition-2Yr'!AC16+'State Appropriations-2Yr'!AC16+'Local Appropriations-2Yr'!AC16+'Fed Contracts Grnts-2Yr'!AC16+'Other Contracts Grnts-2Yr'!AC16+'Investment Income-2Yr'!AC16+'All Other E&amp;G-2Yr'!AC16</f>
        <v>2189754</v>
      </c>
      <c r="AD16" s="160">
        <f>+'Tuition-2Yr'!AD16+'State Appropriations-2Yr'!AD16+'Local Appropriations-2Yr'!AD16+'Fed Contracts Grnts-2Yr'!AD16+'Other Contracts Grnts-2Yr'!AD16+'Investment Income-2Yr'!AD16+'All Other E&amp;G-2Yr'!AD16</f>
        <v>2178824.67</v>
      </c>
      <c r="AE16" s="160">
        <f>+'Tuition-2Yr'!AE16+'State Appropriations-2Yr'!AE16+'Local Appropriations-2Yr'!AE16+'Fed Contracts Grnts-2Yr'!AE16+'Other Contracts Grnts-2Yr'!AE16+'Investment Income-2Yr'!AE16+'All Other E&amp;G-2Yr'!AE16</f>
        <v>2244431.8689999999</v>
      </c>
      <c r="AF16" s="160">
        <f>+'Tuition-2Yr'!AF16+'State Appropriations-2Yr'!AF16+'Local Appropriations-2Yr'!AF16+'Fed Contracts Grnts-2Yr'!AF16+'Other Contracts Grnts-2Yr'!AF16+'Investment Income-2Yr'!AF16+'All Other E&amp;G-2Yr'!AF16</f>
        <v>2222105.1460000002</v>
      </c>
      <c r="AG16" s="160">
        <f>+'Tuition-2Yr'!AG16+'State Appropriations-2Yr'!AG16+'Local Appropriations-2Yr'!AG16+'Fed Contracts Grnts-2Yr'!AG16+'Other Contracts Grnts-2Yr'!AG16+'Investment Income-2Yr'!AG16+'All Other E&amp;G-2Yr'!AG16</f>
        <v>2252940.3400000003</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c r="HC16" s="20"/>
      <c r="HD16" s="20"/>
      <c r="HE16" s="20"/>
      <c r="HF16" s="20"/>
    </row>
    <row r="17" spans="1:214" s="65" customFormat="1" ht="12.75" customHeight="1">
      <c r="A17" s="14" t="s">
        <v>10</v>
      </c>
      <c r="B17" s="160">
        <f>+'Tuition-2Yr'!B17+'State Appropriations-2Yr'!B17+'Local Appropriations-2Yr'!B17+'Fed Contracts Grnts-2Yr'!B17+'Other Contracts Grnts-2Yr'!B17+'Investment Income-2Yr'!B17+'All Other E&amp;G-2Yr'!B17</f>
        <v>93152</v>
      </c>
      <c r="C17" s="160">
        <f>+'Tuition-2Yr'!C17+'State Appropriations-2Yr'!C17+'Local Appropriations-2Yr'!C17+'Fed Contracts Grnts-2Yr'!C17+'Other Contracts Grnts-2Yr'!C17+'Investment Income-2Yr'!C17+'All Other E&amp;G-2Yr'!C17</f>
        <v>98309</v>
      </c>
      <c r="D17" s="160">
        <f>+'Tuition-2Yr'!D17+'State Appropriations-2Yr'!D17+'Local Appropriations-2Yr'!D17+'Fed Contracts Grnts-2Yr'!D17+'Other Contracts Grnts-2Yr'!D17+'Investment Income-2Yr'!D17+'All Other E&amp;G-2Yr'!D17</f>
        <v>114052</v>
      </c>
      <c r="E17" s="160">
        <f>+'Tuition-2Yr'!E17+'State Appropriations-2Yr'!E17+'Local Appropriations-2Yr'!E17+'Fed Contracts Grnts-2Yr'!E17+'Other Contracts Grnts-2Yr'!E17+'Investment Income-2Yr'!E17+'All Other E&amp;G-2Yr'!E17</f>
        <v>0</v>
      </c>
      <c r="F17" s="160">
        <f>+'Tuition-2Yr'!F17+'State Appropriations-2Yr'!F17+'Local Appropriations-2Yr'!F17+'Fed Contracts Grnts-2Yr'!F17+'Other Contracts Grnts-2Yr'!F17+'Investment Income-2Yr'!F17+'All Other E&amp;G-2Yr'!F17</f>
        <v>0</v>
      </c>
      <c r="G17" s="160">
        <f>+'Tuition-2Yr'!G17+'State Appropriations-2Yr'!G17+'Local Appropriations-2Yr'!G17+'Fed Contracts Grnts-2Yr'!G17+'Other Contracts Grnts-2Yr'!G17+'Investment Income-2Yr'!G17+'All Other E&amp;G-2Yr'!G17</f>
        <v>0</v>
      </c>
      <c r="H17" s="160">
        <f>+'Tuition-2Yr'!H17+'State Appropriations-2Yr'!H17+'Local Appropriations-2Yr'!H17+'Fed Contracts Grnts-2Yr'!H17+'Other Contracts Grnts-2Yr'!H17+'Investment Income-2Yr'!H17+'All Other E&amp;G-2Yr'!H17</f>
        <v>0</v>
      </c>
      <c r="I17" s="160">
        <f>+'Tuition-2Yr'!I17+'State Appropriations-2Yr'!I17+'Local Appropriations-2Yr'!I17+'Fed Contracts Grnts-2Yr'!I17+'Other Contracts Grnts-2Yr'!I17+'Investment Income-2Yr'!I17+'All Other E&amp;G-2Yr'!I17</f>
        <v>170799.89499999999</v>
      </c>
      <c r="J17" s="160">
        <f>+'Tuition-2Yr'!J17+'State Appropriations-2Yr'!J17+'Local Appropriations-2Yr'!J17+'Fed Contracts Grnts-2Yr'!J17+'Other Contracts Grnts-2Yr'!J17+'Investment Income-2Yr'!J17+'All Other E&amp;G-2Yr'!J17</f>
        <v>196423.08599999998</v>
      </c>
      <c r="K17" s="160">
        <f>+'Tuition-2Yr'!K17+'State Appropriations-2Yr'!K17+'Local Appropriations-2Yr'!K17+'Fed Contracts Grnts-2Yr'!K17+'Other Contracts Grnts-2Yr'!K17+'Investment Income-2Yr'!K17+'All Other E&amp;G-2Yr'!K17</f>
        <v>197250.88</v>
      </c>
      <c r="L17" s="160">
        <f>+'Tuition-2Yr'!L17+'State Appropriations-2Yr'!L17+'Local Appropriations-2Yr'!L17+'Fed Contracts Grnts-2Yr'!L17+'Other Contracts Grnts-2Yr'!L17+'Investment Income-2Yr'!L17+'All Other E&amp;G-2Yr'!L17</f>
        <v>202624.39300000001</v>
      </c>
      <c r="M17" s="160">
        <f>+'Tuition-2Yr'!M17+'State Appropriations-2Yr'!M17+'Local Appropriations-2Yr'!M17+'Fed Contracts Grnts-2Yr'!M17+'Other Contracts Grnts-2Yr'!M17+'Investment Income-2Yr'!M17+'All Other E&amp;G-2Yr'!M17</f>
        <v>205017.86500000002</v>
      </c>
      <c r="N17" s="160">
        <f>+'Tuition-2Yr'!N17+'State Appropriations-2Yr'!N17+'Local Appropriations-2Yr'!N17+'Fed Contracts Grnts-2Yr'!N17+'Other Contracts Grnts-2Yr'!N17+'Investment Income-2Yr'!N17+'All Other E&amp;G-2Yr'!N17</f>
        <v>215266.758</v>
      </c>
      <c r="O17" s="160">
        <f>+'Tuition-2Yr'!O17+'State Appropriations-2Yr'!O17+'Local Appropriations-2Yr'!O17+'Fed Contracts Grnts-2Yr'!O17+'Other Contracts Grnts-2Yr'!O17+'Investment Income-2Yr'!O17+'All Other E&amp;G-2Yr'!O17</f>
        <v>234679.99163999999</v>
      </c>
      <c r="P17" s="160">
        <f>+'Tuition-2Yr'!P17+'State Appropriations-2Yr'!P17+'Local Appropriations-2Yr'!P17+'Fed Contracts Grnts-2Yr'!P17+'Other Contracts Grnts-2Yr'!P17+'Investment Income-2Yr'!P17+'All Other E&amp;G-2Yr'!P17</f>
        <v>0</v>
      </c>
      <c r="Q17" s="160">
        <f>+'Tuition-2Yr'!Q17+'State Appropriations-2Yr'!Q17+'Local Appropriations-2Yr'!Q17+'Fed Contracts Grnts-2Yr'!Q17+'Other Contracts Grnts-2Yr'!Q17+'Investment Income-2Yr'!Q17+'All Other E&amp;G-2Yr'!Q17</f>
        <v>0</v>
      </c>
      <c r="R17" s="160">
        <f>+'Tuition-2Yr'!R17+'State Appropriations-2Yr'!R17+'Local Appropriations-2Yr'!R17+'Fed Contracts Grnts-2Yr'!R17+'Other Contracts Grnts-2Yr'!R17+'Investment Income-2Yr'!R17+'All Other E&amp;G-2Yr'!R17</f>
        <v>264651.54699999996</v>
      </c>
      <c r="S17" s="160">
        <f>+'Tuition-2Yr'!S17+'State Appropriations-2Yr'!S17+'Local Appropriations-2Yr'!S17+'Fed Contracts Grnts-2Yr'!S17+'Other Contracts Grnts-2Yr'!S17+'Investment Income-2Yr'!S17+'All Other E&amp;G-2Yr'!S17</f>
        <v>404381.69200000004</v>
      </c>
      <c r="T17" s="160">
        <f>+'Tuition-2Yr'!T17+'State Appropriations-2Yr'!T17+'Local Appropriations-2Yr'!T17+'Fed Contracts Grnts-2Yr'!T17+'Other Contracts Grnts-2Yr'!T17+'Investment Income-2Yr'!T17+'All Other E&amp;G-2Yr'!T17</f>
        <v>348080.78599999996</v>
      </c>
      <c r="U17" s="160">
        <f>+'Tuition-2Yr'!U17+'State Appropriations-2Yr'!U17+'Local Appropriations-2Yr'!U17+'Fed Contracts Grnts-2Yr'!U17+'Other Contracts Grnts-2Yr'!U17+'Investment Income-2Yr'!U17+'All Other E&amp;G-2Yr'!U17</f>
        <v>317127.72500000003</v>
      </c>
      <c r="V17" s="160">
        <f>+'Tuition-2Yr'!V17+'State Appropriations-2Yr'!V17+'Local Appropriations-2Yr'!V17+'Fed Contracts Grnts-2Yr'!V17+'Other Contracts Grnts-2Yr'!V17+'Investment Income-2Yr'!V17+'All Other E&amp;G-2Yr'!V17</f>
        <v>310274.83400000003</v>
      </c>
      <c r="W17" s="160">
        <f>+'Tuition-2Yr'!W17+'State Appropriations-2Yr'!W17+'Local Appropriations-2Yr'!W17+'Fed Contracts Grnts-2Yr'!W17+'Other Contracts Grnts-2Yr'!W17+'Investment Income-2Yr'!W17+'All Other E&amp;G-2Yr'!W17</f>
        <v>359497.29200000002</v>
      </c>
      <c r="X17" s="160">
        <f>+'Tuition-2Yr'!X17+'State Appropriations-2Yr'!X17+'Local Appropriations-2Yr'!X17+'Fed Contracts Grnts-2Yr'!X17+'Other Contracts Grnts-2Yr'!X17+'Investment Income-2Yr'!X17+'All Other E&amp;G-2Yr'!X17</f>
        <v>344754.09300000005</v>
      </c>
      <c r="Y17" s="160">
        <f>+'Tuition-2Yr'!Y17+'State Appropriations-2Yr'!Y17+'Local Appropriations-2Yr'!Y17+'Fed Contracts Grnts-2Yr'!Y17+'Other Contracts Grnts-2Yr'!Y17+'Investment Income-2Yr'!Y17+'All Other E&amp;G-2Yr'!Y17</f>
        <v>353779.61699999991</v>
      </c>
      <c r="Z17" s="160">
        <f>+'Tuition-2Yr'!Z17+'State Appropriations-2Yr'!Z17+'Local Appropriations-2Yr'!Z17+'Fed Contracts Grnts-2Yr'!Z17+'Other Contracts Grnts-2Yr'!Z17+'Investment Income-2Yr'!Z17+'All Other E&amp;G-2Yr'!Z17</f>
        <v>413225.67499999999</v>
      </c>
      <c r="AA17" s="160">
        <f>+'Tuition-2Yr'!AA17+'State Appropriations-2Yr'!AA17+'Local Appropriations-2Yr'!AA17+'Fed Contracts Grnts-2Yr'!AA17+'Other Contracts Grnts-2Yr'!AA17+'Investment Income-2Yr'!AA17+'All Other E&amp;G-2Yr'!AA17</f>
        <v>508535.717</v>
      </c>
      <c r="AB17" s="160">
        <f>+'Tuition-2Yr'!AB17+'State Appropriations-2Yr'!AB17+'Local Appropriations-2Yr'!AB17+'Fed Contracts Grnts-2Yr'!AB17+'Other Contracts Grnts-2Yr'!AB17+'Investment Income-2Yr'!AB17+'All Other E&amp;G-2Yr'!AB17</f>
        <v>576235.85200000007</v>
      </c>
      <c r="AC17" s="160">
        <f>+'Tuition-2Yr'!AC17+'State Appropriations-2Yr'!AC17+'Local Appropriations-2Yr'!AC17+'Fed Contracts Grnts-2Yr'!AC17+'Other Contracts Grnts-2Yr'!AC17+'Investment Income-2Yr'!AC17+'All Other E&amp;G-2Yr'!AC17</f>
        <v>621496</v>
      </c>
      <c r="AD17" s="160">
        <f>+'Tuition-2Yr'!AD17+'State Appropriations-2Yr'!AD17+'Local Appropriations-2Yr'!AD17+'Fed Contracts Grnts-2Yr'!AD17+'Other Contracts Grnts-2Yr'!AD17+'Investment Income-2Yr'!AD17+'All Other E&amp;G-2Yr'!AD17</f>
        <v>627020.24899999995</v>
      </c>
      <c r="AE17" s="160">
        <f>+'Tuition-2Yr'!AE17+'State Appropriations-2Yr'!AE17+'Local Appropriations-2Yr'!AE17+'Fed Contracts Grnts-2Yr'!AE17+'Other Contracts Grnts-2Yr'!AE17+'Investment Income-2Yr'!AE17+'All Other E&amp;G-2Yr'!AE17</f>
        <v>615843.821</v>
      </c>
      <c r="AF17" s="160">
        <f>+'Tuition-2Yr'!AF17+'State Appropriations-2Yr'!AF17+'Local Appropriations-2Yr'!AF17+'Fed Contracts Grnts-2Yr'!AF17+'Other Contracts Grnts-2Yr'!AF17+'Investment Income-2Yr'!AF17+'All Other E&amp;G-2Yr'!AF17</f>
        <v>602345.5149999999</v>
      </c>
      <c r="AG17" s="160">
        <f>+'Tuition-2Yr'!AG17+'State Appropriations-2Yr'!AG17+'Local Appropriations-2Yr'!AG17+'Fed Contracts Grnts-2Yr'!AG17+'Other Contracts Grnts-2Yr'!AG17+'Investment Income-2Yr'!AG17+'All Other E&amp;G-2Yr'!AG17</f>
        <v>605904.20900000003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c r="HC17" s="20"/>
      <c r="HD17" s="20"/>
      <c r="HE17" s="20"/>
      <c r="HF17" s="20"/>
    </row>
    <row r="18" spans="1:214" s="65" customFormat="1" ht="12.75" customHeight="1">
      <c r="A18" s="14" t="s">
        <v>11</v>
      </c>
      <c r="B18" s="160">
        <f>+'Tuition-2Yr'!B18+'State Appropriations-2Yr'!B18+'Local Appropriations-2Yr'!B18+'Fed Contracts Grnts-2Yr'!B18+'Other Contracts Grnts-2Yr'!B18+'Investment Income-2Yr'!B18+'All Other E&amp;G-2Yr'!B18</f>
        <v>121248</v>
      </c>
      <c r="C18" s="160">
        <f>+'Tuition-2Yr'!C18+'State Appropriations-2Yr'!C18+'Local Appropriations-2Yr'!C18+'Fed Contracts Grnts-2Yr'!C18+'Other Contracts Grnts-2Yr'!C18+'Investment Income-2Yr'!C18+'All Other E&amp;G-2Yr'!C18</f>
        <v>130470</v>
      </c>
      <c r="D18" s="160">
        <f>+'Tuition-2Yr'!D18+'State Appropriations-2Yr'!D18+'Local Appropriations-2Yr'!D18+'Fed Contracts Grnts-2Yr'!D18+'Other Contracts Grnts-2Yr'!D18+'Investment Income-2Yr'!D18+'All Other E&amp;G-2Yr'!D18</f>
        <v>144484</v>
      </c>
      <c r="E18" s="160">
        <f>+'Tuition-2Yr'!E18+'State Appropriations-2Yr'!E18+'Local Appropriations-2Yr'!E18+'Fed Contracts Grnts-2Yr'!E18+'Other Contracts Grnts-2Yr'!E18+'Investment Income-2Yr'!E18+'All Other E&amp;G-2Yr'!E18</f>
        <v>0</v>
      </c>
      <c r="F18" s="160">
        <f>+'Tuition-2Yr'!F18+'State Appropriations-2Yr'!F18+'Local Appropriations-2Yr'!F18+'Fed Contracts Grnts-2Yr'!F18+'Other Contracts Grnts-2Yr'!F18+'Investment Income-2Yr'!F18+'All Other E&amp;G-2Yr'!F18</f>
        <v>0</v>
      </c>
      <c r="G18" s="160">
        <f>+'Tuition-2Yr'!G18+'State Appropriations-2Yr'!G18+'Local Appropriations-2Yr'!G18+'Fed Contracts Grnts-2Yr'!G18+'Other Contracts Grnts-2Yr'!G18+'Investment Income-2Yr'!G18+'All Other E&amp;G-2Yr'!G18</f>
        <v>0</v>
      </c>
      <c r="H18" s="160">
        <f>+'Tuition-2Yr'!H18+'State Appropriations-2Yr'!H18+'Local Appropriations-2Yr'!H18+'Fed Contracts Grnts-2Yr'!H18+'Other Contracts Grnts-2Yr'!H18+'Investment Income-2Yr'!H18+'All Other E&amp;G-2Yr'!H18</f>
        <v>0</v>
      </c>
      <c r="I18" s="160">
        <f>+'Tuition-2Yr'!I18+'State Appropriations-2Yr'!I18+'Local Appropriations-2Yr'!I18+'Fed Contracts Grnts-2Yr'!I18+'Other Contracts Grnts-2Yr'!I18+'Investment Income-2Yr'!I18+'All Other E&amp;G-2Yr'!I18</f>
        <v>213930.90100000001</v>
      </c>
      <c r="J18" s="160">
        <f>+'Tuition-2Yr'!J18+'State Appropriations-2Yr'!J18+'Local Appropriations-2Yr'!J18+'Fed Contracts Grnts-2Yr'!J18+'Other Contracts Grnts-2Yr'!J18+'Investment Income-2Yr'!J18+'All Other E&amp;G-2Yr'!J18</f>
        <v>232912.23699999996</v>
      </c>
      <c r="K18" s="160">
        <f>+'Tuition-2Yr'!K18+'State Appropriations-2Yr'!K18+'Local Appropriations-2Yr'!K18+'Fed Contracts Grnts-2Yr'!K18+'Other Contracts Grnts-2Yr'!K18+'Investment Income-2Yr'!K18+'All Other E&amp;G-2Yr'!K18</f>
        <v>248923.78899999999</v>
      </c>
      <c r="L18" s="160">
        <f>+'Tuition-2Yr'!L18+'State Appropriations-2Yr'!L18+'Local Appropriations-2Yr'!L18+'Fed Contracts Grnts-2Yr'!L18+'Other Contracts Grnts-2Yr'!L18+'Investment Income-2Yr'!L18+'All Other E&amp;G-2Yr'!L18</f>
        <v>262259.89500000002</v>
      </c>
      <c r="M18" s="160">
        <f>+'Tuition-2Yr'!M18+'State Appropriations-2Yr'!M18+'Local Appropriations-2Yr'!M18+'Fed Contracts Grnts-2Yr'!M18+'Other Contracts Grnts-2Yr'!M18+'Investment Income-2Yr'!M18+'All Other E&amp;G-2Yr'!M18</f>
        <v>273211.88900000002</v>
      </c>
      <c r="N18" s="160">
        <f>+'Tuition-2Yr'!N18+'State Appropriations-2Yr'!N18+'Local Appropriations-2Yr'!N18+'Fed Contracts Grnts-2Yr'!N18+'Other Contracts Grnts-2Yr'!N18+'Investment Income-2Yr'!N18+'All Other E&amp;G-2Yr'!N18</f>
        <v>288449.11600000004</v>
      </c>
      <c r="O18" s="160">
        <f>+'Tuition-2Yr'!O18+'State Appropriations-2Yr'!O18+'Local Appropriations-2Yr'!O18+'Fed Contracts Grnts-2Yr'!O18+'Other Contracts Grnts-2Yr'!O18+'Investment Income-2Yr'!O18+'All Other E&amp;G-2Yr'!O18</f>
        <v>315035.886</v>
      </c>
      <c r="P18" s="160">
        <f>+'Tuition-2Yr'!P18+'State Appropriations-2Yr'!P18+'Local Appropriations-2Yr'!P18+'Fed Contracts Grnts-2Yr'!P18+'Other Contracts Grnts-2Yr'!P18+'Investment Income-2Yr'!P18+'All Other E&amp;G-2Yr'!P18</f>
        <v>0</v>
      </c>
      <c r="Q18" s="160">
        <f>+'Tuition-2Yr'!Q18+'State Appropriations-2Yr'!Q18+'Local Appropriations-2Yr'!Q18+'Fed Contracts Grnts-2Yr'!Q18+'Other Contracts Grnts-2Yr'!Q18+'Investment Income-2Yr'!Q18+'All Other E&amp;G-2Yr'!Q18</f>
        <v>0</v>
      </c>
      <c r="R18" s="160">
        <f>+'Tuition-2Yr'!R18+'State Appropriations-2Yr'!R18+'Local Appropriations-2Yr'!R18+'Fed Contracts Grnts-2Yr'!R18+'Other Contracts Grnts-2Yr'!R18+'Investment Income-2Yr'!R18+'All Other E&amp;G-2Yr'!R18</f>
        <v>400711.75799999997</v>
      </c>
      <c r="S18" s="160">
        <f>+'Tuition-2Yr'!S18+'State Appropriations-2Yr'!S18+'Local Appropriations-2Yr'!S18+'Fed Contracts Grnts-2Yr'!S18+'Other Contracts Grnts-2Yr'!S18+'Investment Income-2Yr'!S18+'All Other E&amp;G-2Yr'!S18</f>
        <v>428235.96700000006</v>
      </c>
      <c r="T18" s="160">
        <f>+'Tuition-2Yr'!T18+'State Appropriations-2Yr'!T18+'Local Appropriations-2Yr'!T18+'Fed Contracts Grnts-2Yr'!T18+'Other Contracts Grnts-2Yr'!T18+'Investment Income-2Yr'!T18+'All Other E&amp;G-2Yr'!T18</f>
        <v>489343.11199999991</v>
      </c>
      <c r="U18" s="160">
        <f>+'Tuition-2Yr'!U18+'State Appropriations-2Yr'!U18+'Local Appropriations-2Yr'!U18+'Fed Contracts Grnts-2Yr'!U18+'Other Contracts Grnts-2Yr'!U18+'Investment Income-2Yr'!U18+'All Other E&amp;G-2Yr'!U18</f>
        <v>509474.46900000004</v>
      </c>
      <c r="V18" s="160">
        <f>+'Tuition-2Yr'!V18+'State Appropriations-2Yr'!V18+'Local Appropriations-2Yr'!V18+'Fed Contracts Grnts-2Yr'!V18+'Other Contracts Grnts-2Yr'!V18+'Investment Income-2Yr'!V18+'All Other E&amp;G-2Yr'!V18</f>
        <v>504815.09</v>
      </c>
      <c r="W18" s="160">
        <f>+'Tuition-2Yr'!W18+'State Appropriations-2Yr'!W18+'Local Appropriations-2Yr'!W18+'Fed Contracts Grnts-2Yr'!W18+'Other Contracts Grnts-2Yr'!W18+'Investment Income-2Yr'!W18+'All Other E&amp;G-2Yr'!W18</f>
        <v>627293.99</v>
      </c>
      <c r="X18" s="160">
        <f>+'Tuition-2Yr'!X18+'State Appropriations-2Yr'!X18+'Local Appropriations-2Yr'!X18+'Fed Contracts Grnts-2Yr'!X18+'Other Contracts Grnts-2Yr'!X18+'Investment Income-2Yr'!X18+'All Other E&amp;G-2Yr'!X18</f>
        <v>555636.83700000006</v>
      </c>
      <c r="Y18" s="160">
        <f>+'Tuition-2Yr'!Y18+'State Appropriations-2Yr'!Y18+'Local Appropriations-2Yr'!Y18+'Fed Contracts Grnts-2Yr'!Y18+'Other Contracts Grnts-2Yr'!Y18+'Investment Income-2Yr'!Y18+'All Other E&amp;G-2Yr'!Y18</f>
        <v>614545.80699999991</v>
      </c>
      <c r="Z18" s="160">
        <f>+'Tuition-2Yr'!Z18+'State Appropriations-2Yr'!Z18+'Local Appropriations-2Yr'!Z18+'Fed Contracts Grnts-2Yr'!Z18+'Other Contracts Grnts-2Yr'!Z18+'Investment Income-2Yr'!Z18+'All Other E&amp;G-2Yr'!Z18</f>
        <v>676874.44300000009</v>
      </c>
      <c r="AA18" s="160">
        <f>+'Tuition-2Yr'!AA18+'State Appropriations-2Yr'!AA18+'Local Appropriations-2Yr'!AA18+'Fed Contracts Grnts-2Yr'!AA18+'Other Contracts Grnts-2Yr'!AA18+'Investment Income-2Yr'!AA18+'All Other E&amp;G-2Yr'!AA18</f>
        <v>801844.63599999994</v>
      </c>
      <c r="AB18" s="160">
        <f>+'Tuition-2Yr'!AB18+'State Appropriations-2Yr'!AB18+'Local Appropriations-2Yr'!AB18+'Fed Contracts Grnts-2Yr'!AB18+'Other Contracts Grnts-2Yr'!AB18+'Investment Income-2Yr'!AB18+'All Other E&amp;G-2Yr'!AB18</f>
        <v>949116.755</v>
      </c>
      <c r="AC18" s="160">
        <f>+'Tuition-2Yr'!AC18+'State Appropriations-2Yr'!AC18+'Local Appropriations-2Yr'!AC18+'Fed Contracts Grnts-2Yr'!AC18+'Other Contracts Grnts-2Yr'!AC18+'Investment Income-2Yr'!AC18+'All Other E&amp;G-2Yr'!AC18</f>
        <v>993790</v>
      </c>
      <c r="AD18" s="160">
        <f>+'Tuition-2Yr'!AD18+'State Appropriations-2Yr'!AD18+'Local Appropriations-2Yr'!AD18+'Fed Contracts Grnts-2Yr'!AD18+'Other Contracts Grnts-2Yr'!AD18+'Investment Income-2Yr'!AD18+'All Other E&amp;G-2Yr'!AD18</f>
        <v>977485.64099999995</v>
      </c>
      <c r="AE18" s="160">
        <f>+'Tuition-2Yr'!AE18+'State Appropriations-2Yr'!AE18+'Local Appropriations-2Yr'!AE18+'Fed Contracts Grnts-2Yr'!AE18+'Other Contracts Grnts-2Yr'!AE18+'Investment Income-2Yr'!AE18+'All Other E&amp;G-2Yr'!AE18</f>
        <v>987976.25199999998</v>
      </c>
      <c r="AF18" s="160">
        <f>+'Tuition-2Yr'!AF18+'State Appropriations-2Yr'!AF18+'Local Appropriations-2Yr'!AF18+'Fed Contracts Grnts-2Yr'!AF18+'Other Contracts Grnts-2Yr'!AF18+'Investment Income-2Yr'!AF18+'All Other E&amp;G-2Yr'!AF18</f>
        <v>986713.83800000011</v>
      </c>
      <c r="AG18" s="160">
        <f>+'Tuition-2Yr'!AG18+'State Appropriations-2Yr'!AG18+'Local Appropriations-2Yr'!AG18+'Fed Contracts Grnts-2Yr'!AG18+'Other Contracts Grnts-2Yr'!AG18+'Investment Income-2Yr'!AG18+'All Other E&amp;G-2Yr'!AG18</f>
        <v>965012.30800000008</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c r="HC18" s="20"/>
      <c r="HD18" s="20"/>
      <c r="HE18" s="20"/>
      <c r="HF18" s="20"/>
    </row>
    <row r="19" spans="1:214" s="65" customFormat="1" ht="12.75" customHeight="1">
      <c r="A19" s="14" t="s">
        <v>12</v>
      </c>
      <c r="B19" s="160">
        <f>+'Tuition-2Yr'!B19+'State Appropriations-2Yr'!B19+'Local Appropriations-2Yr'!B19+'Fed Contracts Grnts-2Yr'!B19+'Other Contracts Grnts-2Yr'!B19+'Investment Income-2Yr'!B19+'All Other E&amp;G-2Yr'!B19</f>
        <v>117385</v>
      </c>
      <c r="C19" s="160">
        <f>+'Tuition-2Yr'!C19+'State Appropriations-2Yr'!C19+'Local Appropriations-2Yr'!C19+'Fed Contracts Grnts-2Yr'!C19+'Other Contracts Grnts-2Yr'!C19+'Investment Income-2Yr'!C19+'All Other E&amp;G-2Yr'!C19</f>
        <v>143019</v>
      </c>
      <c r="D19" s="160">
        <f>+'Tuition-2Yr'!D19+'State Appropriations-2Yr'!D19+'Local Appropriations-2Yr'!D19+'Fed Contracts Grnts-2Yr'!D19+'Other Contracts Grnts-2Yr'!D19+'Investment Income-2Yr'!D19+'All Other E&amp;G-2Yr'!D19</f>
        <v>158311</v>
      </c>
      <c r="E19" s="160">
        <f>+'Tuition-2Yr'!E19+'State Appropriations-2Yr'!E19+'Local Appropriations-2Yr'!E19+'Fed Contracts Grnts-2Yr'!E19+'Other Contracts Grnts-2Yr'!E19+'Investment Income-2Yr'!E19+'All Other E&amp;G-2Yr'!E19</f>
        <v>0</v>
      </c>
      <c r="F19" s="160">
        <f>+'Tuition-2Yr'!F19+'State Appropriations-2Yr'!F19+'Local Appropriations-2Yr'!F19+'Fed Contracts Grnts-2Yr'!F19+'Other Contracts Grnts-2Yr'!F19+'Investment Income-2Yr'!F19+'All Other E&amp;G-2Yr'!F19</f>
        <v>0</v>
      </c>
      <c r="G19" s="160">
        <f>+'Tuition-2Yr'!G19+'State Appropriations-2Yr'!G19+'Local Appropriations-2Yr'!G19+'Fed Contracts Grnts-2Yr'!G19+'Other Contracts Grnts-2Yr'!G19+'Investment Income-2Yr'!G19+'All Other E&amp;G-2Yr'!G19</f>
        <v>0</v>
      </c>
      <c r="H19" s="160">
        <f>+'Tuition-2Yr'!H19+'State Appropriations-2Yr'!H19+'Local Appropriations-2Yr'!H19+'Fed Contracts Grnts-2Yr'!H19+'Other Contracts Grnts-2Yr'!H19+'Investment Income-2Yr'!H19+'All Other E&amp;G-2Yr'!H19</f>
        <v>0</v>
      </c>
      <c r="I19" s="160">
        <f>+'Tuition-2Yr'!I19+'State Appropriations-2Yr'!I19+'Local Appropriations-2Yr'!I19+'Fed Contracts Grnts-2Yr'!I19+'Other Contracts Grnts-2Yr'!I19+'Investment Income-2Yr'!I19+'All Other E&amp;G-2Yr'!I19</f>
        <v>222080.18799999997</v>
      </c>
      <c r="J19" s="160">
        <f>+'Tuition-2Yr'!J19+'State Appropriations-2Yr'!J19+'Local Appropriations-2Yr'!J19+'Fed Contracts Grnts-2Yr'!J19+'Other Contracts Grnts-2Yr'!J19+'Investment Income-2Yr'!J19+'All Other E&amp;G-2Yr'!J19</f>
        <v>230102.28099999999</v>
      </c>
      <c r="K19" s="160">
        <f>+'Tuition-2Yr'!K19+'State Appropriations-2Yr'!K19+'Local Appropriations-2Yr'!K19+'Fed Contracts Grnts-2Yr'!K19+'Other Contracts Grnts-2Yr'!K19+'Investment Income-2Yr'!K19+'All Other E&amp;G-2Yr'!K19</f>
        <v>260923.97500000001</v>
      </c>
      <c r="L19" s="160">
        <f>+'Tuition-2Yr'!L19+'State Appropriations-2Yr'!L19+'Local Appropriations-2Yr'!L19+'Fed Contracts Grnts-2Yr'!L19+'Other Contracts Grnts-2Yr'!L19+'Investment Income-2Yr'!L19+'All Other E&amp;G-2Yr'!L19</f>
        <v>278644.20600000001</v>
      </c>
      <c r="M19" s="160">
        <f>+'Tuition-2Yr'!M19+'State Appropriations-2Yr'!M19+'Local Appropriations-2Yr'!M19+'Fed Contracts Grnts-2Yr'!M19+'Other Contracts Grnts-2Yr'!M19+'Investment Income-2Yr'!M19+'All Other E&amp;G-2Yr'!M19</f>
        <v>292593.99700000003</v>
      </c>
      <c r="N19" s="160">
        <f>+'Tuition-2Yr'!N19+'State Appropriations-2Yr'!N19+'Local Appropriations-2Yr'!N19+'Fed Contracts Grnts-2Yr'!N19+'Other Contracts Grnts-2Yr'!N19+'Investment Income-2Yr'!N19+'All Other E&amp;G-2Yr'!N19</f>
        <v>294463.83299999998</v>
      </c>
      <c r="O19" s="160">
        <f>+'Tuition-2Yr'!O19+'State Appropriations-2Yr'!O19+'Local Appropriations-2Yr'!O19+'Fed Contracts Grnts-2Yr'!O19+'Other Contracts Grnts-2Yr'!O19+'Investment Income-2Yr'!O19+'All Other E&amp;G-2Yr'!O19</f>
        <v>304948.20099999994</v>
      </c>
      <c r="P19" s="160">
        <f>+'Tuition-2Yr'!P19+'State Appropriations-2Yr'!P19+'Local Appropriations-2Yr'!P19+'Fed Contracts Grnts-2Yr'!P19+'Other Contracts Grnts-2Yr'!P19+'Investment Income-2Yr'!P19+'All Other E&amp;G-2Yr'!P19</f>
        <v>0</v>
      </c>
      <c r="Q19" s="160">
        <f>+'Tuition-2Yr'!Q19+'State Appropriations-2Yr'!Q19+'Local Appropriations-2Yr'!Q19+'Fed Contracts Grnts-2Yr'!Q19+'Other Contracts Grnts-2Yr'!Q19+'Investment Income-2Yr'!Q19+'All Other E&amp;G-2Yr'!Q19</f>
        <v>0</v>
      </c>
      <c r="R19" s="160">
        <f>+'Tuition-2Yr'!R19+'State Appropriations-2Yr'!R19+'Local Appropriations-2Yr'!R19+'Fed Contracts Grnts-2Yr'!R19+'Other Contracts Grnts-2Yr'!R19+'Investment Income-2Yr'!R19+'All Other E&amp;G-2Yr'!R19</f>
        <v>363838.07</v>
      </c>
      <c r="S19" s="160">
        <f>+'Tuition-2Yr'!S19+'State Appropriations-2Yr'!S19+'Local Appropriations-2Yr'!S19+'Fed Contracts Grnts-2Yr'!S19+'Other Contracts Grnts-2Yr'!S19+'Investment Income-2Yr'!S19+'All Other E&amp;G-2Yr'!S19</f>
        <v>385067.79299999995</v>
      </c>
      <c r="T19" s="160">
        <f>+'Tuition-2Yr'!T19+'State Appropriations-2Yr'!T19+'Local Appropriations-2Yr'!T19+'Fed Contracts Grnts-2Yr'!T19+'Other Contracts Grnts-2Yr'!T19+'Investment Income-2Yr'!T19+'All Other E&amp;G-2Yr'!T19</f>
        <v>404676.18100000004</v>
      </c>
      <c r="U19" s="160">
        <f>+'Tuition-2Yr'!U19+'State Appropriations-2Yr'!U19+'Local Appropriations-2Yr'!U19+'Fed Contracts Grnts-2Yr'!U19+'Other Contracts Grnts-2Yr'!U19+'Investment Income-2Yr'!U19+'All Other E&amp;G-2Yr'!U19</f>
        <v>391898.38500000001</v>
      </c>
      <c r="V19" s="160">
        <f>+'Tuition-2Yr'!V19+'State Appropriations-2Yr'!V19+'Local Appropriations-2Yr'!V19+'Fed Contracts Grnts-2Yr'!V19+'Other Contracts Grnts-2Yr'!V19+'Investment Income-2Yr'!V19+'All Other E&amp;G-2Yr'!V19</f>
        <v>404857.97699999996</v>
      </c>
      <c r="W19" s="160">
        <f>+'Tuition-2Yr'!W19+'State Appropriations-2Yr'!W19+'Local Appropriations-2Yr'!W19+'Fed Contracts Grnts-2Yr'!W19+'Other Contracts Grnts-2Yr'!W19+'Investment Income-2Yr'!W19+'All Other E&amp;G-2Yr'!W19</f>
        <v>483727.35</v>
      </c>
      <c r="X19" s="160">
        <f>+'Tuition-2Yr'!X19+'State Appropriations-2Yr'!X19+'Local Appropriations-2Yr'!X19+'Fed Contracts Grnts-2Yr'!X19+'Other Contracts Grnts-2Yr'!X19+'Investment Income-2Yr'!X19+'All Other E&amp;G-2Yr'!X19</f>
        <v>440302.03500000003</v>
      </c>
      <c r="Y19" s="160">
        <f>+'Tuition-2Yr'!Y19+'State Appropriations-2Yr'!Y19+'Local Appropriations-2Yr'!Y19+'Fed Contracts Grnts-2Yr'!Y19+'Other Contracts Grnts-2Yr'!Y19+'Investment Income-2Yr'!Y19+'All Other E&amp;G-2Yr'!Y19</f>
        <v>473890.97000000003</v>
      </c>
      <c r="Z19" s="160">
        <f>+'Tuition-2Yr'!Z19+'State Appropriations-2Yr'!Z19+'Local Appropriations-2Yr'!Z19+'Fed Contracts Grnts-2Yr'!Z19+'Other Contracts Grnts-2Yr'!Z19+'Investment Income-2Yr'!Z19+'All Other E&amp;G-2Yr'!Z19</f>
        <v>508930.679</v>
      </c>
      <c r="AA19" s="160">
        <f>+'Tuition-2Yr'!AA19+'State Appropriations-2Yr'!AA19+'Local Appropriations-2Yr'!AA19+'Fed Contracts Grnts-2Yr'!AA19+'Other Contracts Grnts-2Yr'!AA19+'Investment Income-2Yr'!AA19+'All Other E&amp;G-2Yr'!AA19</f>
        <v>613123.76800000004</v>
      </c>
      <c r="AB19" s="160">
        <f>+'Tuition-2Yr'!AB19+'State Appropriations-2Yr'!AB19+'Local Appropriations-2Yr'!AB19+'Fed Contracts Grnts-2Yr'!AB19+'Other Contracts Grnts-2Yr'!AB19+'Investment Income-2Yr'!AB19+'All Other E&amp;G-2Yr'!AB19</f>
        <v>757461.86700000009</v>
      </c>
      <c r="AC19" s="160">
        <f>+'Tuition-2Yr'!AC19+'State Appropriations-2Yr'!AC19+'Local Appropriations-2Yr'!AC19+'Fed Contracts Grnts-2Yr'!AC19+'Other Contracts Grnts-2Yr'!AC19+'Investment Income-2Yr'!AC19+'All Other E&amp;G-2Yr'!AC19</f>
        <v>818119</v>
      </c>
      <c r="AD19" s="160">
        <f>+'Tuition-2Yr'!AD19+'State Appropriations-2Yr'!AD19+'Local Appropriations-2Yr'!AD19+'Fed Contracts Grnts-2Yr'!AD19+'Other Contracts Grnts-2Yr'!AD19+'Investment Income-2Yr'!AD19+'All Other E&amp;G-2Yr'!AD19</f>
        <v>777144.50799999991</v>
      </c>
      <c r="AE19" s="160">
        <f>+'Tuition-2Yr'!AE19+'State Appropriations-2Yr'!AE19+'Local Appropriations-2Yr'!AE19+'Fed Contracts Grnts-2Yr'!AE19+'Other Contracts Grnts-2Yr'!AE19+'Investment Income-2Yr'!AE19+'All Other E&amp;G-2Yr'!AE19</f>
        <v>769107.72200000007</v>
      </c>
      <c r="AF19" s="160">
        <f>+'Tuition-2Yr'!AF19+'State Appropriations-2Yr'!AF19+'Local Appropriations-2Yr'!AF19+'Fed Contracts Grnts-2Yr'!AF19+'Other Contracts Grnts-2Yr'!AF19+'Investment Income-2Yr'!AF19+'All Other E&amp;G-2Yr'!AF19</f>
        <v>761054.83799999987</v>
      </c>
      <c r="AG19" s="160">
        <f>+'Tuition-2Yr'!AG19+'State Appropriations-2Yr'!AG19+'Local Appropriations-2Yr'!AG19+'Fed Contracts Grnts-2Yr'!AG19+'Other Contracts Grnts-2Yr'!AG19+'Investment Income-2Yr'!AG19+'All Other E&amp;G-2Yr'!AG19</f>
        <v>764765.66599999985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c r="HC19" s="20"/>
      <c r="HD19" s="20"/>
      <c r="HE19" s="20"/>
      <c r="HF19" s="20"/>
    </row>
    <row r="20" spans="1:214" s="65" customFormat="1" ht="12.75" customHeight="1">
      <c r="A20" s="14" t="s">
        <v>13</v>
      </c>
      <c r="B20" s="160">
        <f>+'Tuition-2Yr'!B20+'State Appropriations-2Yr'!B20+'Local Appropriations-2Yr'!B20+'Fed Contracts Grnts-2Yr'!B20+'Other Contracts Grnts-2Yr'!B20+'Investment Income-2Yr'!B20+'All Other E&amp;G-2Yr'!B20</f>
        <v>776819</v>
      </c>
      <c r="C20" s="160">
        <f>+'Tuition-2Yr'!C20+'State Appropriations-2Yr'!C20+'Local Appropriations-2Yr'!C20+'Fed Contracts Grnts-2Yr'!C20+'Other Contracts Grnts-2Yr'!C20+'Investment Income-2Yr'!C20+'All Other E&amp;G-2Yr'!C20</f>
        <v>840293</v>
      </c>
      <c r="D20" s="160">
        <f>+'Tuition-2Yr'!D20+'State Appropriations-2Yr'!D20+'Local Appropriations-2Yr'!D20+'Fed Contracts Grnts-2Yr'!D20+'Other Contracts Grnts-2Yr'!D20+'Investment Income-2Yr'!D20+'All Other E&amp;G-2Yr'!D20</f>
        <v>862041</v>
      </c>
      <c r="E20" s="160">
        <f>+'Tuition-2Yr'!E20+'State Appropriations-2Yr'!E20+'Local Appropriations-2Yr'!E20+'Fed Contracts Grnts-2Yr'!E20+'Other Contracts Grnts-2Yr'!E20+'Investment Income-2Yr'!E20+'All Other E&amp;G-2Yr'!E20</f>
        <v>0</v>
      </c>
      <c r="F20" s="160">
        <f>+'Tuition-2Yr'!F20+'State Appropriations-2Yr'!F20+'Local Appropriations-2Yr'!F20+'Fed Contracts Grnts-2Yr'!F20+'Other Contracts Grnts-2Yr'!F20+'Investment Income-2Yr'!F20+'All Other E&amp;G-2Yr'!F20</f>
        <v>0</v>
      </c>
      <c r="G20" s="160">
        <f>+'Tuition-2Yr'!G20+'State Appropriations-2Yr'!G20+'Local Appropriations-2Yr'!G20+'Fed Contracts Grnts-2Yr'!G20+'Other Contracts Grnts-2Yr'!G20+'Investment Income-2Yr'!G20+'All Other E&amp;G-2Yr'!G20</f>
        <v>0</v>
      </c>
      <c r="H20" s="160">
        <f>+'Tuition-2Yr'!H20+'State Appropriations-2Yr'!H20+'Local Appropriations-2Yr'!H20+'Fed Contracts Grnts-2Yr'!H20+'Other Contracts Grnts-2Yr'!H20+'Investment Income-2Yr'!H20+'All Other E&amp;G-2Yr'!H20</f>
        <v>0</v>
      </c>
      <c r="I20" s="160">
        <f>+'Tuition-2Yr'!I20+'State Appropriations-2Yr'!I20+'Local Appropriations-2Yr'!I20+'Fed Contracts Grnts-2Yr'!I20+'Other Contracts Grnts-2Yr'!I20+'Investment Income-2Yr'!I20+'All Other E&amp;G-2Yr'!I20</f>
        <v>1226612.4129999999</v>
      </c>
      <c r="J20" s="160">
        <f>+'Tuition-2Yr'!J20+'State Appropriations-2Yr'!J20+'Local Appropriations-2Yr'!J20+'Fed Contracts Grnts-2Yr'!J20+'Other Contracts Grnts-2Yr'!J20+'Investment Income-2Yr'!J20+'All Other E&amp;G-2Yr'!J20</f>
        <v>1311594.108</v>
      </c>
      <c r="K20" s="160">
        <f>+'Tuition-2Yr'!K20+'State Appropriations-2Yr'!K20+'Local Appropriations-2Yr'!K20+'Fed Contracts Grnts-2Yr'!K20+'Other Contracts Grnts-2Yr'!K20+'Investment Income-2Yr'!K20+'All Other E&amp;G-2Yr'!K20</f>
        <v>1456687.4949999999</v>
      </c>
      <c r="L20" s="160">
        <f>+'Tuition-2Yr'!L20+'State Appropriations-2Yr'!L20+'Local Appropriations-2Yr'!L20+'Fed Contracts Grnts-2Yr'!L20+'Other Contracts Grnts-2Yr'!L20+'Investment Income-2Yr'!L20+'All Other E&amp;G-2Yr'!L20</f>
        <v>1597268.425</v>
      </c>
      <c r="M20" s="160">
        <f>+'Tuition-2Yr'!M20+'State Appropriations-2Yr'!M20+'Local Appropriations-2Yr'!M20+'Fed Contracts Grnts-2Yr'!M20+'Other Contracts Grnts-2Yr'!M20+'Investment Income-2Yr'!M20+'All Other E&amp;G-2Yr'!M20</f>
        <v>1560776.5050000004</v>
      </c>
      <c r="N20" s="160">
        <f>+'Tuition-2Yr'!N20+'State Appropriations-2Yr'!N20+'Local Appropriations-2Yr'!N20+'Fed Contracts Grnts-2Yr'!N20+'Other Contracts Grnts-2Yr'!N20+'Investment Income-2Yr'!N20+'All Other E&amp;G-2Yr'!N20</f>
        <v>1737708.8190000001</v>
      </c>
      <c r="O20" s="160">
        <f>+'Tuition-2Yr'!O20+'State Appropriations-2Yr'!O20+'Local Appropriations-2Yr'!O20+'Fed Contracts Grnts-2Yr'!O20+'Other Contracts Grnts-2Yr'!O20+'Investment Income-2Yr'!O20+'All Other E&amp;G-2Yr'!O20</f>
        <v>1819824.8669999999</v>
      </c>
      <c r="P20" s="160">
        <f>+'Tuition-2Yr'!P20+'State Appropriations-2Yr'!P20+'Local Appropriations-2Yr'!P20+'Fed Contracts Grnts-2Yr'!P20+'Other Contracts Grnts-2Yr'!P20+'Investment Income-2Yr'!P20+'All Other E&amp;G-2Yr'!P20</f>
        <v>0</v>
      </c>
      <c r="Q20" s="160">
        <f>+'Tuition-2Yr'!Q20+'State Appropriations-2Yr'!Q20+'Local Appropriations-2Yr'!Q20+'Fed Contracts Grnts-2Yr'!Q20+'Other Contracts Grnts-2Yr'!Q20+'Investment Income-2Yr'!Q20+'All Other E&amp;G-2Yr'!Q20</f>
        <v>0</v>
      </c>
      <c r="R20" s="160">
        <f>+'Tuition-2Yr'!R20+'State Appropriations-2Yr'!R20+'Local Appropriations-2Yr'!R20+'Fed Contracts Grnts-2Yr'!R20+'Other Contracts Grnts-2Yr'!R20+'Investment Income-2Yr'!R20+'All Other E&amp;G-2Yr'!R20</f>
        <v>2177010.2510000002</v>
      </c>
      <c r="S20" s="160">
        <f>+'Tuition-2Yr'!S20+'State Appropriations-2Yr'!S20+'Local Appropriations-2Yr'!S20+'Fed Contracts Grnts-2Yr'!S20+'Other Contracts Grnts-2Yr'!S20+'Investment Income-2Yr'!S20+'All Other E&amp;G-2Yr'!S20</f>
        <v>2360696.7749999994</v>
      </c>
      <c r="T20" s="160">
        <f>+'Tuition-2Yr'!T20+'State Appropriations-2Yr'!T20+'Local Appropriations-2Yr'!T20+'Fed Contracts Grnts-2Yr'!T20+'Other Contracts Grnts-2Yr'!T20+'Investment Income-2Yr'!T20+'All Other E&amp;G-2Yr'!T20</f>
        <v>2737560.9309999999</v>
      </c>
      <c r="U20" s="160">
        <f>+'Tuition-2Yr'!U20+'State Appropriations-2Yr'!U20+'Local Appropriations-2Yr'!U20+'Fed Contracts Grnts-2Yr'!U20+'Other Contracts Grnts-2Yr'!U20+'Investment Income-2Yr'!U20+'All Other E&amp;G-2Yr'!U20</f>
        <v>2842984.3719999995</v>
      </c>
      <c r="V20" s="160">
        <f>+'Tuition-2Yr'!V20+'State Appropriations-2Yr'!V20+'Local Appropriations-2Yr'!V20+'Fed Contracts Grnts-2Yr'!V20+'Other Contracts Grnts-2Yr'!V20+'Investment Income-2Yr'!V20+'All Other E&amp;G-2Yr'!V20</f>
        <v>2885562.0559999994</v>
      </c>
      <c r="W20" s="160">
        <f>+'Tuition-2Yr'!W20+'State Appropriations-2Yr'!W20+'Local Appropriations-2Yr'!W20+'Fed Contracts Grnts-2Yr'!W20+'Other Contracts Grnts-2Yr'!W20+'Investment Income-2Yr'!W20+'All Other E&amp;G-2Yr'!W20</f>
        <v>3220762.9209999996</v>
      </c>
      <c r="X20" s="160">
        <f>+'Tuition-2Yr'!X20+'State Appropriations-2Yr'!X20+'Local Appropriations-2Yr'!X20+'Fed Contracts Grnts-2Yr'!X20+'Other Contracts Grnts-2Yr'!X20+'Investment Income-2Yr'!X20+'All Other E&amp;G-2Yr'!X20</f>
        <v>3237642.5360000003</v>
      </c>
      <c r="Y20" s="160">
        <f>+'Tuition-2Yr'!Y20+'State Appropriations-2Yr'!Y20+'Local Appropriations-2Yr'!Y20+'Fed Contracts Grnts-2Yr'!Y20+'Other Contracts Grnts-2Yr'!Y20+'Investment Income-2Yr'!Y20+'All Other E&amp;G-2Yr'!Y20</f>
        <v>3446571.7670000005</v>
      </c>
      <c r="Z20" s="160">
        <f>+'Tuition-2Yr'!Z20+'State Appropriations-2Yr'!Z20+'Local Appropriations-2Yr'!Z20+'Fed Contracts Grnts-2Yr'!Z20+'Other Contracts Grnts-2Yr'!Z20+'Investment Income-2Yr'!Z20+'All Other E&amp;G-2Yr'!Z20</f>
        <v>3725087.45</v>
      </c>
      <c r="AA20" s="160">
        <f>+'Tuition-2Yr'!AA20+'State Appropriations-2Yr'!AA20+'Local Appropriations-2Yr'!AA20+'Fed Contracts Grnts-2Yr'!AA20+'Other Contracts Grnts-2Yr'!AA20+'Investment Income-2Yr'!AA20+'All Other E&amp;G-2Yr'!AA20</f>
        <v>4503003.7050000001</v>
      </c>
      <c r="AB20" s="160">
        <f>+'Tuition-2Yr'!AB20+'State Appropriations-2Yr'!AB20+'Local Appropriations-2Yr'!AB20+'Fed Contracts Grnts-2Yr'!AB20+'Other Contracts Grnts-2Yr'!AB20+'Investment Income-2Yr'!AB20+'All Other E&amp;G-2Yr'!AB20</f>
        <v>5203760.0190000003</v>
      </c>
      <c r="AC20" s="160">
        <f>+'Tuition-2Yr'!AC20+'State Appropriations-2Yr'!AC20+'Local Appropriations-2Yr'!AC20+'Fed Contracts Grnts-2Yr'!AC20+'Other Contracts Grnts-2Yr'!AC20+'Investment Income-2Yr'!AC20+'All Other E&amp;G-2Yr'!AC20</f>
        <v>5572475</v>
      </c>
      <c r="AD20" s="160">
        <f>+'Tuition-2Yr'!AD20+'State Appropriations-2Yr'!AD20+'Local Appropriations-2Yr'!AD20+'Fed Contracts Grnts-2Yr'!AD20+'Other Contracts Grnts-2Yr'!AD20+'Investment Income-2Yr'!AD20+'All Other E&amp;G-2Yr'!AD20</f>
        <v>5535151.3050000006</v>
      </c>
      <c r="AE20" s="160">
        <f>+'Tuition-2Yr'!AE20+'State Appropriations-2Yr'!AE20+'Local Appropriations-2Yr'!AE20+'Fed Contracts Grnts-2Yr'!AE20+'Other Contracts Grnts-2Yr'!AE20+'Investment Income-2Yr'!AE20+'All Other E&amp;G-2Yr'!AE20</f>
        <v>5561027.8169999998</v>
      </c>
      <c r="AF20" s="160">
        <f>+'Tuition-2Yr'!AF20+'State Appropriations-2Yr'!AF20+'Local Appropriations-2Yr'!AF20+'Fed Contracts Grnts-2Yr'!AF20+'Other Contracts Grnts-2Yr'!AF20+'Investment Income-2Yr'!AF20+'All Other E&amp;G-2Yr'!AF20</f>
        <v>5662672.943</v>
      </c>
      <c r="AG20" s="160">
        <f>+'Tuition-2Yr'!AG20+'State Appropriations-2Yr'!AG20+'Local Appropriations-2Yr'!AG20+'Fed Contracts Grnts-2Yr'!AG20+'Other Contracts Grnts-2Yr'!AG20+'Investment Income-2Yr'!AG20+'All Other E&amp;G-2Yr'!AG20</f>
        <v>5698642.1490000011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c r="HC20" s="20"/>
      <c r="HD20" s="20"/>
      <c r="HE20" s="20"/>
      <c r="HF20" s="20"/>
    </row>
    <row r="21" spans="1:214" s="65" customFormat="1" ht="12.75" customHeight="1">
      <c r="A21" s="14" t="s">
        <v>14</v>
      </c>
      <c r="B21" s="160">
        <f>+'Tuition-2Yr'!B21+'State Appropriations-2Yr'!B21+'Local Appropriations-2Yr'!B21+'Fed Contracts Grnts-2Yr'!B21+'Other Contracts Grnts-2Yr'!B21+'Investment Income-2Yr'!B21+'All Other E&amp;G-2Yr'!B21</f>
        <v>177943</v>
      </c>
      <c r="C21" s="160">
        <f>+'Tuition-2Yr'!C21+'State Appropriations-2Yr'!C21+'Local Appropriations-2Yr'!C21+'Fed Contracts Grnts-2Yr'!C21+'Other Contracts Grnts-2Yr'!C21+'Investment Income-2Yr'!C21+'All Other E&amp;G-2Yr'!C21</f>
        <v>201076</v>
      </c>
      <c r="D21" s="160">
        <f>+'Tuition-2Yr'!D21+'State Appropriations-2Yr'!D21+'Local Appropriations-2Yr'!D21+'Fed Contracts Grnts-2Yr'!D21+'Other Contracts Grnts-2Yr'!D21+'Investment Income-2Yr'!D21+'All Other E&amp;G-2Yr'!D21</f>
        <v>215322</v>
      </c>
      <c r="E21" s="160">
        <f>+'Tuition-2Yr'!E21+'State Appropriations-2Yr'!E21+'Local Appropriations-2Yr'!E21+'Fed Contracts Grnts-2Yr'!E21+'Other Contracts Grnts-2Yr'!E21+'Investment Income-2Yr'!E21+'All Other E&amp;G-2Yr'!E21</f>
        <v>0</v>
      </c>
      <c r="F21" s="160">
        <f>+'Tuition-2Yr'!F21+'State Appropriations-2Yr'!F21+'Local Appropriations-2Yr'!F21+'Fed Contracts Grnts-2Yr'!F21+'Other Contracts Grnts-2Yr'!F21+'Investment Income-2Yr'!F21+'All Other E&amp;G-2Yr'!F21</f>
        <v>0</v>
      </c>
      <c r="G21" s="160">
        <f>+'Tuition-2Yr'!G21+'State Appropriations-2Yr'!G21+'Local Appropriations-2Yr'!G21+'Fed Contracts Grnts-2Yr'!G21+'Other Contracts Grnts-2Yr'!G21+'Investment Income-2Yr'!G21+'All Other E&amp;G-2Yr'!G21</f>
        <v>0</v>
      </c>
      <c r="H21" s="160">
        <f>+'Tuition-2Yr'!H21+'State Appropriations-2Yr'!H21+'Local Appropriations-2Yr'!H21+'Fed Contracts Grnts-2Yr'!H21+'Other Contracts Grnts-2Yr'!H21+'Investment Income-2Yr'!H21+'All Other E&amp;G-2Yr'!H21</f>
        <v>0</v>
      </c>
      <c r="I21" s="160">
        <f>+'Tuition-2Yr'!I21+'State Appropriations-2Yr'!I21+'Local Appropriations-2Yr'!I21+'Fed Contracts Grnts-2Yr'!I21+'Other Contracts Grnts-2Yr'!I21+'Investment Income-2Yr'!I21+'All Other E&amp;G-2Yr'!I21</f>
        <v>297333.28000000003</v>
      </c>
      <c r="J21" s="160">
        <f>+'Tuition-2Yr'!J21+'State Appropriations-2Yr'!J21+'Local Appropriations-2Yr'!J21+'Fed Contracts Grnts-2Yr'!J21+'Other Contracts Grnts-2Yr'!J21+'Investment Income-2Yr'!J21+'All Other E&amp;G-2Yr'!J21</f>
        <v>313780.29399999999</v>
      </c>
      <c r="K21" s="160">
        <f>+'Tuition-2Yr'!K21+'State Appropriations-2Yr'!K21+'Local Appropriations-2Yr'!K21+'Fed Contracts Grnts-2Yr'!K21+'Other Contracts Grnts-2Yr'!K21+'Investment Income-2Yr'!K21+'All Other E&amp;G-2Yr'!K21</f>
        <v>339257.99099999998</v>
      </c>
      <c r="L21" s="160">
        <f>+'Tuition-2Yr'!L21+'State Appropriations-2Yr'!L21+'Local Appropriations-2Yr'!L21+'Fed Contracts Grnts-2Yr'!L21+'Other Contracts Grnts-2Yr'!L21+'Investment Income-2Yr'!L21+'All Other E&amp;G-2Yr'!L21</f>
        <v>361336.98899999994</v>
      </c>
      <c r="M21" s="160">
        <f>+'Tuition-2Yr'!M21+'State Appropriations-2Yr'!M21+'Local Appropriations-2Yr'!M21+'Fed Contracts Grnts-2Yr'!M21+'Other Contracts Grnts-2Yr'!M21+'Investment Income-2Yr'!M21+'All Other E&amp;G-2Yr'!M21</f>
        <v>379465.30199999997</v>
      </c>
      <c r="N21" s="160">
        <f>+'Tuition-2Yr'!N21+'State Appropriations-2Yr'!N21+'Local Appropriations-2Yr'!N21+'Fed Contracts Grnts-2Yr'!N21+'Other Contracts Grnts-2Yr'!N21+'Investment Income-2Yr'!N21+'All Other E&amp;G-2Yr'!N21</f>
        <v>383395.63100000005</v>
      </c>
      <c r="O21" s="160">
        <f>+'Tuition-2Yr'!O21+'State Appropriations-2Yr'!O21+'Local Appropriations-2Yr'!O21+'Fed Contracts Grnts-2Yr'!O21+'Other Contracts Grnts-2Yr'!O21+'Investment Income-2Yr'!O21+'All Other E&amp;G-2Yr'!O21</f>
        <v>399016.223</v>
      </c>
      <c r="P21" s="160">
        <f>+'Tuition-2Yr'!P21+'State Appropriations-2Yr'!P21+'Local Appropriations-2Yr'!P21+'Fed Contracts Grnts-2Yr'!P21+'Other Contracts Grnts-2Yr'!P21+'Investment Income-2Yr'!P21+'All Other E&amp;G-2Yr'!P21</f>
        <v>0</v>
      </c>
      <c r="Q21" s="160">
        <f>+'Tuition-2Yr'!Q21+'State Appropriations-2Yr'!Q21+'Local Appropriations-2Yr'!Q21+'Fed Contracts Grnts-2Yr'!Q21+'Other Contracts Grnts-2Yr'!Q21+'Investment Income-2Yr'!Q21+'All Other E&amp;G-2Yr'!Q21</f>
        <v>0</v>
      </c>
      <c r="R21" s="160">
        <f>+'Tuition-2Yr'!R21+'State Appropriations-2Yr'!R21+'Local Appropriations-2Yr'!R21+'Fed Contracts Grnts-2Yr'!R21+'Other Contracts Grnts-2Yr'!R21+'Investment Income-2Yr'!R21+'All Other E&amp;G-2Yr'!R21</f>
        <v>495288.62099999998</v>
      </c>
      <c r="S21" s="160">
        <f>+'Tuition-2Yr'!S21+'State Appropriations-2Yr'!S21+'Local Appropriations-2Yr'!S21+'Fed Contracts Grnts-2Yr'!S21+'Other Contracts Grnts-2Yr'!S21+'Investment Income-2Yr'!S21+'All Other E&amp;G-2Yr'!S21</f>
        <v>532372.63</v>
      </c>
      <c r="T21" s="160">
        <f>+'Tuition-2Yr'!T21+'State Appropriations-2Yr'!T21+'Local Appropriations-2Yr'!T21+'Fed Contracts Grnts-2Yr'!T21+'Other Contracts Grnts-2Yr'!T21+'Investment Income-2Yr'!T21+'All Other E&amp;G-2Yr'!T21</f>
        <v>561006.33000000007</v>
      </c>
      <c r="U21" s="160">
        <f>+'Tuition-2Yr'!U21+'State Appropriations-2Yr'!U21+'Local Appropriations-2Yr'!U21+'Fed Contracts Grnts-2Yr'!U21+'Other Contracts Grnts-2Yr'!U21+'Investment Income-2Yr'!U21+'All Other E&amp;G-2Yr'!U21</f>
        <v>546295.8629999999</v>
      </c>
      <c r="V21" s="160">
        <f>+'Tuition-2Yr'!V21+'State Appropriations-2Yr'!V21+'Local Appropriations-2Yr'!V21+'Fed Contracts Grnts-2Yr'!V21+'Other Contracts Grnts-2Yr'!V21+'Investment Income-2Yr'!V21+'All Other E&amp;G-2Yr'!V21</f>
        <v>576757.31800000009</v>
      </c>
      <c r="W21" s="160">
        <f>+'Tuition-2Yr'!W21+'State Appropriations-2Yr'!W21+'Local Appropriations-2Yr'!W21+'Fed Contracts Grnts-2Yr'!W21+'Other Contracts Grnts-2Yr'!W21+'Investment Income-2Yr'!W21+'All Other E&amp;G-2Yr'!W21</f>
        <v>649699.16</v>
      </c>
      <c r="X21" s="160">
        <f>+'Tuition-2Yr'!X21+'State Appropriations-2Yr'!X21+'Local Appropriations-2Yr'!X21+'Fed Contracts Grnts-2Yr'!X21+'Other Contracts Grnts-2Yr'!X21+'Investment Income-2Yr'!X21+'All Other E&amp;G-2Yr'!X21</f>
        <v>682607.23100000003</v>
      </c>
      <c r="Y21" s="160">
        <f>+'Tuition-2Yr'!Y21+'State Appropriations-2Yr'!Y21+'Local Appropriations-2Yr'!Y21+'Fed Contracts Grnts-2Yr'!Y21+'Other Contracts Grnts-2Yr'!Y21+'Investment Income-2Yr'!Y21+'All Other E&amp;G-2Yr'!Y21</f>
        <v>731504.38600000017</v>
      </c>
      <c r="Z21" s="160">
        <f>+'Tuition-2Yr'!Z21+'State Appropriations-2Yr'!Z21+'Local Appropriations-2Yr'!Z21+'Fed Contracts Grnts-2Yr'!Z21+'Other Contracts Grnts-2Yr'!Z21+'Investment Income-2Yr'!Z21+'All Other E&amp;G-2Yr'!Z21</f>
        <v>815964.93900000001</v>
      </c>
      <c r="AA21" s="160">
        <f>+'Tuition-2Yr'!AA21+'State Appropriations-2Yr'!AA21+'Local Appropriations-2Yr'!AA21+'Fed Contracts Grnts-2Yr'!AA21+'Other Contracts Grnts-2Yr'!AA21+'Investment Income-2Yr'!AA21+'All Other E&amp;G-2Yr'!AA21</f>
        <v>919344.79800000007</v>
      </c>
      <c r="AB21" s="160">
        <f>+'Tuition-2Yr'!AB21+'State Appropriations-2Yr'!AB21+'Local Appropriations-2Yr'!AB21+'Fed Contracts Grnts-2Yr'!AB21+'Other Contracts Grnts-2Yr'!AB21+'Investment Income-2Yr'!AB21+'All Other E&amp;G-2Yr'!AB21</f>
        <v>1050946.3019999999</v>
      </c>
      <c r="AC21" s="160">
        <f>+'Tuition-2Yr'!AC21+'State Appropriations-2Yr'!AC21+'Local Appropriations-2Yr'!AC21+'Fed Contracts Grnts-2Yr'!AC21+'Other Contracts Grnts-2Yr'!AC21+'Investment Income-2Yr'!AC21+'All Other E&amp;G-2Yr'!AC21</f>
        <v>1193766</v>
      </c>
      <c r="AD21" s="160">
        <f>+'Tuition-2Yr'!AD21+'State Appropriations-2Yr'!AD21+'Local Appropriations-2Yr'!AD21+'Fed Contracts Grnts-2Yr'!AD21+'Other Contracts Grnts-2Yr'!AD21+'Investment Income-2Yr'!AD21+'All Other E&amp;G-2Yr'!AD21</f>
        <v>1257964.1999999997</v>
      </c>
      <c r="AE21" s="160">
        <f>+'Tuition-2Yr'!AE21+'State Appropriations-2Yr'!AE21+'Local Appropriations-2Yr'!AE21+'Fed Contracts Grnts-2Yr'!AE21+'Other Contracts Grnts-2Yr'!AE21+'Investment Income-2Yr'!AE21+'All Other E&amp;G-2Yr'!AE21</f>
        <v>1290413.6509999998</v>
      </c>
      <c r="AF21" s="160">
        <f>+'Tuition-2Yr'!AF21+'State Appropriations-2Yr'!AF21+'Local Appropriations-2Yr'!AF21+'Fed Contracts Grnts-2Yr'!AF21+'Other Contracts Grnts-2Yr'!AF21+'Investment Income-2Yr'!AF21+'All Other E&amp;G-2Yr'!AF21</f>
        <v>1305413.1650000003</v>
      </c>
      <c r="AG21" s="160">
        <f>+'Tuition-2Yr'!AG21+'State Appropriations-2Yr'!AG21+'Local Appropriations-2Yr'!AG21+'Fed Contracts Grnts-2Yr'!AG21+'Other Contracts Grnts-2Yr'!AG21+'Investment Income-2Yr'!AG21+'All Other E&amp;G-2Yr'!AG21</f>
        <v>1291061.0549999997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c r="HC21" s="20"/>
      <c r="HD21" s="20"/>
      <c r="HE21" s="20"/>
      <c r="HF21" s="20"/>
    </row>
    <row r="22" spans="1:214" s="65" customFormat="1" ht="12.75" customHeight="1">
      <c r="A22" s="93" t="s">
        <v>15</v>
      </c>
      <c r="B22" s="162">
        <f>+'Tuition-2Yr'!B22+'State Appropriations-2Yr'!B22+'Local Appropriations-2Yr'!B22+'Fed Contracts Grnts-2Yr'!B22+'Other Contracts Grnts-2Yr'!B22+'Investment Income-2Yr'!B22+'All Other E&amp;G-2Yr'!B22</f>
        <v>18028</v>
      </c>
      <c r="C22" s="162">
        <f>+'Tuition-2Yr'!C22+'State Appropriations-2Yr'!C22+'Local Appropriations-2Yr'!C22+'Fed Contracts Grnts-2Yr'!C22+'Other Contracts Grnts-2Yr'!C22+'Investment Income-2Yr'!C22+'All Other E&amp;G-2Yr'!C22</f>
        <v>19166</v>
      </c>
      <c r="D22" s="162">
        <f>+'Tuition-2Yr'!D22+'State Appropriations-2Yr'!D22+'Local Appropriations-2Yr'!D22+'Fed Contracts Grnts-2Yr'!D22+'Other Contracts Grnts-2Yr'!D22+'Investment Income-2Yr'!D22+'All Other E&amp;G-2Yr'!D22</f>
        <v>21178</v>
      </c>
      <c r="E22" s="162">
        <f>+'Tuition-2Yr'!E22+'State Appropriations-2Yr'!E22+'Local Appropriations-2Yr'!E22+'Fed Contracts Grnts-2Yr'!E22+'Other Contracts Grnts-2Yr'!E22+'Investment Income-2Yr'!E22+'All Other E&amp;G-2Yr'!E22</f>
        <v>0</v>
      </c>
      <c r="F22" s="162">
        <f>+'Tuition-2Yr'!F22+'State Appropriations-2Yr'!F22+'Local Appropriations-2Yr'!F22+'Fed Contracts Grnts-2Yr'!F22+'Other Contracts Grnts-2Yr'!F22+'Investment Income-2Yr'!F22+'All Other E&amp;G-2Yr'!F22</f>
        <v>0</v>
      </c>
      <c r="G22" s="162">
        <f>+'Tuition-2Yr'!G22+'State Appropriations-2Yr'!G22+'Local Appropriations-2Yr'!G22+'Fed Contracts Grnts-2Yr'!G22+'Other Contracts Grnts-2Yr'!G22+'Investment Income-2Yr'!G22+'All Other E&amp;G-2Yr'!G22</f>
        <v>0</v>
      </c>
      <c r="H22" s="162">
        <f>+'Tuition-2Yr'!H22+'State Appropriations-2Yr'!H22+'Local Appropriations-2Yr'!H22+'Fed Contracts Grnts-2Yr'!H22+'Other Contracts Grnts-2Yr'!H22+'Investment Income-2Yr'!H22+'All Other E&amp;G-2Yr'!H22</f>
        <v>0</v>
      </c>
      <c r="I22" s="162">
        <f>+'Tuition-2Yr'!I22+'State Appropriations-2Yr'!I22+'Local Appropriations-2Yr'!I22+'Fed Contracts Grnts-2Yr'!I22+'Other Contracts Grnts-2Yr'!I22+'Investment Income-2Yr'!I22+'All Other E&amp;G-2Yr'!I22</f>
        <v>22025.544000000002</v>
      </c>
      <c r="J22" s="162">
        <f>+'Tuition-2Yr'!J22+'State Appropriations-2Yr'!J22+'Local Appropriations-2Yr'!J22+'Fed Contracts Grnts-2Yr'!J22+'Other Contracts Grnts-2Yr'!J22+'Investment Income-2Yr'!J22+'All Other E&amp;G-2Yr'!J22</f>
        <v>24365.755999999998</v>
      </c>
      <c r="K22" s="162">
        <f>+'Tuition-2Yr'!K22+'State Appropriations-2Yr'!K22+'Local Appropriations-2Yr'!K22+'Fed Contracts Grnts-2Yr'!K22+'Other Contracts Grnts-2Yr'!K22+'Investment Income-2Yr'!K22+'All Other E&amp;G-2Yr'!K22</f>
        <v>25291.786999999997</v>
      </c>
      <c r="L22" s="162">
        <f>+'Tuition-2Yr'!L22+'State Appropriations-2Yr'!L22+'Local Appropriations-2Yr'!L22+'Fed Contracts Grnts-2Yr'!L22+'Other Contracts Grnts-2Yr'!L22+'Investment Income-2Yr'!L22+'All Other E&amp;G-2Yr'!L22</f>
        <v>27132.163999999997</v>
      </c>
      <c r="M22" s="162">
        <f>+'Tuition-2Yr'!M22+'State Appropriations-2Yr'!M22+'Local Appropriations-2Yr'!M22+'Fed Contracts Grnts-2Yr'!M22+'Other Contracts Grnts-2Yr'!M22+'Investment Income-2Yr'!M22+'All Other E&amp;G-2Yr'!M22</f>
        <v>29372.907000000003</v>
      </c>
      <c r="N22" s="162">
        <f>+'Tuition-2Yr'!N22+'State Appropriations-2Yr'!N22+'Local Appropriations-2Yr'!N22+'Fed Contracts Grnts-2Yr'!N22+'Other Contracts Grnts-2Yr'!N22+'Investment Income-2Yr'!N22+'All Other E&amp;G-2Yr'!N22</f>
        <v>30930.39</v>
      </c>
      <c r="O22" s="162">
        <f>+'Tuition-2Yr'!O22+'State Appropriations-2Yr'!O22+'Local Appropriations-2Yr'!O22+'Fed Contracts Grnts-2Yr'!O22+'Other Contracts Grnts-2Yr'!O22+'Investment Income-2Yr'!O22+'All Other E&amp;G-2Yr'!O22</f>
        <v>30811.746520000001</v>
      </c>
      <c r="P22" s="162">
        <f>+'Tuition-2Yr'!P22+'State Appropriations-2Yr'!P22+'Local Appropriations-2Yr'!P22+'Fed Contracts Grnts-2Yr'!P22+'Other Contracts Grnts-2Yr'!P22+'Investment Income-2Yr'!P22+'All Other E&amp;G-2Yr'!P22</f>
        <v>0</v>
      </c>
      <c r="Q22" s="162">
        <f>+'Tuition-2Yr'!Q22+'State Appropriations-2Yr'!Q22+'Local Appropriations-2Yr'!Q22+'Fed Contracts Grnts-2Yr'!Q22+'Other Contracts Grnts-2Yr'!Q22+'Investment Income-2Yr'!Q22+'All Other E&amp;G-2Yr'!Q22</f>
        <v>0</v>
      </c>
      <c r="R22" s="162">
        <f>+'Tuition-2Yr'!R22+'State Appropriations-2Yr'!R22+'Local Appropriations-2Yr'!R22+'Fed Contracts Grnts-2Yr'!R22+'Other Contracts Grnts-2Yr'!R22+'Investment Income-2Yr'!R22+'All Other E&amp;G-2Yr'!R22</f>
        <v>34805.661</v>
      </c>
      <c r="S22" s="162">
        <f>+'Tuition-2Yr'!S22+'State Appropriations-2Yr'!S22+'Local Appropriations-2Yr'!S22+'Fed Contracts Grnts-2Yr'!S22+'Other Contracts Grnts-2Yr'!S22+'Investment Income-2Yr'!S22+'All Other E&amp;G-2Yr'!S22</f>
        <v>47961.387000000002</v>
      </c>
      <c r="T22" s="162">
        <f>+'Tuition-2Yr'!T22+'State Appropriations-2Yr'!T22+'Local Appropriations-2Yr'!T22+'Fed Contracts Grnts-2Yr'!T22+'Other Contracts Grnts-2Yr'!T22+'Investment Income-2Yr'!T22+'All Other E&amp;G-2Yr'!T22</f>
        <v>37240.935999999994</v>
      </c>
      <c r="U22" s="162">
        <f>+'Tuition-2Yr'!U22+'State Appropriations-2Yr'!U22+'Local Appropriations-2Yr'!U22+'Fed Contracts Grnts-2Yr'!U22+'Other Contracts Grnts-2Yr'!U22+'Investment Income-2Yr'!U22+'All Other E&amp;G-2Yr'!U22</f>
        <v>41729.704999999994</v>
      </c>
      <c r="V22" s="162">
        <f>+'Tuition-2Yr'!V22+'State Appropriations-2Yr'!V22+'Local Appropriations-2Yr'!V22+'Fed Contracts Grnts-2Yr'!V22+'Other Contracts Grnts-2Yr'!V22+'Investment Income-2Yr'!V22+'All Other E&amp;G-2Yr'!V22</f>
        <v>33998.618000000009</v>
      </c>
      <c r="W22" s="162">
        <f>+'Tuition-2Yr'!W22+'State Appropriations-2Yr'!W22+'Local Appropriations-2Yr'!W22+'Fed Contracts Grnts-2Yr'!W22+'Other Contracts Grnts-2Yr'!W22+'Investment Income-2Yr'!W22+'All Other E&amp;G-2Yr'!W22</f>
        <v>86243.690999999992</v>
      </c>
      <c r="X22" s="162">
        <f>+'Tuition-2Yr'!X22+'State Appropriations-2Yr'!X22+'Local Appropriations-2Yr'!X22+'Fed Contracts Grnts-2Yr'!X22+'Other Contracts Grnts-2Yr'!X22+'Investment Income-2Yr'!X22+'All Other E&amp;G-2Yr'!X22</f>
        <v>77138.824999999997</v>
      </c>
      <c r="Y22" s="162">
        <f>+'Tuition-2Yr'!Y22+'State Appropriations-2Yr'!Y22+'Local Appropriations-2Yr'!Y22+'Fed Contracts Grnts-2Yr'!Y22+'Other Contracts Grnts-2Yr'!Y22+'Investment Income-2Yr'!Y22+'All Other E&amp;G-2Yr'!Y22</f>
        <v>103206.894</v>
      </c>
      <c r="Z22" s="162">
        <f>+'Tuition-2Yr'!Z22+'State Appropriations-2Yr'!Z22+'Local Appropriations-2Yr'!Z22+'Fed Contracts Grnts-2Yr'!Z22+'Other Contracts Grnts-2Yr'!Z22+'Investment Income-2Yr'!Z22+'All Other E&amp;G-2Yr'!Z22</f>
        <v>112210.05099999999</v>
      </c>
      <c r="AA22" s="162">
        <f>+'Tuition-2Yr'!AA22+'State Appropriations-2Yr'!AA22+'Local Appropriations-2Yr'!AA22+'Fed Contracts Grnts-2Yr'!AA22+'Other Contracts Grnts-2Yr'!AA22+'Investment Income-2Yr'!AA22+'All Other E&amp;G-2Yr'!AA22</f>
        <v>143792.37</v>
      </c>
      <c r="AB22" s="162">
        <f>+'Tuition-2Yr'!AB22+'State Appropriations-2Yr'!AB22+'Local Appropriations-2Yr'!AB22+'Fed Contracts Grnts-2Yr'!AB22+'Other Contracts Grnts-2Yr'!AB22+'Investment Income-2Yr'!AB22+'All Other E&amp;G-2Yr'!AB22</f>
        <v>206962.66199999998</v>
      </c>
      <c r="AC22" s="162">
        <f>+'Tuition-2Yr'!AC22+'State Appropriations-2Yr'!AC22+'Local Appropriations-2Yr'!AC22+'Fed Contracts Grnts-2Yr'!AC22+'Other Contracts Grnts-2Yr'!AC22+'Investment Income-2Yr'!AC22+'All Other E&amp;G-2Yr'!AC22</f>
        <v>219602</v>
      </c>
      <c r="AD22" s="162">
        <f>+'Tuition-2Yr'!AD22+'State Appropriations-2Yr'!AD22+'Local Appropriations-2Yr'!AD22+'Fed Contracts Grnts-2Yr'!AD22+'Other Contracts Grnts-2Yr'!AD22+'Investment Income-2Yr'!AD22+'All Other E&amp;G-2Yr'!AD22</f>
        <v>239615.41299999997</v>
      </c>
      <c r="AE22" s="162">
        <f>+'Tuition-2Yr'!AE22+'State Appropriations-2Yr'!AE22+'Local Appropriations-2Yr'!AE22+'Fed Contracts Grnts-2Yr'!AE22+'Other Contracts Grnts-2Yr'!AE22+'Investment Income-2Yr'!AE22+'All Other E&amp;G-2Yr'!AE22</f>
        <v>225427.70599999998</v>
      </c>
      <c r="AF22" s="162">
        <f>+'Tuition-2Yr'!AF22+'State Appropriations-2Yr'!AF22+'Local Appropriations-2Yr'!AF22+'Fed Contracts Grnts-2Yr'!AF22+'Other Contracts Grnts-2Yr'!AF22+'Investment Income-2Yr'!AF22+'All Other E&amp;G-2Yr'!AF22</f>
        <v>207178.81599999999</v>
      </c>
      <c r="AG22" s="162">
        <f>+'Tuition-2Yr'!AG22+'State Appropriations-2Yr'!AG22+'Local Appropriations-2Yr'!AG22+'Fed Contracts Grnts-2Yr'!AG22+'Other Contracts Grnts-2Yr'!AG22+'Investment Income-2Yr'!AG22+'All Other E&amp;G-2Yr'!AG22</f>
        <v>196189.976</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c r="HC22" s="20"/>
      <c r="HD22" s="20"/>
      <c r="HE22" s="20"/>
      <c r="HF22" s="20"/>
    </row>
    <row r="23" spans="1:214" s="65" customFormat="1" ht="12.75" customHeight="1">
      <c r="A23" s="84" t="s">
        <v>144</v>
      </c>
      <c r="B23" s="161">
        <f>+'Tuition-2Yr'!B23+'State Appropriations-2Yr'!B23+'Local Appropriations-2Yr'!B23+'Fed Contracts Grnts-2Yr'!B23+'Other Contracts Grnts-2Yr'!B23+'Investment Income-2Yr'!B23+'All Other E&amp;G-2Yr'!B23</f>
        <v>0</v>
      </c>
      <c r="C23" s="161">
        <f>+'Tuition-2Yr'!C23+'State Appropriations-2Yr'!C23+'Local Appropriations-2Yr'!C23+'Fed Contracts Grnts-2Yr'!C23+'Other Contracts Grnts-2Yr'!C23+'Investment Income-2Yr'!C23+'All Other E&amp;G-2Yr'!C23</f>
        <v>0</v>
      </c>
      <c r="D23" s="161">
        <f>+'Tuition-2Yr'!D23+'State Appropriations-2Yr'!D23+'Local Appropriations-2Yr'!D23+'Fed Contracts Grnts-2Yr'!D23+'Other Contracts Grnts-2Yr'!D23+'Investment Income-2Yr'!D23+'All Other E&amp;G-2Yr'!D23</f>
        <v>0</v>
      </c>
      <c r="E23" s="161">
        <f>+'Tuition-2Yr'!E23+'State Appropriations-2Yr'!E23+'Local Appropriations-2Yr'!E23+'Fed Contracts Grnts-2Yr'!E23+'Other Contracts Grnts-2Yr'!E23+'Investment Income-2Yr'!E23+'All Other E&amp;G-2Yr'!E23</f>
        <v>0</v>
      </c>
      <c r="F23" s="161">
        <f>+'Tuition-2Yr'!F23+'State Appropriations-2Yr'!F23+'Local Appropriations-2Yr'!F23+'Fed Contracts Grnts-2Yr'!F23+'Other Contracts Grnts-2Yr'!F23+'Investment Income-2Yr'!F23+'All Other E&amp;G-2Yr'!F23</f>
        <v>0</v>
      </c>
      <c r="G23" s="161">
        <f>+'Tuition-2Yr'!G23+'State Appropriations-2Yr'!G23+'Local Appropriations-2Yr'!G23+'Fed Contracts Grnts-2Yr'!G23+'Other Contracts Grnts-2Yr'!G23+'Investment Income-2Yr'!G23+'All Other E&amp;G-2Yr'!G23</f>
        <v>0</v>
      </c>
      <c r="H23" s="161">
        <f>+'Tuition-2Yr'!H23+'State Appropriations-2Yr'!H23+'Local Appropriations-2Yr'!H23+'Fed Contracts Grnts-2Yr'!H23+'Other Contracts Grnts-2Yr'!H23+'Investment Income-2Yr'!H23+'All Other E&amp;G-2Yr'!H23</f>
        <v>0</v>
      </c>
      <c r="I23" s="161">
        <f>+'Tuition-2Yr'!I23+'State Appropriations-2Yr'!I23+'Local Appropriations-2Yr'!I23+'Fed Contracts Grnts-2Yr'!I23+'Other Contracts Grnts-2Yr'!I23+'Investment Income-2Yr'!I23+'All Other E&amp;G-2Yr'!I23</f>
        <v>0</v>
      </c>
      <c r="J23" s="161">
        <f>+'Tuition-2Yr'!J23+'State Appropriations-2Yr'!J23+'Local Appropriations-2Yr'!J23+'Fed Contracts Grnts-2Yr'!J23+'Other Contracts Grnts-2Yr'!J23+'Investment Income-2Yr'!J23+'All Other E&amp;G-2Yr'!J23</f>
        <v>5452487.7419999996</v>
      </c>
      <c r="K23" s="161">
        <f>+'Tuition-2Yr'!K23+'State Appropriations-2Yr'!K23+'Local Appropriations-2Yr'!K23+'Fed Contracts Grnts-2Yr'!K23+'Other Contracts Grnts-2Yr'!K23+'Investment Income-2Yr'!K23+'All Other E&amp;G-2Yr'!K23</f>
        <v>0</v>
      </c>
      <c r="L23" s="161">
        <f>+'Tuition-2Yr'!L23+'State Appropriations-2Yr'!L23+'Local Appropriations-2Yr'!L23+'Fed Contracts Grnts-2Yr'!L23+'Other Contracts Grnts-2Yr'!L23+'Investment Income-2Yr'!L23+'All Other E&amp;G-2Yr'!L23</f>
        <v>0</v>
      </c>
      <c r="M23" s="161">
        <f>+'Tuition-2Yr'!M23+'State Appropriations-2Yr'!M23+'Local Appropriations-2Yr'!M23+'Fed Contracts Grnts-2Yr'!M23+'Other Contracts Grnts-2Yr'!M23+'Investment Income-2Yr'!M23+'All Other E&amp;G-2Yr'!M23</f>
        <v>5983536.8940000003</v>
      </c>
      <c r="N23" s="161">
        <f>+'Tuition-2Yr'!N23+'State Appropriations-2Yr'!N23+'Local Appropriations-2Yr'!N23+'Fed Contracts Grnts-2Yr'!N23+'Other Contracts Grnts-2Yr'!N23+'Investment Income-2Yr'!N23+'All Other E&amp;G-2Yr'!N23</f>
        <v>0</v>
      </c>
      <c r="O23" s="161">
        <f>+'Tuition-2Yr'!O23+'State Appropriations-2Yr'!O23+'Local Appropriations-2Yr'!O23+'Fed Contracts Grnts-2Yr'!O23+'Other Contracts Grnts-2Yr'!O23+'Investment Income-2Yr'!O23+'All Other E&amp;G-2Yr'!O23</f>
        <v>7259180.4621299999</v>
      </c>
      <c r="P23" s="161">
        <f>+'Tuition-2Yr'!P23+'State Appropriations-2Yr'!P23+'Local Appropriations-2Yr'!P23+'Fed Contracts Grnts-2Yr'!P23+'Other Contracts Grnts-2Yr'!P23+'Investment Income-2Yr'!P23+'All Other E&amp;G-2Yr'!P23</f>
        <v>0</v>
      </c>
      <c r="Q23" s="161">
        <f>+'Tuition-2Yr'!Q23+'State Appropriations-2Yr'!Q23+'Local Appropriations-2Yr'!Q23+'Fed Contracts Grnts-2Yr'!Q23+'Other Contracts Grnts-2Yr'!Q23+'Investment Income-2Yr'!Q23+'All Other E&amp;G-2Yr'!Q23</f>
        <v>0</v>
      </c>
      <c r="R23" s="161">
        <f>+'Tuition-2Yr'!R23+'State Appropriations-2Yr'!R23+'Local Appropriations-2Yr'!R23+'Fed Contracts Grnts-2Yr'!R23+'Other Contracts Grnts-2Yr'!R23+'Investment Income-2Yr'!R23+'All Other E&amp;G-2Yr'!R23</f>
        <v>7361464.4110000012</v>
      </c>
      <c r="S23" s="161">
        <f>+'Tuition-2Yr'!S23+'State Appropriations-2Yr'!S23+'Local Appropriations-2Yr'!S23+'Fed Contracts Grnts-2Yr'!S23+'Other Contracts Grnts-2Yr'!S23+'Investment Income-2Yr'!S23+'All Other E&amp;G-2Yr'!S23</f>
        <v>8597464.2509999983</v>
      </c>
      <c r="T23" s="161">
        <f>+'Tuition-2Yr'!T23+'State Appropriations-2Yr'!T23+'Local Appropriations-2Yr'!T23+'Fed Contracts Grnts-2Yr'!T23+'Other Contracts Grnts-2Yr'!T23+'Investment Income-2Yr'!T23+'All Other E&amp;G-2Yr'!T23</f>
        <v>8860285.3469999991</v>
      </c>
      <c r="U23" s="161">
        <f>+'Tuition-2Yr'!U23+'State Appropriations-2Yr'!U23+'Local Appropriations-2Yr'!U23+'Fed Contracts Grnts-2Yr'!U23+'Other Contracts Grnts-2Yr'!U23+'Investment Income-2Yr'!U23+'All Other E&amp;G-2Yr'!U23</f>
        <v>8833606.477</v>
      </c>
      <c r="V23" s="161">
        <f>+'Tuition-2Yr'!V23+'State Appropriations-2Yr'!V23+'Local Appropriations-2Yr'!V23+'Fed Contracts Grnts-2Yr'!V23+'Other Contracts Grnts-2Yr'!V23+'Investment Income-2Yr'!V23+'All Other E&amp;G-2Yr'!V23</f>
        <v>9134696.436999999</v>
      </c>
      <c r="W23" s="161">
        <f>+'Tuition-2Yr'!W23+'State Appropriations-2Yr'!W23+'Local Appropriations-2Yr'!W23+'Fed Contracts Grnts-2Yr'!W23+'Other Contracts Grnts-2Yr'!W23+'Investment Income-2Yr'!W23+'All Other E&amp;G-2Yr'!W23</f>
        <v>11930116.678000001</v>
      </c>
      <c r="X23" s="161">
        <f>+'Tuition-2Yr'!X23+'State Appropriations-2Yr'!X23+'Local Appropriations-2Yr'!X23+'Fed Contracts Grnts-2Yr'!X23+'Other Contracts Grnts-2Yr'!X23+'Investment Income-2Yr'!X23+'All Other E&amp;G-2Yr'!X23</f>
        <v>12229986.461000001</v>
      </c>
      <c r="Y23" s="161">
        <f>+'Tuition-2Yr'!Y23+'State Appropriations-2Yr'!Y23+'Local Appropriations-2Yr'!Y23+'Fed Contracts Grnts-2Yr'!Y23+'Other Contracts Grnts-2Yr'!Y23+'Investment Income-2Yr'!Y23+'All Other E&amp;G-2Yr'!Y23</f>
        <v>13153348.823000001</v>
      </c>
      <c r="Z23" s="161">
        <f>+'Tuition-2Yr'!Z23+'State Appropriations-2Yr'!Z23+'Local Appropriations-2Yr'!Z23+'Fed Contracts Grnts-2Yr'!Z23+'Other Contracts Grnts-2Yr'!Z23+'Investment Income-2Yr'!Z23+'All Other E&amp;G-2Yr'!Z23</f>
        <v>14184298.366000002</v>
      </c>
      <c r="AA23" s="161">
        <f>+'Tuition-2Yr'!AA23+'State Appropriations-2Yr'!AA23+'Local Appropriations-2Yr'!AA23+'Fed Contracts Grnts-2Yr'!AA23+'Other Contracts Grnts-2Yr'!AA23+'Investment Income-2Yr'!AA23+'All Other E&amp;G-2Yr'!AA23</f>
        <v>16123631.979</v>
      </c>
      <c r="AB23" s="161">
        <f>+'Tuition-2Yr'!AB23+'State Appropriations-2Yr'!AB23+'Local Appropriations-2Yr'!AB23+'Fed Contracts Grnts-2Yr'!AB23+'Other Contracts Grnts-2Yr'!AB23+'Investment Income-2Yr'!AB23+'All Other E&amp;G-2Yr'!AB23</f>
        <v>17276977.794</v>
      </c>
      <c r="AC23" s="161">
        <f>+'Tuition-2Yr'!AC23+'State Appropriations-2Yr'!AC23+'Local Appropriations-2Yr'!AC23+'Fed Contracts Grnts-2Yr'!AC23+'Other Contracts Grnts-2Yr'!AC23+'Investment Income-2Yr'!AC23+'All Other E&amp;G-2Yr'!AC23</f>
        <v>18796526</v>
      </c>
      <c r="AD23" s="161">
        <f>+'Tuition-2Yr'!AD23+'State Appropriations-2Yr'!AD23+'Local Appropriations-2Yr'!AD23+'Fed Contracts Grnts-2Yr'!AD23+'Other Contracts Grnts-2Yr'!AD23+'Investment Income-2Yr'!AD23+'All Other E&amp;G-2Yr'!AD23</f>
        <v>17910552.269000001</v>
      </c>
      <c r="AE23" s="161">
        <f>+'Tuition-2Yr'!AE23+'State Appropriations-2Yr'!AE23+'Local Appropriations-2Yr'!AE23+'Fed Contracts Grnts-2Yr'!AE23+'Other Contracts Grnts-2Yr'!AE23+'Investment Income-2Yr'!AE23+'All Other E&amp;G-2Yr'!AE23</f>
        <v>18144469.123999998</v>
      </c>
      <c r="AF23" s="161">
        <f>+'Tuition-2Yr'!AF23+'State Appropriations-2Yr'!AF23+'Local Appropriations-2Yr'!AF23+'Fed Contracts Grnts-2Yr'!AF23+'Other Contracts Grnts-2Yr'!AF23+'Investment Income-2Yr'!AF23+'All Other E&amp;G-2Yr'!AF23</f>
        <v>13674606.623</v>
      </c>
      <c r="AG23" s="161">
        <f>+'Tuition-2Yr'!AG23+'State Appropriations-2Yr'!AG23+'Local Appropriations-2Yr'!AG23+'Fed Contracts Grnts-2Yr'!AG23+'Other Contracts Grnts-2Yr'!AG23+'Investment Income-2Yr'!AG23+'All Other E&amp;G-2Yr'!AG23</f>
        <v>13837361.827000001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c r="HC23" s="20"/>
      <c r="HD23" s="20"/>
      <c r="HE23" s="20"/>
      <c r="HF23" s="20"/>
    </row>
    <row r="24" spans="1:214" s="65" customFormat="1" ht="12.75" customHeight="1">
      <c r="A24" s="84" t="s">
        <v>143</v>
      </c>
      <c r="B24" s="161">
        <f>+'Tuition-2Yr'!B24+'State Appropriations-2Yr'!B24+'Local Appropriations-2Yr'!B24+'Fed Contracts Grnts-2Yr'!B24+'Other Contracts Grnts-2Yr'!B24+'Investment Income-2Yr'!B24+'All Other E&amp;G-2Yr'!B24</f>
        <v>0</v>
      </c>
      <c r="C24" s="161">
        <f>+'Tuition-2Yr'!C24+'State Appropriations-2Yr'!C24+'Local Appropriations-2Yr'!C24+'Fed Contracts Grnts-2Yr'!C24+'Other Contracts Grnts-2Yr'!C24+'Investment Income-2Yr'!C24+'All Other E&amp;G-2Yr'!C24</f>
        <v>0</v>
      </c>
      <c r="D24" s="161">
        <f>+'Tuition-2Yr'!D24+'State Appropriations-2Yr'!D24+'Local Appropriations-2Yr'!D24+'Fed Contracts Grnts-2Yr'!D24+'Other Contracts Grnts-2Yr'!D24+'Investment Income-2Yr'!D24+'All Other E&amp;G-2Yr'!D24</f>
        <v>0</v>
      </c>
      <c r="E24" s="161">
        <f>+'Tuition-2Yr'!E24+'State Appropriations-2Yr'!E24+'Local Appropriations-2Yr'!E24+'Fed Contracts Grnts-2Yr'!E24+'Other Contracts Grnts-2Yr'!E24+'Investment Income-2Yr'!E24+'All Other E&amp;G-2Yr'!E24</f>
        <v>0</v>
      </c>
      <c r="F24" s="161">
        <f>+'Tuition-2Yr'!F24+'State Appropriations-2Yr'!F24+'Local Appropriations-2Yr'!F24+'Fed Contracts Grnts-2Yr'!F24+'Other Contracts Grnts-2Yr'!F24+'Investment Income-2Yr'!F24+'All Other E&amp;G-2Yr'!F24</f>
        <v>0</v>
      </c>
      <c r="G24" s="161">
        <f>+'Tuition-2Yr'!G24+'State Appropriations-2Yr'!G24+'Local Appropriations-2Yr'!G24+'Fed Contracts Grnts-2Yr'!G24+'Other Contracts Grnts-2Yr'!G24+'Investment Income-2Yr'!G24+'All Other E&amp;G-2Yr'!G24</f>
        <v>0</v>
      </c>
      <c r="H24" s="161">
        <f>+'Tuition-2Yr'!H24+'State Appropriations-2Yr'!H24+'Local Appropriations-2Yr'!H24+'Fed Contracts Grnts-2Yr'!H24+'Other Contracts Grnts-2Yr'!H24+'Investment Income-2Yr'!H24+'All Other E&amp;G-2Yr'!H24</f>
        <v>0</v>
      </c>
      <c r="I24" s="161">
        <f>+'Tuition-2Yr'!I24+'State Appropriations-2Yr'!I24+'Local Appropriations-2Yr'!I24+'Fed Contracts Grnts-2Yr'!I24+'Other Contracts Grnts-2Yr'!I24+'Investment Income-2Yr'!I24+'All Other E&amp;G-2Yr'!I24</f>
        <v>0</v>
      </c>
      <c r="J24" s="161">
        <f>+'Tuition-2Yr'!J24+'State Appropriations-2Yr'!J24+'Local Appropriations-2Yr'!J24+'Fed Contracts Grnts-2Yr'!J24+'Other Contracts Grnts-2Yr'!J24+'Investment Income-2Yr'!J24+'All Other E&amp;G-2Yr'!J24</f>
        <v>0</v>
      </c>
      <c r="K24" s="161">
        <f>+'Tuition-2Yr'!K24+'State Appropriations-2Yr'!K24+'Local Appropriations-2Yr'!K24+'Fed Contracts Grnts-2Yr'!K24+'Other Contracts Grnts-2Yr'!K24+'Investment Income-2Yr'!K24+'All Other E&amp;G-2Yr'!K24</f>
        <v>0</v>
      </c>
      <c r="L24" s="161">
        <f>+'Tuition-2Yr'!L24+'State Appropriations-2Yr'!L24+'Local Appropriations-2Yr'!L24+'Fed Contracts Grnts-2Yr'!L24+'Other Contracts Grnts-2Yr'!L24+'Investment Income-2Yr'!L24+'All Other E&amp;G-2Yr'!L24</f>
        <v>0</v>
      </c>
      <c r="M24" s="161">
        <f>+'Tuition-2Yr'!M24+'State Appropriations-2Yr'!M24+'Local Appropriations-2Yr'!M24+'Fed Contracts Grnts-2Yr'!M24+'Other Contracts Grnts-2Yr'!M24+'Investment Income-2Yr'!M24+'All Other E&amp;G-2Yr'!M24</f>
        <v>0</v>
      </c>
      <c r="N24" s="161">
        <f>+'Tuition-2Yr'!N24+'State Appropriations-2Yr'!N24+'Local Appropriations-2Yr'!N24+'Fed Contracts Grnts-2Yr'!N24+'Other Contracts Grnts-2Yr'!N24+'Investment Income-2Yr'!N24+'All Other E&amp;G-2Yr'!N24</f>
        <v>0</v>
      </c>
      <c r="O24" s="161">
        <f>+'Tuition-2Yr'!O24+'State Appropriations-2Yr'!O24+'Local Appropriations-2Yr'!O24+'Fed Contracts Grnts-2Yr'!O24+'Other Contracts Grnts-2Yr'!O24+'Investment Income-2Yr'!O24+'All Other E&amp;G-2Yr'!O24</f>
        <v>0</v>
      </c>
      <c r="P24" s="161">
        <f>+'Tuition-2Yr'!P24+'State Appropriations-2Yr'!P24+'Local Appropriations-2Yr'!P24+'Fed Contracts Grnts-2Yr'!P24+'Other Contracts Grnts-2Yr'!P24+'Investment Income-2Yr'!P24+'All Other E&amp;G-2Yr'!P24</f>
        <v>0</v>
      </c>
      <c r="Q24" s="161">
        <f>+'Tuition-2Yr'!Q24+'State Appropriations-2Yr'!Q24+'Local Appropriations-2Yr'!Q24+'Fed Contracts Grnts-2Yr'!Q24+'Other Contracts Grnts-2Yr'!Q24+'Investment Income-2Yr'!Q24+'All Other E&amp;G-2Yr'!Q24</f>
        <v>0</v>
      </c>
      <c r="R24" s="161">
        <f>+'Tuition-2Yr'!R24+'State Appropriations-2Yr'!R24+'Local Appropriations-2Yr'!R24+'Fed Contracts Grnts-2Yr'!R24+'Other Contracts Grnts-2Yr'!R24+'Investment Income-2Yr'!R24+'All Other E&amp;G-2Yr'!R24</f>
        <v>0</v>
      </c>
      <c r="S24" s="161">
        <f>+'Tuition-2Yr'!S24+'State Appropriations-2Yr'!S24+'Local Appropriations-2Yr'!S24+'Fed Contracts Grnts-2Yr'!S24+'Other Contracts Grnts-2Yr'!S24+'Investment Income-2Yr'!S24+'All Other E&amp;G-2Yr'!S24</f>
        <v>0</v>
      </c>
      <c r="T24" s="161">
        <f>+'Tuition-2Yr'!T24+'State Appropriations-2Yr'!T24+'Local Appropriations-2Yr'!T24+'Fed Contracts Grnts-2Yr'!T24+'Other Contracts Grnts-2Yr'!T24+'Investment Income-2Yr'!T24+'All Other E&amp;G-2Yr'!T24</f>
        <v>0</v>
      </c>
      <c r="U24" s="161">
        <f>+'Tuition-2Yr'!U24+'State Appropriations-2Yr'!U24+'Local Appropriations-2Yr'!U24+'Fed Contracts Grnts-2Yr'!U24+'Other Contracts Grnts-2Yr'!U24+'Investment Income-2Yr'!U24+'All Other E&amp;G-2Yr'!U24</f>
        <v>0</v>
      </c>
      <c r="V24" s="161">
        <f>+'Tuition-2Yr'!V24+'State Appropriations-2Yr'!V24+'Local Appropriations-2Yr'!V24+'Fed Contracts Grnts-2Yr'!V24+'Other Contracts Grnts-2Yr'!V24+'Investment Income-2Yr'!V24+'All Other E&amp;G-2Yr'!V24</f>
        <v>0</v>
      </c>
      <c r="W24" s="161">
        <f>+'Tuition-2Yr'!W24+'State Appropriations-2Yr'!W24+'Local Appropriations-2Yr'!W24+'Fed Contracts Grnts-2Yr'!W24+'Other Contracts Grnts-2Yr'!W24+'Investment Income-2Yr'!W24+'All Other E&amp;G-2Yr'!W24</f>
        <v>0</v>
      </c>
      <c r="X24" s="161">
        <f>+'Tuition-2Yr'!X24+'State Appropriations-2Yr'!X24+'Local Appropriations-2Yr'!X24+'Fed Contracts Grnts-2Yr'!X24+'Other Contracts Grnts-2Yr'!X24+'Investment Income-2Yr'!X24+'All Other E&amp;G-2Yr'!X24</f>
        <v>0</v>
      </c>
      <c r="Y24" s="161">
        <f>+'Tuition-2Yr'!Y24+'State Appropriations-2Yr'!Y24+'Local Appropriations-2Yr'!Y24+'Fed Contracts Grnts-2Yr'!Y24+'Other Contracts Grnts-2Yr'!Y24+'Investment Income-2Yr'!Y24+'All Other E&amp;G-2Yr'!Y24</f>
        <v>0</v>
      </c>
      <c r="Z24" s="161">
        <f>+'Tuition-2Yr'!Z24+'State Appropriations-2Yr'!Z24+'Local Appropriations-2Yr'!Z24+'Fed Contracts Grnts-2Yr'!Z24+'Other Contracts Grnts-2Yr'!Z24+'Investment Income-2Yr'!Z24+'All Other E&amp;G-2Yr'!Z24</f>
        <v>0</v>
      </c>
      <c r="AA24" s="161">
        <f>+'Tuition-2Yr'!AA24+'State Appropriations-2Yr'!AA24+'Local Appropriations-2Yr'!AA24+'Fed Contracts Grnts-2Yr'!AA24+'Other Contracts Grnts-2Yr'!AA24+'Investment Income-2Yr'!AA24+'All Other E&amp;G-2Yr'!AA24</f>
        <v>0</v>
      </c>
      <c r="AB24" s="161">
        <f>+'Tuition-2Yr'!AB24+'State Appropriations-2Yr'!AB24+'Local Appropriations-2Yr'!AB24+'Fed Contracts Grnts-2Yr'!AB24+'Other Contracts Grnts-2Yr'!AB24+'Investment Income-2Yr'!AB24+'All Other E&amp;G-2Yr'!AB24</f>
        <v>0</v>
      </c>
      <c r="AC24" s="161">
        <f>+'Tuition-2Yr'!AC24+'State Appropriations-2Yr'!AC24+'Local Appropriations-2Yr'!AC24+'Fed Contracts Grnts-2Yr'!AC24+'Other Contracts Grnts-2Yr'!AC24+'Investment Income-2Yr'!AC24+'All Other E&amp;G-2Yr'!AC24</f>
        <v>0</v>
      </c>
      <c r="AD24" s="161">
        <f>+'Tuition-2Yr'!AD24+'State Appropriations-2Yr'!AD24+'Local Appropriations-2Yr'!AD24+'Fed Contracts Grnts-2Yr'!AD24+'Other Contracts Grnts-2Yr'!AD24+'Investment Income-2Yr'!AD24+'All Other E&amp;G-2Yr'!AD24</f>
        <v>0</v>
      </c>
      <c r="AE24" s="161">
        <f>+'Tuition-2Yr'!AE24+'State Appropriations-2Yr'!AE24+'Local Appropriations-2Yr'!AE24+'Fed Contracts Grnts-2Yr'!AE24+'Other Contracts Grnts-2Yr'!AE24+'Investment Income-2Yr'!AE24+'All Other E&amp;G-2Yr'!AE24</f>
        <v>0</v>
      </c>
      <c r="AF24" s="161">
        <f>+'Tuition-2Yr'!AF24+'State Appropriations-2Yr'!AF24+'Local Appropriations-2Yr'!AF24+'Fed Contracts Grnts-2Yr'!AF24+'Other Contracts Grnts-2Yr'!AF24+'Investment Income-2Yr'!AF24+'All Other E&amp;G-2Yr'!AF24</f>
        <v>0</v>
      </c>
      <c r="AG24" s="161">
        <f>+'Tuition-2Yr'!AG24+'State Appropriations-2Yr'!AG24+'Local Appropriations-2Yr'!AG24+'Fed Contracts Grnts-2Yr'!AG24+'Other Contracts Grnts-2Yr'!AG24+'Investment Income-2Yr'!AG24+'All Other E&amp;G-2Yr'!AG24</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c r="HC24" s="20"/>
      <c r="HD24" s="20"/>
      <c r="HE24" s="20"/>
      <c r="HF24" s="20"/>
    </row>
    <row r="25" spans="1:214" s="65" customFormat="1" ht="12.75" customHeight="1">
      <c r="A25" s="23" t="s">
        <v>109</v>
      </c>
      <c r="B25" s="163">
        <f>+'Tuition-2Yr'!B25+'State Appropriations-2Yr'!B25+'Local Appropriations-2Yr'!B25+'Fed Contracts Grnts-2Yr'!B25+'Other Contracts Grnts-2Yr'!B25+'Investment Income-2Yr'!B25+'All Other E&amp;G-2Yr'!B25</f>
        <v>0</v>
      </c>
      <c r="C25" s="163">
        <f>+'Tuition-2Yr'!C25+'State Appropriations-2Yr'!C25+'Local Appropriations-2Yr'!C25+'Fed Contracts Grnts-2Yr'!C25+'Other Contracts Grnts-2Yr'!C25+'Investment Income-2Yr'!C25+'All Other E&amp;G-2Yr'!C25</f>
        <v>0</v>
      </c>
      <c r="D25" s="163">
        <f>+'Tuition-2Yr'!D25+'State Appropriations-2Yr'!D25+'Local Appropriations-2Yr'!D25+'Fed Contracts Grnts-2Yr'!D25+'Other Contracts Grnts-2Yr'!D25+'Investment Income-2Yr'!D25+'All Other E&amp;G-2Yr'!D25</f>
        <v>0</v>
      </c>
      <c r="E25" s="163">
        <f>+'Tuition-2Yr'!E25+'State Appropriations-2Yr'!E25+'Local Appropriations-2Yr'!E25+'Fed Contracts Grnts-2Yr'!E25+'Other Contracts Grnts-2Yr'!E25+'Investment Income-2Yr'!E25+'All Other E&amp;G-2Yr'!E25</f>
        <v>0</v>
      </c>
      <c r="F25" s="163">
        <f>+'Tuition-2Yr'!F25+'State Appropriations-2Yr'!F25+'Local Appropriations-2Yr'!F25+'Fed Contracts Grnts-2Yr'!F25+'Other Contracts Grnts-2Yr'!F25+'Investment Income-2Yr'!F25+'All Other E&amp;G-2Yr'!F25</f>
        <v>0</v>
      </c>
      <c r="G25" s="163">
        <f>+'Tuition-2Yr'!G25+'State Appropriations-2Yr'!G25+'Local Appropriations-2Yr'!G25+'Fed Contracts Grnts-2Yr'!G25+'Other Contracts Grnts-2Yr'!G25+'Investment Income-2Yr'!G25+'All Other E&amp;G-2Yr'!G25</f>
        <v>0</v>
      </c>
      <c r="H25" s="163">
        <f>+'Tuition-2Yr'!H25+'State Appropriations-2Yr'!H25+'Local Appropriations-2Yr'!H25+'Fed Contracts Grnts-2Yr'!H25+'Other Contracts Grnts-2Yr'!H25+'Investment Income-2Yr'!H25+'All Other E&amp;G-2Yr'!H25</f>
        <v>0</v>
      </c>
      <c r="I25" s="163">
        <f>+'Tuition-2Yr'!I25+'State Appropriations-2Yr'!I25+'Local Appropriations-2Yr'!I25+'Fed Contracts Grnts-2Yr'!I25+'Other Contracts Grnts-2Yr'!I25+'Investment Income-2Yr'!I25+'All Other E&amp;G-2Yr'!I25</f>
        <v>0</v>
      </c>
      <c r="J25" s="163">
        <f>+'Tuition-2Yr'!J25+'State Appropriations-2Yr'!J25+'Local Appropriations-2Yr'!J25+'Fed Contracts Grnts-2Yr'!J25+'Other Contracts Grnts-2Yr'!J25+'Investment Income-2Yr'!J25+'All Other E&amp;G-2Yr'!J25</f>
        <v>2614.5329999999999</v>
      </c>
      <c r="K25" s="163">
        <f>+'Tuition-2Yr'!K25+'State Appropriations-2Yr'!K25+'Local Appropriations-2Yr'!K25+'Fed Contracts Grnts-2Yr'!K25+'Other Contracts Grnts-2Yr'!K25+'Investment Income-2Yr'!K25+'All Other E&amp;G-2Yr'!K25</f>
        <v>0</v>
      </c>
      <c r="L25" s="163">
        <f>+'Tuition-2Yr'!L25+'State Appropriations-2Yr'!L25+'Local Appropriations-2Yr'!L25+'Fed Contracts Grnts-2Yr'!L25+'Other Contracts Grnts-2Yr'!L25+'Investment Income-2Yr'!L25+'All Other E&amp;G-2Yr'!L25</f>
        <v>0</v>
      </c>
      <c r="M25" s="163">
        <f>+'Tuition-2Yr'!M25+'State Appropriations-2Yr'!M25+'Local Appropriations-2Yr'!M25+'Fed Contracts Grnts-2Yr'!M25+'Other Contracts Grnts-2Yr'!M25+'Investment Income-2Yr'!M25+'All Other E&amp;G-2Yr'!M25</f>
        <v>3272.1200000000003</v>
      </c>
      <c r="N25" s="163">
        <f>+'Tuition-2Yr'!N25+'State Appropriations-2Yr'!N25+'Local Appropriations-2Yr'!N25+'Fed Contracts Grnts-2Yr'!N25+'Other Contracts Grnts-2Yr'!N25+'Investment Income-2Yr'!N25+'All Other E&amp;G-2Yr'!N25</f>
        <v>0</v>
      </c>
      <c r="O25" s="163">
        <f>+'Tuition-2Yr'!O25+'State Appropriations-2Yr'!O25+'Local Appropriations-2Yr'!O25+'Fed Contracts Grnts-2Yr'!O25+'Other Contracts Grnts-2Yr'!O25+'Investment Income-2Yr'!O25+'All Other E&amp;G-2Yr'!O25</f>
        <v>3779.2739999999999</v>
      </c>
      <c r="P25" s="163">
        <f>+'Tuition-2Yr'!P25+'State Appropriations-2Yr'!P25+'Local Appropriations-2Yr'!P25+'Fed Contracts Grnts-2Yr'!P25+'Other Contracts Grnts-2Yr'!P25+'Investment Income-2Yr'!P25+'All Other E&amp;G-2Yr'!P25</f>
        <v>0</v>
      </c>
      <c r="Q25" s="163">
        <f>+'Tuition-2Yr'!Q25+'State Appropriations-2Yr'!Q25+'Local Appropriations-2Yr'!Q25+'Fed Contracts Grnts-2Yr'!Q25+'Other Contracts Grnts-2Yr'!Q25+'Investment Income-2Yr'!Q25+'All Other E&amp;G-2Yr'!Q25</f>
        <v>0</v>
      </c>
      <c r="R25" s="163">
        <f>+'Tuition-2Yr'!R25+'State Appropriations-2Yr'!R25+'Local Appropriations-2Yr'!R25+'Fed Contracts Grnts-2Yr'!R25+'Other Contracts Grnts-2Yr'!R25+'Investment Income-2Yr'!R25+'All Other E&amp;G-2Yr'!R25</f>
        <v>15186.486999999999</v>
      </c>
      <c r="S25" s="163">
        <f>+'Tuition-2Yr'!S25+'State Appropriations-2Yr'!S25+'Local Appropriations-2Yr'!S25+'Fed Contracts Grnts-2Yr'!S25+'Other Contracts Grnts-2Yr'!S25+'Investment Income-2Yr'!S25+'All Other E&amp;G-2Yr'!S25</f>
        <v>3689.9789999999998</v>
      </c>
      <c r="T25" s="163">
        <f>+'Tuition-2Yr'!T25+'State Appropriations-2Yr'!T25+'Local Appropriations-2Yr'!T25+'Fed Contracts Grnts-2Yr'!T25+'Other Contracts Grnts-2Yr'!T25+'Investment Income-2Yr'!T25+'All Other E&amp;G-2Yr'!T25</f>
        <v>16749.819</v>
      </c>
      <c r="U25" s="163">
        <f>+'Tuition-2Yr'!U25+'State Appropriations-2Yr'!U25+'Local Appropriations-2Yr'!U25+'Fed Contracts Grnts-2Yr'!U25+'Other Contracts Grnts-2Yr'!U25+'Investment Income-2Yr'!U25+'All Other E&amp;G-2Yr'!U25</f>
        <v>15151.851000000001</v>
      </c>
      <c r="V25" s="163">
        <f>+'Tuition-2Yr'!V25+'State Appropriations-2Yr'!V25+'Local Appropriations-2Yr'!V25+'Fed Contracts Grnts-2Yr'!V25+'Other Contracts Grnts-2Yr'!V25+'Investment Income-2Yr'!V25+'All Other E&amp;G-2Yr'!V25</f>
        <v>15567.792000000001</v>
      </c>
      <c r="W25" s="163">
        <f>+'Tuition-2Yr'!W25+'State Appropriations-2Yr'!W25+'Local Appropriations-2Yr'!W25+'Fed Contracts Grnts-2Yr'!W25+'Other Contracts Grnts-2Yr'!W25+'Investment Income-2Yr'!W25+'All Other E&amp;G-2Yr'!W25</f>
        <v>4421.4929999999995</v>
      </c>
      <c r="X25" s="163">
        <f>+'Tuition-2Yr'!X25+'State Appropriations-2Yr'!X25+'Local Appropriations-2Yr'!X25+'Fed Contracts Grnts-2Yr'!X25+'Other Contracts Grnts-2Yr'!X25+'Investment Income-2Yr'!X25+'All Other E&amp;G-2Yr'!X25</f>
        <v>14556.599999999999</v>
      </c>
      <c r="Y25" s="163">
        <f>+'Tuition-2Yr'!Y25+'State Appropriations-2Yr'!Y25+'Local Appropriations-2Yr'!Y25+'Fed Contracts Grnts-2Yr'!Y25+'Other Contracts Grnts-2Yr'!Y25+'Investment Income-2Yr'!Y25+'All Other E&amp;G-2Yr'!Y25</f>
        <v>15480.078999999998</v>
      </c>
      <c r="Z25" s="163">
        <f>+'Tuition-2Yr'!Z25+'State Appropriations-2Yr'!Z25+'Local Appropriations-2Yr'!Z25+'Fed Contracts Grnts-2Yr'!Z25+'Other Contracts Grnts-2Yr'!Z25+'Investment Income-2Yr'!Z25+'All Other E&amp;G-2Yr'!Z25</f>
        <v>16933.108000000004</v>
      </c>
      <c r="AA25" s="163">
        <f>+'Tuition-2Yr'!AA25+'State Appropriations-2Yr'!AA25+'Local Appropriations-2Yr'!AA25+'Fed Contracts Grnts-2Yr'!AA25+'Other Contracts Grnts-2Yr'!AA25+'Investment Income-2Yr'!AA25+'All Other E&amp;G-2Yr'!AA25</f>
        <v>17920.691999999999</v>
      </c>
      <c r="AB25" s="163">
        <f>+'Tuition-2Yr'!AB25+'State Appropriations-2Yr'!AB25+'Local Appropriations-2Yr'!AB25+'Fed Contracts Grnts-2Yr'!AB25+'Other Contracts Grnts-2Yr'!AB25+'Investment Income-2Yr'!AB25+'All Other E&amp;G-2Yr'!AB25</f>
        <v>18885.399000000001</v>
      </c>
      <c r="AC25" s="163">
        <f>+'Tuition-2Yr'!AC25+'State Appropriations-2Yr'!AC25+'Local Appropriations-2Yr'!AC25+'Fed Contracts Grnts-2Yr'!AC25+'Other Contracts Grnts-2Yr'!AC25+'Investment Income-2Yr'!AC25+'All Other E&amp;G-2Yr'!AC25</f>
        <v>6239</v>
      </c>
      <c r="AD25" s="163">
        <f>+'Tuition-2Yr'!AD25+'State Appropriations-2Yr'!AD25+'Local Appropriations-2Yr'!AD25+'Fed Contracts Grnts-2Yr'!AD25+'Other Contracts Grnts-2Yr'!AD25+'Investment Income-2Yr'!AD25+'All Other E&amp;G-2Yr'!AD25</f>
        <v>21978.303</v>
      </c>
      <c r="AE25" s="163">
        <f>+'Tuition-2Yr'!AE25+'State Appropriations-2Yr'!AE25+'Local Appropriations-2Yr'!AE25+'Fed Contracts Grnts-2Yr'!AE25+'Other Contracts Grnts-2Yr'!AE25+'Investment Income-2Yr'!AE25+'All Other E&amp;G-2Yr'!AE25</f>
        <v>36664.372000000003</v>
      </c>
      <c r="AF25" s="163">
        <f>+'Tuition-2Yr'!AF25+'State Appropriations-2Yr'!AF25+'Local Appropriations-2Yr'!AF25+'Fed Contracts Grnts-2Yr'!AF25+'Other Contracts Grnts-2Yr'!AF25+'Investment Income-2Yr'!AF25+'All Other E&amp;G-2Yr'!AF25</f>
        <v>0</v>
      </c>
      <c r="AG25" s="163">
        <f>+'Tuition-2Yr'!AG25+'State Appropriations-2Yr'!AG25+'Local Appropriations-2Yr'!AG25+'Fed Contracts Grnts-2Yr'!AG25+'Other Contracts Grnts-2Yr'!AG25+'Investment Income-2Yr'!AG25+'All Other E&amp;G-2Yr'!AG25</f>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c r="HC25" s="20"/>
      <c r="HD25" s="20"/>
      <c r="HE25" s="20"/>
      <c r="HF25" s="20"/>
    </row>
    <row r="26" spans="1:214" s="65" customFormat="1" ht="12.75" customHeight="1">
      <c r="A26" s="23" t="s">
        <v>110</v>
      </c>
      <c r="B26" s="163">
        <f>+'Tuition-2Yr'!B26+'State Appropriations-2Yr'!B26+'Local Appropriations-2Yr'!B26+'Fed Contracts Grnts-2Yr'!B26+'Other Contracts Grnts-2Yr'!B26+'Investment Income-2Yr'!B26+'All Other E&amp;G-2Yr'!B26</f>
        <v>0</v>
      </c>
      <c r="C26" s="163">
        <f>+'Tuition-2Yr'!C26+'State Appropriations-2Yr'!C26+'Local Appropriations-2Yr'!C26+'Fed Contracts Grnts-2Yr'!C26+'Other Contracts Grnts-2Yr'!C26+'Investment Income-2Yr'!C26+'All Other E&amp;G-2Yr'!C26</f>
        <v>0</v>
      </c>
      <c r="D26" s="163">
        <f>+'Tuition-2Yr'!D26+'State Appropriations-2Yr'!D26+'Local Appropriations-2Yr'!D26+'Fed Contracts Grnts-2Yr'!D26+'Other Contracts Grnts-2Yr'!D26+'Investment Income-2Yr'!D26+'All Other E&amp;G-2Yr'!D26</f>
        <v>0</v>
      </c>
      <c r="E26" s="163">
        <f>+'Tuition-2Yr'!E26+'State Appropriations-2Yr'!E26+'Local Appropriations-2Yr'!E26+'Fed Contracts Grnts-2Yr'!E26+'Other Contracts Grnts-2Yr'!E26+'Investment Income-2Yr'!E26+'All Other E&amp;G-2Yr'!E26</f>
        <v>0</v>
      </c>
      <c r="F26" s="163">
        <f>+'Tuition-2Yr'!F26+'State Appropriations-2Yr'!F26+'Local Appropriations-2Yr'!F26+'Fed Contracts Grnts-2Yr'!F26+'Other Contracts Grnts-2Yr'!F26+'Investment Income-2Yr'!F26+'All Other E&amp;G-2Yr'!F26</f>
        <v>0</v>
      </c>
      <c r="G26" s="163">
        <f>+'Tuition-2Yr'!G26+'State Appropriations-2Yr'!G26+'Local Appropriations-2Yr'!G26+'Fed Contracts Grnts-2Yr'!G26+'Other Contracts Grnts-2Yr'!G26+'Investment Income-2Yr'!G26+'All Other E&amp;G-2Yr'!G26</f>
        <v>0</v>
      </c>
      <c r="H26" s="163">
        <f>+'Tuition-2Yr'!H26+'State Appropriations-2Yr'!H26+'Local Appropriations-2Yr'!H26+'Fed Contracts Grnts-2Yr'!H26+'Other Contracts Grnts-2Yr'!H26+'Investment Income-2Yr'!H26+'All Other E&amp;G-2Yr'!H26</f>
        <v>0</v>
      </c>
      <c r="I26" s="163">
        <f>+'Tuition-2Yr'!I26+'State Appropriations-2Yr'!I26+'Local Appropriations-2Yr'!I26+'Fed Contracts Grnts-2Yr'!I26+'Other Contracts Grnts-2Yr'!I26+'Investment Income-2Yr'!I26+'All Other E&amp;G-2Yr'!I26</f>
        <v>0</v>
      </c>
      <c r="J26" s="163">
        <f>+'Tuition-2Yr'!J26+'State Appropriations-2Yr'!J26+'Local Appropriations-2Yr'!J26+'Fed Contracts Grnts-2Yr'!J26+'Other Contracts Grnts-2Yr'!J26+'Investment Income-2Yr'!J26+'All Other E&amp;G-2Yr'!J26</f>
        <v>379839.27400000003</v>
      </c>
      <c r="K26" s="163">
        <f>+'Tuition-2Yr'!K26+'State Appropriations-2Yr'!K26+'Local Appropriations-2Yr'!K26+'Fed Contracts Grnts-2Yr'!K26+'Other Contracts Grnts-2Yr'!K26+'Investment Income-2Yr'!K26+'All Other E&amp;G-2Yr'!K26</f>
        <v>0</v>
      </c>
      <c r="L26" s="163">
        <f>+'Tuition-2Yr'!L26+'State Appropriations-2Yr'!L26+'Local Appropriations-2Yr'!L26+'Fed Contracts Grnts-2Yr'!L26+'Other Contracts Grnts-2Yr'!L26+'Investment Income-2Yr'!L26+'All Other E&amp;G-2Yr'!L26</f>
        <v>0</v>
      </c>
      <c r="M26" s="163">
        <f>+'Tuition-2Yr'!M26+'State Appropriations-2Yr'!M26+'Local Appropriations-2Yr'!M26+'Fed Contracts Grnts-2Yr'!M26+'Other Contracts Grnts-2Yr'!M26+'Investment Income-2Yr'!M26+'All Other E&amp;G-2Yr'!M26</f>
        <v>457411.49200000003</v>
      </c>
      <c r="N26" s="163">
        <f>+'Tuition-2Yr'!N26+'State Appropriations-2Yr'!N26+'Local Appropriations-2Yr'!N26+'Fed Contracts Grnts-2Yr'!N26+'Other Contracts Grnts-2Yr'!N26+'Investment Income-2Yr'!N26+'All Other E&amp;G-2Yr'!N26</f>
        <v>0</v>
      </c>
      <c r="O26" s="163">
        <f>+'Tuition-2Yr'!O26+'State Appropriations-2Yr'!O26+'Local Appropriations-2Yr'!O26+'Fed Contracts Grnts-2Yr'!O26+'Other Contracts Grnts-2Yr'!O26+'Investment Income-2Yr'!O26+'All Other E&amp;G-2Yr'!O26</f>
        <v>566842.54149000009</v>
      </c>
      <c r="P26" s="163">
        <f>+'Tuition-2Yr'!P26+'State Appropriations-2Yr'!P26+'Local Appropriations-2Yr'!P26+'Fed Contracts Grnts-2Yr'!P26+'Other Contracts Grnts-2Yr'!P26+'Investment Income-2Yr'!P26+'All Other E&amp;G-2Yr'!P26</f>
        <v>0</v>
      </c>
      <c r="Q26" s="163">
        <f>+'Tuition-2Yr'!Q26+'State Appropriations-2Yr'!Q26+'Local Appropriations-2Yr'!Q26+'Fed Contracts Grnts-2Yr'!Q26+'Other Contracts Grnts-2Yr'!Q26+'Investment Income-2Yr'!Q26+'All Other E&amp;G-2Yr'!Q26</f>
        <v>0</v>
      </c>
      <c r="R26" s="163">
        <f>+'Tuition-2Yr'!R26+'State Appropriations-2Yr'!R26+'Local Appropriations-2Yr'!R26+'Fed Contracts Grnts-2Yr'!R26+'Other Contracts Grnts-2Yr'!R26+'Investment Income-2Yr'!R26+'All Other E&amp;G-2Yr'!R26</f>
        <v>642711.071</v>
      </c>
      <c r="S26" s="163">
        <f>+'Tuition-2Yr'!S26+'State Appropriations-2Yr'!S26+'Local Appropriations-2Yr'!S26+'Fed Contracts Grnts-2Yr'!S26+'Other Contracts Grnts-2Yr'!S26+'Investment Income-2Yr'!S26+'All Other E&amp;G-2Yr'!S26</f>
        <v>702192.31600000011</v>
      </c>
      <c r="T26" s="163">
        <f>+'Tuition-2Yr'!T26+'State Appropriations-2Yr'!T26+'Local Appropriations-2Yr'!T26+'Fed Contracts Grnts-2Yr'!T26+'Other Contracts Grnts-2Yr'!T26+'Investment Income-2Yr'!T26+'All Other E&amp;G-2Yr'!T26</f>
        <v>822832.70199999993</v>
      </c>
      <c r="U26" s="163">
        <f>+'Tuition-2Yr'!U26+'State Appropriations-2Yr'!U26+'Local Appropriations-2Yr'!U26+'Fed Contracts Grnts-2Yr'!U26+'Other Contracts Grnts-2Yr'!U26+'Investment Income-2Yr'!U26+'All Other E&amp;G-2Yr'!U26</f>
        <v>811864.60899999994</v>
      </c>
      <c r="V26" s="163">
        <f>+'Tuition-2Yr'!V26+'State Appropriations-2Yr'!V26+'Local Appropriations-2Yr'!V26+'Fed Contracts Grnts-2Yr'!V26+'Other Contracts Grnts-2Yr'!V26+'Investment Income-2Yr'!V26+'All Other E&amp;G-2Yr'!V26</f>
        <v>881784.30700000015</v>
      </c>
      <c r="W26" s="163">
        <f>+'Tuition-2Yr'!W26+'State Appropriations-2Yr'!W26+'Local Appropriations-2Yr'!W26+'Fed Contracts Grnts-2Yr'!W26+'Other Contracts Grnts-2Yr'!W26+'Investment Income-2Yr'!W26+'All Other E&amp;G-2Yr'!W26</f>
        <v>1005398.1670000001</v>
      </c>
      <c r="X26" s="163">
        <f>+'Tuition-2Yr'!X26+'State Appropriations-2Yr'!X26+'Local Appropriations-2Yr'!X26+'Fed Contracts Grnts-2Yr'!X26+'Other Contracts Grnts-2Yr'!X26+'Investment Income-2Yr'!X26+'All Other E&amp;G-2Yr'!X26</f>
        <v>1025453.02</v>
      </c>
      <c r="Y26" s="163">
        <f>+'Tuition-2Yr'!Y26+'State Appropriations-2Yr'!Y26+'Local Appropriations-2Yr'!Y26+'Fed Contracts Grnts-2Yr'!Y26+'Other Contracts Grnts-2Yr'!Y26+'Investment Income-2Yr'!Y26+'All Other E&amp;G-2Yr'!Y26</f>
        <v>1112148.6499999999</v>
      </c>
      <c r="Z26" s="163">
        <f>+'Tuition-2Yr'!Z26+'State Appropriations-2Yr'!Z26+'Local Appropriations-2Yr'!Z26+'Fed Contracts Grnts-2Yr'!Z26+'Other Contracts Grnts-2Yr'!Z26+'Investment Income-2Yr'!Z26+'All Other E&amp;G-2Yr'!Z26</f>
        <v>1171906.97</v>
      </c>
      <c r="AA26" s="163">
        <f>+'Tuition-2Yr'!AA26+'State Appropriations-2Yr'!AA26+'Local Appropriations-2Yr'!AA26+'Fed Contracts Grnts-2Yr'!AA26+'Other Contracts Grnts-2Yr'!AA26+'Investment Income-2Yr'!AA26+'All Other E&amp;G-2Yr'!AA26</f>
        <v>1332833.5390000001</v>
      </c>
      <c r="AB26" s="163">
        <f>+'Tuition-2Yr'!AB26+'State Appropriations-2Yr'!AB26+'Local Appropriations-2Yr'!AB26+'Fed Contracts Grnts-2Yr'!AB26+'Other Contracts Grnts-2Yr'!AB26+'Investment Income-2Yr'!AB26+'All Other E&amp;G-2Yr'!AB26</f>
        <v>1470315.561</v>
      </c>
      <c r="AC26" s="163">
        <f>+'Tuition-2Yr'!AC26+'State Appropriations-2Yr'!AC26+'Local Appropriations-2Yr'!AC26+'Fed Contracts Grnts-2Yr'!AC26+'Other Contracts Grnts-2Yr'!AC26+'Investment Income-2Yr'!AC26+'All Other E&amp;G-2Yr'!AC26</f>
        <v>1594544</v>
      </c>
      <c r="AD26" s="163">
        <f>+'Tuition-2Yr'!AD26+'State Appropriations-2Yr'!AD26+'Local Appropriations-2Yr'!AD26+'Fed Contracts Grnts-2Yr'!AD26+'Other Contracts Grnts-2Yr'!AD26+'Investment Income-2Yr'!AD26+'All Other E&amp;G-2Yr'!AD26</f>
        <v>1566087.6229999999</v>
      </c>
      <c r="AE26" s="163">
        <f>+'Tuition-2Yr'!AE26+'State Appropriations-2Yr'!AE26+'Local Appropriations-2Yr'!AE26+'Fed Contracts Grnts-2Yr'!AE26+'Other Contracts Grnts-2Yr'!AE26+'Investment Income-2Yr'!AE26+'All Other E&amp;G-2Yr'!AE26</f>
        <v>1524708.0249999999</v>
      </c>
      <c r="AF26" s="163">
        <f>+'Tuition-2Yr'!AF26+'State Appropriations-2Yr'!AF26+'Local Appropriations-2Yr'!AF26+'Fed Contracts Grnts-2Yr'!AF26+'Other Contracts Grnts-2Yr'!AF26+'Investment Income-2Yr'!AF26+'All Other E&amp;G-2Yr'!AF26</f>
        <v>357893.587</v>
      </c>
      <c r="AG26" s="163">
        <f>+'Tuition-2Yr'!AG26+'State Appropriations-2Yr'!AG26+'Local Appropriations-2Yr'!AG26+'Fed Contracts Grnts-2Yr'!AG26+'Other Contracts Grnts-2Yr'!AG26+'Investment Income-2Yr'!AG26+'All Other E&amp;G-2Yr'!AG26</f>
        <v>363576.54100000003</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c r="HC26" s="20"/>
      <c r="HD26" s="20"/>
      <c r="HE26" s="20"/>
      <c r="HF26" s="20"/>
    </row>
    <row r="27" spans="1:214" s="65" customFormat="1" ht="12.75" customHeight="1">
      <c r="A27" s="23" t="s">
        <v>111</v>
      </c>
      <c r="B27" s="163">
        <f>+'Tuition-2Yr'!B27+'State Appropriations-2Yr'!B27+'Local Appropriations-2Yr'!B27+'Fed Contracts Grnts-2Yr'!B27+'Other Contracts Grnts-2Yr'!B27+'Investment Income-2Yr'!B27+'All Other E&amp;G-2Yr'!B27</f>
        <v>0</v>
      </c>
      <c r="C27" s="163">
        <f>+'Tuition-2Yr'!C27+'State Appropriations-2Yr'!C27+'Local Appropriations-2Yr'!C27+'Fed Contracts Grnts-2Yr'!C27+'Other Contracts Grnts-2Yr'!C27+'Investment Income-2Yr'!C27+'All Other E&amp;G-2Yr'!C27</f>
        <v>0</v>
      </c>
      <c r="D27" s="163">
        <f>+'Tuition-2Yr'!D27+'State Appropriations-2Yr'!D27+'Local Appropriations-2Yr'!D27+'Fed Contracts Grnts-2Yr'!D27+'Other Contracts Grnts-2Yr'!D27+'Investment Income-2Yr'!D27+'All Other E&amp;G-2Yr'!D27</f>
        <v>0</v>
      </c>
      <c r="E27" s="163">
        <f>+'Tuition-2Yr'!E27+'State Appropriations-2Yr'!E27+'Local Appropriations-2Yr'!E27+'Fed Contracts Grnts-2Yr'!E27+'Other Contracts Grnts-2Yr'!E27+'Investment Income-2Yr'!E27+'All Other E&amp;G-2Yr'!E27</f>
        <v>0</v>
      </c>
      <c r="F27" s="163">
        <f>+'Tuition-2Yr'!F27+'State Appropriations-2Yr'!F27+'Local Appropriations-2Yr'!F27+'Fed Contracts Grnts-2Yr'!F27+'Other Contracts Grnts-2Yr'!F27+'Investment Income-2Yr'!F27+'All Other E&amp;G-2Yr'!F27</f>
        <v>0</v>
      </c>
      <c r="G27" s="163">
        <f>+'Tuition-2Yr'!G27+'State Appropriations-2Yr'!G27+'Local Appropriations-2Yr'!G27+'Fed Contracts Grnts-2Yr'!G27+'Other Contracts Grnts-2Yr'!G27+'Investment Income-2Yr'!G27+'All Other E&amp;G-2Yr'!G27</f>
        <v>0</v>
      </c>
      <c r="H27" s="163">
        <f>+'Tuition-2Yr'!H27+'State Appropriations-2Yr'!H27+'Local Appropriations-2Yr'!H27+'Fed Contracts Grnts-2Yr'!H27+'Other Contracts Grnts-2Yr'!H27+'Investment Income-2Yr'!H27+'All Other E&amp;G-2Yr'!H27</f>
        <v>0</v>
      </c>
      <c r="I27" s="163">
        <f>+'Tuition-2Yr'!I27+'State Appropriations-2Yr'!I27+'Local Appropriations-2Yr'!I27+'Fed Contracts Grnts-2Yr'!I27+'Other Contracts Grnts-2Yr'!I27+'Investment Income-2Yr'!I27+'All Other E&amp;G-2Yr'!I27</f>
        <v>0</v>
      </c>
      <c r="J27" s="163">
        <f>+'Tuition-2Yr'!J27+'State Appropriations-2Yr'!J27+'Local Appropriations-2Yr'!J27+'Fed Contracts Grnts-2Yr'!J27+'Other Contracts Grnts-2Yr'!J27+'Investment Income-2Yr'!J27+'All Other E&amp;G-2Yr'!J27</f>
        <v>3342953.9140000008</v>
      </c>
      <c r="K27" s="163">
        <f>+'Tuition-2Yr'!K27+'State Appropriations-2Yr'!K27+'Local Appropriations-2Yr'!K27+'Fed Contracts Grnts-2Yr'!K27+'Other Contracts Grnts-2Yr'!K27+'Investment Income-2Yr'!K27+'All Other E&amp;G-2Yr'!K27</f>
        <v>0</v>
      </c>
      <c r="L27" s="163">
        <f>+'Tuition-2Yr'!L27+'State Appropriations-2Yr'!L27+'Local Appropriations-2Yr'!L27+'Fed Contracts Grnts-2Yr'!L27+'Other Contracts Grnts-2Yr'!L27+'Investment Income-2Yr'!L27+'All Other E&amp;G-2Yr'!L27</f>
        <v>0</v>
      </c>
      <c r="M27" s="163">
        <f>+'Tuition-2Yr'!M27+'State Appropriations-2Yr'!M27+'Local Appropriations-2Yr'!M27+'Fed Contracts Grnts-2Yr'!M27+'Other Contracts Grnts-2Yr'!M27+'Investment Income-2Yr'!M27+'All Other E&amp;G-2Yr'!M27</f>
        <v>3439184.7140000002</v>
      </c>
      <c r="N27" s="163">
        <f>+'Tuition-2Yr'!N27+'State Appropriations-2Yr'!N27+'Local Appropriations-2Yr'!N27+'Fed Contracts Grnts-2Yr'!N27+'Other Contracts Grnts-2Yr'!N27+'Investment Income-2Yr'!N27+'All Other E&amp;G-2Yr'!N27</f>
        <v>0</v>
      </c>
      <c r="O27" s="163">
        <f>+'Tuition-2Yr'!O27+'State Appropriations-2Yr'!O27+'Local Appropriations-2Yr'!O27+'Fed Contracts Grnts-2Yr'!O27+'Other Contracts Grnts-2Yr'!O27+'Investment Income-2Yr'!O27+'All Other E&amp;G-2Yr'!O27</f>
        <v>4308499.5686900001</v>
      </c>
      <c r="P27" s="163">
        <f>+'Tuition-2Yr'!P27+'State Appropriations-2Yr'!P27+'Local Appropriations-2Yr'!P27+'Fed Contracts Grnts-2Yr'!P27+'Other Contracts Grnts-2Yr'!P27+'Investment Income-2Yr'!P27+'All Other E&amp;G-2Yr'!P27</f>
        <v>0</v>
      </c>
      <c r="Q27" s="163">
        <f>+'Tuition-2Yr'!Q27+'State Appropriations-2Yr'!Q27+'Local Appropriations-2Yr'!Q27+'Fed Contracts Grnts-2Yr'!Q27+'Other Contracts Grnts-2Yr'!Q27+'Investment Income-2Yr'!Q27+'All Other E&amp;G-2Yr'!Q27</f>
        <v>0</v>
      </c>
      <c r="R27" s="163">
        <f>+'Tuition-2Yr'!R27+'State Appropriations-2Yr'!R27+'Local Appropriations-2Yr'!R27+'Fed Contracts Grnts-2Yr'!R27+'Other Contracts Grnts-2Yr'!R27+'Investment Income-2Yr'!R27+'All Other E&amp;G-2Yr'!R27</f>
        <v>3865154.3390000002</v>
      </c>
      <c r="S27" s="163">
        <f>+'Tuition-2Yr'!S27+'State Appropriations-2Yr'!S27+'Local Appropriations-2Yr'!S27+'Fed Contracts Grnts-2Yr'!S27+'Other Contracts Grnts-2Yr'!S27+'Investment Income-2Yr'!S27+'All Other E&amp;G-2Yr'!S27</f>
        <v>4778173.5140000014</v>
      </c>
      <c r="T27" s="163">
        <f>+'Tuition-2Yr'!T27+'State Appropriations-2Yr'!T27+'Local Appropriations-2Yr'!T27+'Fed Contracts Grnts-2Yr'!T27+'Other Contracts Grnts-2Yr'!T27+'Investment Income-2Yr'!T27+'All Other E&amp;G-2Yr'!T27</f>
        <v>4651263.3210000005</v>
      </c>
      <c r="U27" s="163">
        <f>+'Tuition-2Yr'!U27+'State Appropriations-2Yr'!U27+'Local Appropriations-2Yr'!U27+'Fed Contracts Grnts-2Yr'!U27+'Other Contracts Grnts-2Yr'!U27+'Investment Income-2Yr'!U27+'All Other E&amp;G-2Yr'!U27</f>
        <v>4544193.7700000005</v>
      </c>
      <c r="V27" s="163">
        <f>+'Tuition-2Yr'!V27+'State Appropriations-2Yr'!V27+'Local Appropriations-2Yr'!V27+'Fed Contracts Grnts-2Yr'!V27+'Other Contracts Grnts-2Yr'!V27+'Investment Income-2Yr'!V27+'All Other E&amp;G-2Yr'!V27</f>
        <v>4648934.4479999999</v>
      </c>
      <c r="W27" s="163">
        <f>+'Tuition-2Yr'!W27+'State Appropriations-2Yr'!W27+'Local Appropriations-2Yr'!W27+'Fed Contracts Grnts-2Yr'!W27+'Other Contracts Grnts-2Yr'!W27+'Investment Income-2Yr'!W27+'All Other E&amp;G-2Yr'!W27</f>
        <v>7070438.7749999985</v>
      </c>
      <c r="X27" s="163">
        <f>+'Tuition-2Yr'!X27+'State Appropriations-2Yr'!X27+'Local Appropriations-2Yr'!X27+'Fed Contracts Grnts-2Yr'!X27+'Other Contracts Grnts-2Yr'!X27+'Investment Income-2Yr'!X27+'All Other E&amp;G-2Yr'!X27</f>
        <v>7270582.5980000002</v>
      </c>
      <c r="Y27" s="163">
        <f>+'Tuition-2Yr'!Y27+'State Appropriations-2Yr'!Y27+'Local Appropriations-2Yr'!Y27+'Fed Contracts Grnts-2Yr'!Y27+'Other Contracts Grnts-2Yr'!Y27+'Investment Income-2Yr'!Y27+'All Other E&amp;G-2Yr'!Y27</f>
        <v>8235450.6590000009</v>
      </c>
      <c r="Z27" s="163">
        <f>+'Tuition-2Yr'!Z27+'State Appropriations-2Yr'!Z27+'Local Appropriations-2Yr'!Z27+'Fed Contracts Grnts-2Yr'!Z27+'Other Contracts Grnts-2Yr'!Z27+'Investment Income-2Yr'!Z27+'All Other E&amp;G-2Yr'!Z27</f>
        <v>8811543.6199999992</v>
      </c>
      <c r="AA27" s="163">
        <f>+'Tuition-2Yr'!AA27+'State Appropriations-2Yr'!AA27+'Local Appropriations-2Yr'!AA27+'Fed Contracts Grnts-2Yr'!AA27+'Other Contracts Grnts-2Yr'!AA27+'Investment Income-2Yr'!AA27+'All Other E&amp;G-2Yr'!AA27</f>
        <v>9586289.4529999997</v>
      </c>
      <c r="AB27" s="163">
        <f>+'Tuition-2Yr'!AB27+'State Appropriations-2Yr'!AB27+'Local Appropriations-2Yr'!AB27+'Fed Contracts Grnts-2Yr'!AB27+'Other Contracts Grnts-2Yr'!AB27+'Investment Income-2Yr'!AB27+'All Other E&amp;G-2Yr'!AB27</f>
        <v>9692386.5779999979</v>
      </c>
      <c r="AC27" s="163">
        <f>+'Tuition-2Yr'!AC27+'State Appropriations-2Yr'!AC27+'Local Appropriations-2Yr'!AC27+'Fed Contracts Grnts-2Yr'!AC27+'Other Contracts Grnts-2Yr'!AC27+'Investment Income-2Yr'!AC27+'All Other E&amp;G-2Yr'!AC27</f>
        <v>10771482</v>
      </c>
      <c r="AD27" s="163">
        <f>+'Tuition-2Yr'!AD27+'State Appropriations-2Yr'!AD27+'Local Appropriations-2Yr'!AD27+'Fed Contracts Grnts-2Yr'!AD27+'Other Contracts Grnts-2Yr'!AD27+'Investment Income-2Yr'!AD27+'All Other E&amp;G-2Yr'!AD27</f>
        <v>9960911.7949999999</v>
      </c>
      <c r="AE27" s="163">
        <f>+'Tuition-2Yr'!AE27+'State Appropriations-2Yr'!AE27+'Local Appropriations-2Yr'!AE27+'Fed Contracts Grnts-2Yr'!AE27+'Other Contracts Grnts-2Yr'!AE27+'Investment Income-2Yr'!AE27+'All Other E&amp;G-2Yr'!AE27</f>
        <v>10130037.069</v>
      </c>
      <c r="AF27" s="163">
        <f>+'Tuition-2Yr'!AF27+'State Appropriations-2Yr'!AF27+'Local Appropriations-2Yr'!AF27+'Fed Contracts Grnts-2Yr'!AF27+'Other Contracts Grnts-2Yr'!AF27+'Investment Income-2Yr'!AF27+'All Other E&amp;G-2Yr'!AF27</f>
        <v>7964607.2819999997</v>
      </c>
      <c r="AG27" s="163">
        <f>+'Tuition-2Yr'!AG27+'State Appropriations-2Yr'!AG27+'Local Appropriations-2Yr'!AG27+'Fed Contracts Grnts-2Yr'!AG27+'Other Contracts Grnts-2Yr'!AG27+'Investment Income-2Yr'!AG27+'All Other E&amp;G-2Yr'!AG27</f>
        <v>8324970.4280000003</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c r="HC27" s="20"/>
      <c r="HD27" s="20"/>
      <c r="HE27" s="20"/>
      <c r="HF27" s="20"/>
    </row>
    <row r="28" spans="1:214" s="65" customFormat="1" ht="12.75" customHeight="1">
      <c r="A28" s="23" t="s">
        <v>112</v>
      </c>
      <c r="B28" s="163">
        <f>+'Tuition-2Yr'!B28+'State Appropriations-2Yr'!B28+'Local Appropriations-2Yr'!B28+'Fed Contracts Grnts-2Yr'!B28+'Other Contracts Grnts-2Yr'!B28+'Investment Income-2Yr'!B28+'All Other E&amp;G-2Yr'!B28</f>
        <v>0</v>
      </c>
      <c r="C28" s="163">
        <f>+'Tuition-2Yr'!C28+'State Appropriations-2Yr'!C28+'Local Appropriations-2Yr'!C28+'Fed Contracts Grnts-2Yr'!C28+'Other Contracts Grnts-2Yr'!C28+'Investment Income-2Yr'!C28+'All Other E&amp;G-2Yr'!C28</f>
        <v>0</v>
      </c>
      <c r="D28" s="163">
        <f>+'Tuition-2Yr'!D28+'State Appropriations-2Yr'!D28+'Local Appropriations-2Yr'!D28+'Fed Contracts Grnts-2Yr'!D28+'Other Contracts Grnts-2Yr'!D28+'Investment Income-2Yr'!D28+'All Other E&amp;G-2Yr'!D28</f>
        <v>0</v>
      </c>
      <c r="E28" s="163">
        <f>+'Tuition-2Yr'!E28+'State Appropriations-2Yr'!E28+'Local Appropriations-2Yr'!E28+'Fed Contracts Grnts-2Yr'!E28+'Other Contracts Grnts-2Yr'!E28+'Investment Income-2Yr'!E28+'All Other E&amp;G-2Yr'!E28</f>
        <v>0</v>
      </c>
      <c r="F28" s="163">
        <f>+'Tuition-2Yr'!F28+'State Appropriations-2Yr'!F28+'Local Appropriations-2Yr'!F28+'Fed Contracts Grnts-2Yr'!F28+'Other Contracts Grnts-2Yr'!F28+'Investment Income-2Yr'!F28+'All Other E&amp;G-2Yr'!F28</f>
        <v>0</v>
      </c>
      <c r="G28" s="163">
        <f>+'Tuition-2Yr'!G28+'State Appropriations-2Yr'!G28+'Local Appropriations-2Yr'!G28+'Fed Contracts Grnts-2Yr'!G28+'Other Contracts Grnts-2Yr'!G28+'Investment Income-2Yr'!G28+'All Other E&amp;G-2Yr'!G28</f>
        <v>0</v>
      </c>
      <c r="H28" s="163">
        <f>+'Tuition-2Yr'!H28+'State Appropriations-2Yr'!H28+'Local Appropriations-2Yr'!H28+'Fed Contracts Grnts-2Yr'!H28+'Other Contracts Grnts-2Yr'!H28+'Investment Income-2Yr'!H28+'All Other E&amp;G-2Yr'!H28</f>
        <v>0</v>
      </c>
      <c r="I28" s="163">
        <f>+'Tuition-2Yr'!I28+'State Appropriations-2Yr'!I28+'Local Appropriations-2Yr'!I28+'Fed Contracts Grnts-2Yr'!I28+'Other Contracts Grnts-2Yr'!I28+'Investment Income-2Yr'!I28+'All Other E&amp;G-2Yr'!I28</f>
        <v>0</v>
      </c>
      <c r="J28" s="163">
        <f>+'Tuition-2Yr'!J28+'State Appropriations-2Yr'!J28+'Local Appropriations-2Yr'!J28+'Fed Contracts Grnts-2Yr'!J28+'Other Contracts Grnts-2Yr'!J28+'Investment Income-2Yr'!J28+'All Other E&amp;G-2Yr'!J28</f>
        <v>215952.49800000002</v>
      </c>
      <c r="K28" s="163">
        <f>+'Tuition-2Yr'!K28+'State Appropriations-2Yr'!K28+'Local Appropriations-2Yr'!K28+'Fed Contracts Grnts-2Yr'!K28+'Other Contracts Grnts-2Yr'!K28+'Investment Income-2Yr'!K28+'All Other E&amp;G-2Yr'!K28</f>
        <v>0</v>
      </c>
      <c r="L28" s="163">
        <f>+'Tuition-2Yr'!L28+'State Appropriations-2Yr'!L28+'Local Appropriations-2Yr'!L28+'Fed Contracts Grnts-2Yr'!L28+'Other Contracts Grnts-2Yr'!L28+'Investment Income-2Yr'!L28+'All Other E&amp;G-2Yr'!L28</f>
        <v>0</v>
      </c>
      <c r="M28" s="163">
        <f>+'Tuition-2Yr'!M28+'State Appropriations-2Yr'!M28+'Local Appropriations-2Yr'!M28+'Fed Contracts Grnts-2Yr'!M28+'Other Contracts Grnts-2Yr'!M28+'Investment Income-2Yr'!M28+'All Other E&amp;G-2Yr'!M28</f>
        <v>261702.66999999995</v>
      </c>
      <c r="N28" s="163">
        <f>+'Tuition-2Yr'!N28+'State Appropriations-2Yr'!N28+'Local Appropriations-2Yr'!N28+'Fed Contracts Grnts-2Yr'!N28+'Other Contracts Grnts-2Yr'!N28+'Investment Income-2Yr'!N28+'All Other E&amp;G-2Yr'!N28</f>
        <v>0</v>
      </c>
      <c r="O28" s="163">
        <f>+'Tuition-2Yr'!O28+'State Appropriations-2Yr'!O28+'Local Appropriations-2Yr'!O28+'Fed Contracts Grnts-2Yr'!O28+'Other Contracts Grnts-2Yr'!O28+'Investment Income-2Yr'!O28+'All Other E&amp;G-2Yr'!O28</f>
        <v>300605.82400000002</v>
      </c>
      <c r="P28" s="163">
        <f>+'Tuition-2Yr'!P28+'State Appropriations-2Yr'!P28+'Local Appropriations-2Yr'!P28+'Fed Contracts Grnts-2Yr'!P28+'Other Contracts Grnts-2Yr'!P28+'Investment Income-2Yr'!P28+'All Other E&amp;G-2Yr'!P28</f>
        <v>0</v>
      </c>
      <c r="Q28" s="163">
        <f>+'Tuition-2Yr'!Q28+'State Appropriations-2Yr'!Q28+'Local Appropriations-2Yr'!Q28+'Fed Contracts Grnts-2Yr'!Q28+'Other Contracts Grnts-2Yr'!Q28+'Investment Income-2Yr'!Q28+'All Other E&amp;G-2Yr'!Q28</f>
        <v>0</v>
      </c>
      <c r="R28" s="163">
        <f>+'Tuition-2Yr'!R28+'State Appropriations-2Yr'!R28+'Local Appropriations-2Yr'!R28+'Fed Contracts Grnts-2Yr'!R28+'Other Contracts Grnts-2Yr'!R28+'Investment Income-2Yr'!R28+'All Other E&amp;G-2Yr'!R28</f>
        <v>343985.33</v>
      </c>
      <c r="S28" s="163">
        <f>+'Tuition-2Yr'!S28+'State Appropriations-2Yr'!S28+'Local Appropriations-2Yr'!S28+'Fed Contracts Grnts-2Yr'!S28+'Other Contracts Grnts-2Yr'!S28+'Investment Income-2Yr'!S28+'All Other E&amp;G-2Yr'!S28</f>
        <v>370238.375</v>
      </c>
      <c r="T28" s="163">
        <f>+'Tuition-2Yr'!T28+'State Appropriations-2Yr'!T28+'Local Appropriations-2Yr'!T28+'Fed Contracts Grnts-2Yr'!T28+'Other Contracts Grnts-2Yr'!T28+'Investment Income-2Yr'!T28+'All Other E&amp;G-2Yr'!T28</f>
        <v>403043.74300000002</v>
      </c>
      <c r="U28" s="163">
        <f>+'Tuition-2Yr'!U28+'State Appropriations-2Yr'!U28+'Local Appropriations-2Yr'!U28+'Fed Contracts Grnts-2Yr'!U28+'Other Contracts Grnts-2Yr'!U28+'Investment Income-2Yr'!U28+'All Other E&amp;G-2Yr'!U28</f>
        <v>382054.82199999999</v>
      </c>
      <c r="V28" s="163">
        <f>+'Tuition-2Yr'!V28+'State Appropriations-2Yr'!V28+'Local Appropriations-2Yr'!V28+'Fed Contracts Grnts-2Yr'!V28+'Other Contracts Grnts-2Yr'!V28+'Investment Income-2Yr'!V28+'All Other E&amp;G-2Yr'!V28</f>
        <v>383006.44500000001</v>
      </c>
      <c r="W28" s="163">
        <f>+'Tuition-2Yr'!W28+'State Appropriations-2Yr'!W28+'Local Appropriations-2Yr'!W28+'Fed Contracts Grnts-2Yr'!W28+'Other Contracts Grnts-2Yr'!W28+'Investment Income-2Yr'!W28+'All Other E&amp;G-2Yr'!W28</f>
        <v>436208.89300000004</v>
      </c>
      <c r="X28" s="163">
        <f>+'Tuition-2Yr'!X28+'State Appropriations-2Yr'!X28+'Local Appropriations-2Yr'!X28+'Fed Contracts Grnts-2Yr'!X28+'Other Contracts Grnts-2Yr'!X28+'Investment Income-2Yr'!X28+'All Other E&amp;G-2Yr'!X28</f>
        <v>413906.21100000001</v>
      </c>
      <c r="Y28" s="163">
        <f>+'Tuition-2Yr'!Y28+'State Appropriations-2Yr'!Y28+'Local Appropriations-2Yr'!Y28+'Fed Contracts Grnts-2Yr'!Y28+'Other Contracts Grnts-2Yr'!Y28+'Investment Income-2Yr'!Y28+'All Other E&amp;G-2Yr'!Y28</f>
        <v>441014.95699999999</v>
      </c>
      <c r="Z28" s="163">
        <f>+'Tuition-2Yr'!Z28+'State Appropriations-2Yr'!Z28+'Local Appropriations-2Yr'!Z28+'Fed Contracts Grnts-2Yr'!Z28+'Other Contracts Grnts-2Yr'!Z28+'Investment Income-2Yr'!Z28+'All Other E&amp;G-2Yr'!Z28</f>
        <v>477938.79</v>
      </c>
      <c r="AA28" s="163">
        <f>+'Tuition-2Yr'!AA28+'State Appropriations-2Yr'!AA28+'Local Appropriations-2Yr'!AA28+'Fed Contracts Grnts-2Yr'!AA28+'Other Contracts Grnts-2Yr'!AA28+'Investment Income-2Yr'!AA28+'All Other E&amp;G-2Yr'!AA28</f>
        <v>591166.84800000011</v>
      </c>
      <c r="AB28" s="163">
        <f>+'Tuition-2Yr'!AB28+'State Appropriations-2Yr'!AB28+'Local Appropriations-2Yr'!AB28+'Fed Contracts Grnts-2Yr'!AB28+'Other Contracts Grnts-2Yr'!AB28+'Investment Income-2Yr'!AB28+'All Other E&amp;G-2Yr'!AB28</f>
        <v>707293.35</v>
      </c>
      <c r="AC28" s="163">
        <f>+'Tuition-2Yr'!AC28+'State Appropriations-2Yr'!AC28+'Local Appropriations-2Yr'!AC28+'Fed Contracts Grnts-2Yr'!AC28+'Other Contracts Grnts-2Yr'!AC28+'Investment Income-2Yr'!AC28+'All Other E&amp;G-2Yr'!AC28</f>
        <v>781675</v>
      </c>
      <c r="AD28" s="163">
        <f>+'Tuition-2Yr'!AD28+'State Appropriations-2Yr'!AD28+'Local Appropriations-2Yr'!AD28+'Fed Contracts Grnts-2Yr'!AD28+'Other Contracts Grnts-2Yr'!AD28+'Investment Income-2Yr'!AD28+'All Other E&amp;G-2Yr'!AD28</f>
        <v>775531.51199999999</v>
      </c>
      <c r="AE28" s="163">
        <f>+'Tuition-2Yr'!AE28+'State Appropriations-2Yr'!AE28+'Local Appropriations-2Yr'!AE28+'Fed Contracts Grnts-2Yr'!AE28+'Other Contracts Grnts-2Yr'!AE28+'Investment Income-2Yr'!AE28+'All Other E&amp;G-2Yr'!AE28</f>
        <v>786854.12899999996</v>
      </c>
      <c r="AF28" s="163">
        <f>+'Tuition-2Yr'!AF28+'State Appropriations-2Yr'!AF28+'Local Appropriations-2Yr'!AF28+'Fed Contracts Grnts-2Yr'!AF28+'Other Contracts Grnts-2Yr'!AF28+'Investment Income-2Yr'!AF28+'All Other E&amp;G-2Yr'!AF28</f>
        <v>344273.96299999999</v>
      </c>
      <c r="AG28" s="163">
        <f>+'Tuition-2Yr'!AG28+'State Appropriations-2Yr'!AG28+'Local Appropriations-2Yr'!AG28+'Fed Contracts Grnts-2Yr'!AG28+'Other Contracts Grnts-2Yr'!AG28+'Investment Income-2Yr'!AG28+'All Other E&amp;G-2Yr'!AG28</f>
        <v>351694.46400000004</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c r="HC28" s="20"/>
      <c r="HD28" s="20"/>
      <c r="HE28" s="20"/>
      <c r="HF28" s="20"/>
    </row>
    <row r="29" spans="1:214" s="65" customFormat="1" ht="12.75" customHeight="1">
      <c r="A29" s="23" t="s">
        <v>115</v>
      </c>
      <c r="B29" s="163">
        <f>+'Tuition-2Yr'!B29+'State Appropriations-2Yr'!B29+'Local Appropriations-2Yr'!B29+'Fed Contracts Grnts-2Yr'!B29+'Other Contracts Grnts-2Yr'!B29+'Investment Income-2Yr'!B29+'All Other E&amp;G-2Yr'!B29</f>
        <v>0</v>
      </c>
      <c r="C29" s="163">
        <f>+'Tuition-2Yr'!C29+'State Appropriations-2Yr'!C29+'Local Appropriations-2Yr'!C29+'Fed Contracts Grnts-2Yr'!C29+'Other Contracts Grnts-2Yr'!C29+'Investment Income-2Yr'!C29+'All Other E&amp;G-2Yr'!C29</f>
        <v>0</v>
      </c>
      <c r="D29" s="163">
        <f>+'Tuition-2Yr'!D29+'State Appropriations-2Yr'!D29+'Local Appropriations-2Yr'!D29+'Fed Contracts Grnts-2Yr'!D29+'Other Contracts Grnts-2Yr'!D29+'Investment Income-2Yr'!D29+'All Other E&amp;G-2Yr'!D29</f>
        <v>0</v>
      </c>
      <c r="E29" s="163">
        <f>+'Tuition-2Yr'!E29+'State Appropriations-2Yr'!E29+'Local Appropriations-2Yr'!E29+'Fed Contracts Grnts-2Yr'!E29+'Other Contracts Grnts-2Yr'!E29+'Investment Income-2Yr'!E29+'All Other E&amp;G-2Yr'!E29</f>
        <v>0</v>
      </c>
      <c r="F29" s="163">
        <f>+'Tuition-2Yr'!F29+'State Appropriations-2Yr'!F29+'Local Appropriations-2Yr'!F29+'Fed Contracts Grnts-2Yr'!F29+'Other Contracts Grnts-2Yr'!F29+'Investment Income-2Yr'!F29+'All Other E&amp;G-2Yr'!F29</f>
        <v>0</v>
      </c>
      <c r="G29" s="163">
        <f>+'Tuition-2Yr'!G29+'State Appropriations-2Yr'!G29+'Local Appropriations-2Yr'!G29+'Fed Contracts Grnts-2Yr'!G29+'Other Contracts Grnts-2Yr'!G29+'Investment Income-2Yr'!G29+'All Other E&amp;G-2Yr'!G29</f>
        <v>0</v>
      </c>
      <c r="H29" s="163">
        <f>+'Tuition-2Yr'!H29+'State Appropriations-2Yr'!H29+'Local Appropriations-2Yr'!H29+'Fed Contracts Grnts-2Yr'!H29+'Other Contracts Grnts-2Yr'!H29+'Investment Income-2Yr'!H29+'All Other E&amp;G-2Yr'!H29</f>
        <v>0</v>
      </c>
      <c r="I29" s="163">
        <f>+'Tuition-2Yr'!I29+'State Appropriations-2Yr'!I29+'Local Appropriations-2Yr'!I29+'Fed Contracts Grnts-2Yr'!I29+'Other Contracts Grnts-2Yr'!I29+'Investment Income-2Yr'!I29+'All Other E&amp;G-2Yr'!I29</f>
        <v>0</v>
      </c>
      <c r="J29" s="163">
        <f>+'Tuition-2Yr'!J29+'State Appropriations-2Yr'!J29+'Local Appropriations-2Yr'!J29+'Fed Contracts Grnts-2Yr'!J29+'Other Contracts Grnts-2Yr'!J29+'Investment Income-2Yr'!J29+'All Other E&amp;G-2Yr'!J29</f>
        <v>102636.12699999999</v>
      </c>
      <c r="K29" s="163">
        <f>+'Tuition-2Yr'!K29+'State Appropriations-2Yr'!K29+'Local Appropriations-2Yr'!K29+'Fed Contracts Grnts-2Yr'!K29+'Other Contracts Grnts-2Yr'!K29+'Investment Income-2Yr'!K29+'All Other E&amp;G-2Yr'!K29</f>
        <v>0</v>
      </c>
      <c r="L29" s="163">
        <f>+'Tuition-2Yr'!L29+'State Appropriations-2Yr'!L29+'Local Appropriations-2Yr'!L29+'Fed Contracts Grnts-2Yr'!L29+'Other Contracts Grnts-2Yr'!L29+'Investment Income-2Yr'!L29+'All Other E&amp;G-2Yr'!L29</f>
        <v>0</v>
      </c>
      <c r="M29" s="163">
        <f>+'Tuition-2Yr'!M29+'State Appropriations-2Yr'!M29+'Local Appropriations-2Yr'!M29+'Fed Contracts Grnts-2Yr'!M29+'Other Contracts Grnts-2Yr'!M29+'Investment Income-2Yr'!M29+'All Other E&amp;G-2Yr'!M29</f>
        <v>114766.496</v>
      </c>
      <c r="N29" s="163">
        <f>+'Tuition-2Yr'!N29+'State Appropriations-2Yr'!N29+'Local Appropriations-2Yr'!N29+'Fed Contracts Grnts-2Yr'!N29+'Other Contracts Grnts-2Yr'!N29+'Investment Income-2Yr'!N29+'All Other E&amp;G-2Yr'!N29</f>
        <v>0</v>
      </c>
      <c r="O29" s="163">
        <f>+'Tuition-2Yr'!O29+'State Appropriations-2Yr'!O29+'Local Appropriations-2Yr'!O29+'Fed Contracts Grnts-2Yr'!O29+'Other Contracts Grnts-2Yr'!O29+'Investment Income-2Yr'!O29+'All Other E&amp;G-2Yr'!O29</f>
        <v>99176.476999999999</v>
      </c>
      <c r="P29" s="163">
        <f>+'Tuition-2Yr'!P29+'State Appropriations-2Yr'!P29+'Local Appropriations-2Yr'!P29+'Fed Contracts Grnts-2Yr'!P29+'Other Contracts Grnts-2Yr'!P29+'Investment Income-2Yr'!P29+'All Other E&amp;G-2Yr'!P29</f>
        <v>0</v>
      </c>
      <c r="Q29" s="163">
        <f>+'Tuition-2Yr'!Q29+'State Appropriations-2Yr'!Q29+'Local Appropriations-2Yr'!Q29+'Fed Contracts Grnts-2Yr'!Q29+'Other Contracts Grnts-2Yr'!Q29+'Investment Income-2Yr'!Q29+'All Other E&amp;G-2Yr'!Q29</f>
        <v>0</v>
      </c>
      <c r="R29" s="163">
        <f>+'Tuition-2Yr'!R29+'State Appropriations-2Yr'!R29+'Local Appropriations-2Yr'!R29+'Fed Contracts Grnts-2Yr'!R29+'Other Contracts Grnts-2Yr'!R29+'Investment Income-2Yr'!R29+'All Other E&amp;G-2Yr'!R29</f>
        <v>118698.29</v>
      </c>
      <c r="S29" s="163">
        <f>+'Tuition-2Yr'!S29+'State Appropriations-2Yr'!S29+'Local Appropriations-2Yr'!S29+'Fed Contracts Grnts-2Yr'!S29+'Other Contracts Grnts-2Yr'!S29+'Investment Income-2Yr'!S29+'All Other E&amp;G-2Yr'!S29</f>
        <v>122827.643</v>
      </c>
      <c r="T29" s="163">
        <f>+'Tuition-2Yr'!T29+'State Appropriations-2Yr'!T29+'Local Appropriations-2Yr'!T29+'Fed Contracts Grnts-2Yr'!T29+'Other Contracts Grnts-2Yr'!T29+'Investment Income-2Yr'!T29+'All Other E&amp;G-2Yr'!T29</f>
        <v>164797.421</v>
      </c>
      <c r="U29" s="163">
        <f>+'Tuition-2Yr'!U29+'State Appropriations-2Yr'!U29+'Local Appropriations-2Yr'!U29+'Fed Contracts Grnts-2Yr'!U29+'Other Contracts Grnts-2Yr'!U29+'Investment Income-2Yr'!U29+'All Other E&amp;G-2Yr'!U29</f>
        <v>155661.53099999999</v>
      </c>
      <c r="V29" s="163">
        <f>+'Tuition-2Yr'!V29+'State Appropriations-2Yr'!V29+'Local Appropriations-2Yr'!V29+'Fed Contracts Grnts-2Yr'!V29+'Other Contracts Grnts-2Yr'!V29+'Investment Income-2Yr'!V29+'All Other E&amp;G-2Yr'!V29</f>
        <v>141161.61299999998</v>
      </c>
      <c r="W29" s="163">
        <f>+'Tuition-2Yr'!W29+'State Appropriations-2Yr'!W29+'Local Appropriations-2Yr'!W29+'Fed Contracts Grnts-2Yr'!W29+'Other Contracts Grnts-2Yr'!W29+'Investment Income-2Yr'!W29+'All Other E&amp;G-2Yr'!W29</f>
        <v>143890.37099999998</v>
      </c>
      <c r="X29" s="163">
        <f>+'Tuition-2Yr'!X29+'State Appropriations-2Yr'!X29+'Local Appropriations-2Yr'!X29+'Fed Contracts Grnts-2Yr'!X29+'Other Contracts Grnts-2Yr'!X29+'Investment Income-2Yr'!X29+'All Other E&amp;G-2Yr'!X29</f>
        <v>154408.628</v>
      </c>
      <c r="Y29" s="163">
        <f>+'Tuition-2Yr'!Y29+'State Appropriations-2Yr'!Y29+'Local Appropriations-2Yr'!Y29+'Fed Contracts Grnts-2Yr'!Y29+'Other Contracts Grnts-2Yr'!Y29+'Investment Income-2Yr'!Y29+'All Other E&amp;G-2Yr'!Y29</f>
        <v>174516.84900000002</v>
      </c>
      <c r="Z29" s="163">
        <f>+'Tuition-2Yr'!Z29+'State Appropriations-2Yr'!Z29+'Local Appropriations-2Yr'!Z29+'Fed Contracts Grnts-2Yr'!Z29+'Other Contracts Grnts-2Yr'!Z29+'Investment Income-2Yr'!Z29+'All Other E&amp;G-2Yr'!Z29</f>
        <v>196072.86000000002</v>
      </c>
      <c r="AA29" s="163">
        <f>+'Tuition-2Yr'!AA29+'State Appropriations-2Yr'!AA29+'Local Appropriations-2Yr'!AA29+'Fed Contracts Grnts-2Yr'!AA29+'Other Contracts Grnts-2Yr'!AA29+'Investment Income-2Yr'!AA29+'All Other E&amp;G-2Yr'!AA29</f>
        <v>274161.79800000001</v>
      </c>
      <c r="AB29" s="163">
        <f>+'Tuition-2Yr'!AB29+'State Appropriations-2Yr'!AB29+'Local Appropriations-2Yr'!AB29+'Fed Contracts Grnts-2Yr'!AB29+'Other Contracts Grnts-2Yr'!AB29+'Investment Income-2Yr'!AB29+'All Other E&amp;G-2Yr'!AB29</f>
        <v>256815.40000000002</v>
      </c>
      <c r="AC29" s="163">
        <f>+'Tuition-2Yr'!AC29+'State Appropriations-2Yr'!AC29+'Local Appropriations-2Yr'!AC29+'Fed Contracts Grnts-2Yr'!AC29+'Other Contracts Grnts-2Yr'!AC29+'Investment Income-2Yr'!AC29+'All Other E&amp;G-2Yr'!AC29</f>
        <v>283682</v>
      </c>
      <c r="AD29" s="163">
        <f>+'Tuition-2Yr'!AD29+'State Appropriations-2Yr'!AD29+'Local Appropriations-2Yr'!AD29+'Fed Contracts Grnts-2Yr'!AD29+'Other Contracts Grnts-2Yr'!AD29+'Investment Income-2Yr'!AD29+'All Other E&amp;G-2Yr'!AD29</f>
        <v>294652.03499999997</v>
      </c>
      <c r="AE29" s="163">
        <f>+'Tuition-2Yr'!AE29+'State Appropriations-2Yr'!AE29+'Local Appropriations-2Yr'!AE29+'Fed Contracts Grnts-2Yr'!AE29+'Other Contracts Grnts-2Yr'!AE29+'Investment Income-2Yr'!AE29+'All Other E&amp;G-2Yr'!AE29</f>
        <v>300454.484</v>
      </c>
      <c r="AF29" s="163">
        <f>+'Tuition-2Yr'!AF29+'State Appropriations-2Yr'!AF29+'Local Appropriations-2Yr'!AF29+'Fed Contracts Grnts-2Yr'!AF29+'Other Contracts Grnts-2Yr'!AF29+'Investment Income-2Yr'!AF29+'All Other E&amp;G-2Yr'!AF29</f>
        <v>313029.69000000006</v>
      </c>
      <c r="AG29" s="163">
        <f>+'Tuition-2Yr'!AG29+'State Appropriations-2Yr'!AG29+'Local Appropriations-2Yr'!AG29+'Fed Contracts Grnts-2Yr'!AG29+'Other Contracts Grnts-2Yr'!AG29+'Investment Income-2Yr'!AG29+'All Other E&amp;G-2Yr'!AG29</f>
        <v>324309.11</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c r="HC29" s="20"/>
      <c r="HD29" s="20"/>
      <c r="HE29" s="20"/>
      <c r="HF29" s="20"/>
    </row>
    <row r="30" spans="1:214" s="65" customFormat="1" ht="12.75" customHeight="1">
      <c r="A30" s="23" t="s">
        <v>116</v>
      </c>
      <c r="B30" s="163">
        <f>+'Tuition-2Yr'!B30+'State Appropriations-2Yr'!B30+'Local Appropriations-2Yr'!B30+'Fed Contracts Grnts-2Yr'!B30+'Other Contracts Grnts-2Yr'!B30+'Investment Income-2Yr'!B30+'All Other E&amp;G-2Yr'!B30</f>
        <v>0</v>
      </c>
      <c r="C30" s="163">
        <f>+'Tuition-2Yr'!C30+'State Appropriations-2Yr'!C30+'Local Appropriations-2Yr'!C30+'Fed Contracts Grnts-2Yr'!C30+'Other Contracts Grnts-2Yr'!C30+'Investment Income-2Yr'!C30+'All Other E&amp;G-2Yr'!C30</f>
        <v>0</v>
      </c>
      <c r="D30" s="163">
        <f>+'Tuition-2Yr'!D30+'State Appropriations-2Yr'!D30+'Local Appropriations-2Yr'!D30+'Fed Contracts Grnts-2Yr'!D30+'Other Contracts Grnts-2Yr'!D30+'Investment Income-2Yr'!D30+'All Other E&amp;G-2Yr'!D30</f>
        <v>0</v>
      </c>
      <c r="E30" s="163">
        <f>+'Tuition-2Yr'!E30+'State Appropriations-2Yr'!E30+'Local Appropriations-2Yr'!E30+'Fed Contracts Grnts-2Yr'!E30+'Other Contracts Grnts-2Yr'!E30+'Investment Income-2Yr'!E30+'All Other E&amp;G-2Yr'!E30</f>
        <v>0</v>
      </c>
      <c r="F30" s="163">
        <f>+'Tuition-2Yr'!F30+'State Appropriations-2Yr'!F30+'Local Appropriations-2Yr'!F30+'Fed Contracts Grnts-2Yr'!F30+'Other Contracts Grnts-2Yr'!F30+'Investment Income-2Yr'!F30+'All Other E&amp;G-2Yr'!F30</f>
        <v>0</v>
      </c>
      <c r="G30" s="163">
        <f>+'Tuition-2Yr'!G30+'State Appropriations-2Yr'!G30+'Local Appropriations-2Yr'!G30+'Fed Contracts Grnts-2Yr'!G30+'Other Contracts Grnts-2Yr'!G30+'Investment Income-2Yr'!G30+'All Other E&amp;G-2Yr'!G30</f>
        <v>0</v>
      </c>
      <c r="H30" s="163">
        <f>+'Tuition-2Yr'!H30+'State Appropriations-2Yr'!H30+'Local Appropriations-2Yr'!H30+'Fed Contracts Grnts-2Yr'!H30+'Other Contracts Grnts-2Yr'!H30+'Investment Income-2Yr'!H30+'All Other E&amp;G-2Yr'!H30</f>
        <v>0</v>
      </c>
      <c r="I30" s="163">
        <f>+'Tuition-2Yr'!I30+'State Appropriations-2Yr'!I30+'Local Appropriations-2Yr'!I30+'Fed Contracts Grnts-2Yr'!I30+'Other Contracts Grnts-2Yr'!I30+'Investment Income-2Yr'!I30+'All Other E&amp;G-2Yr'!I30</f>
        <v>0</v>
      </c>
      <c r="J30" s="163">
        <f>+'Tuition-2Yr'!J30+'State Appropriations-2Yr'!J30+'Local Appropriations-2Yr'!J30+'Fed Contracts Grnts-2Yr'!J30+'Other Contracts Grnts-2Yr'!J30+'Investment Income-2Yr'!J30+'All Other E&amp;G-2Yr'!J30</f>
        <v>41106.563999999998</v>
      </c>
      <c r="K30" s="163">
        <f>+'Tuition-2Yr'!K30+'State Appropriations-2Yr'!K30+'Local Appropriations-2Yr'!K30+'Fed Contracts Grnts-2Yr'!K30+'Other Contracts Grnts-2Yr'!K30+'Investment Income-2Yr'!K30+'All Other E&amp;G-2Yr'!K30</f>
        <v>0</v>
      </c>
      <c r="L30" s="163">
        <f>+'Tuition-2Yr'!L30+'State Appropriations-2Yr'!L30+'Local Appropriations-2Yr'!L30+'Fed Contracts Grnts-2Yr'!L30+'Other Contracts Grnts-2Yr'!L30+'Investment Income-2Yr'!L30+'All Other E&amp;G-2Yr'!L30</f>
        <v>0</v>
      </c>
      <c r="M30" s="163">
        <f>+'Tuition-2Yr'!M30+'State Appropriations-2Yr'!M30+'Local Appropriations-2Yr'!M30+'Fed Contracts Grnts-2Yr'!M30+'Other Contracts Grnts-2Yr'!M30+'Investment Income-2Yr'!M30+'All Other E&amp;G-2Yr'!M30</f>
        <v>48179.661</v>
      </c>
      <c r="N30" s="163">
        <f>+'Tuition-2Yr'!N30+'State Appropriations-2Yr'!N30+'Local Appropriations-2Yr'!N30+'Fed Contracts Grnts-2Yr'!N30+'Other Contracts Grnts-2Yr'!N30+'Investment Income-2Yr'!N30+'All Other E&amp;G-2Yr'!N30</f>
        <v>0</v>
      </c>
      <c r="O30" s="163">
        <f>+'Tuition-2Yr'!O30+'State Appropriations-2Yr'!O30+'Local Appropriations-2Yr'!O30+'Fed Contracts Grnts-2Yr'!O30+'Other Contracts Grnts-2Yr'!O30+'Investment Income-2Yr'!O30+'All Other E&amp;G-2Yr'!O30</f>
        <v>65361.705999999998</v>
      </c>
      <c r="P30" s="163">
        <f>+'Tuition-2Yr'!P30+'State Appropriations-2Yr'!P30+'Local Appropriations-2Yr'!P30+'Fed Contracts Grnts-2Yr'!P30+'Other Contracts Grnts-2Yr'!P30+'Investment Income-2Yr'!P30+'All Other E&amp;G-2Yr'!P30</f>
        <v>0</v>
      </c>
      <c r="Q30" s="163">
        <f>+'Tuition-2Yr'!Q30+'State Appropriations-2Yr'!Q30+'Local Appropriations-2Yr'!Q30+'Fed Contracts Grnts-2Yr'!Q30+'Other Contracts Grnts-2Yr'!Q30+'Investment Income-2Yr'!Q30+'All Other E&amp;G-2Yr'!Q30</f>
        <v>0</v>
      </c>
      <c r="R30" s="163">
        <f>+'Tuition-2Yr'!R30+'State Appropriations-2Yr'!R30+'Local Appropriations-2Yr'!R30+'Fed Contracts Grnts-2Yr'!R30+'Other Contracts Grnts-2Yr'!R30+'Investment Income-2Yr'!R30+'All Other E&amp;G-2Yr'!R30</f>
        <v>78495.98</v>
      </c>
      <c r="S30" s="163">
        <f>+'Tuition-2Yr'!S30+'State Appropriations-2Yr'!S30+'Local Appropriations-2Yr'!S30+'Fed Contracts Grnts-2Yr'!S30+'Other Contracts Grnts-2Yr'!S30+'Investment Income-2Yr'!S30+'All Other E&amp;G-2Yr'!S30</f>
        <v>85424.061999999991</v>
      </c>
      <c r="T30" s="163">
        <f>+'Tuition-2Yr'!T30+'State Appropriations-2Yr'!T30+'Local Appropriations-2Yr'!T30+'Fed Contracts Grnts-2Yr'!T30+'Other Contracts Grnts-2Yr'!T30+'Investment Income-2Yr'!T30+'All Other E&amp;G-2Yr'!T30</f>
        <v>86331.890999999989</v>
      </c>
      <c r="U30" s="163">
        <f>+'Tuition-2Yr'!U30+'State Appropriations-2Yr'!U30+'Local Appropriations-2Yr'!U30+'Fed Contracts Grnts-2Yr'!U30+'Other Contracts Grnts-2Yr'!U30+'Investment Income-2Yr'!U30+'All Other E&amp;G-2Yr'!U30</f>
        <v>92579.236999999994</v>
      </c>
      <c r="V30" s="163">
        <f>+'Tuition-2Yr'!V30+'State Appropriations-2Yr'!V30+'Local Appropriations-2Yr'!V30+'Fed Contracts Grnts-2Yr'!V30+'Other Contracts Grnts-2Yr'!V30+'Investment Income-2Yr'!V30+'All Other E&amp;G-2Yr'!V30</f>
        <v>103944.833</v>
      </c>
      <c r="W30" s="163">
        <f>+'Tuition-2Yr'!W30+'State Appropriations-2Yr'!W30+'Local Appropriations-2Yr'!W30+'Fed Contracts Grnts-2Yr'!W30+'Other Contracts Grnts-2Yr'!W30+'Investment Income-2Yr'!W30+'All Other E&amp;G-2Yr'!W30</f>
        <v>126113.34000000001</v>
      </c>
      <c r="X30" s="163">
        <f>+'Tuition-2Yr'!X30+'State Appropriations-2Yr'!X30+'Local Appropriations-2Yr'!X30+'Fed Contracts Grnts-2Yr'!X30+'Other Contracts Grnts-2Yr'!X30+'Investment Income-2Yr'!X30+'All Other E&amp;G-2Yr'!X30</f>
        <v>109260.50600000001</v>
      </c>
      <c r="Y30" s="163">
        <f>+'Tuition-2Yr'!Y30+'State Appropriations-2Yr'!Y30+'Local Appropriations-2Yr'!Y30+'Fed Contracts Grnts-2Yr'!Y30+'Other Contracts Grnts-2Yr'!Y30+'Investment Income-2Yr'!Y30+'All Other E&amp;G-2Yr'!Y30</f>
        <v>112484.57500000001</v>
      </c>
      <c r="Z30" s="163">
        <f>+'Tuition-2Yr'!Z30+'State Appropriations-2Yr'!Z30+'Local Appropriations-2Yr'!Z30+'Fed Contracts Grnts-2Yr'!Z30+'Other Contracts Grnts-2Yr'!Z30+'Investment Income-2Yr'!Z30+'All Other E&amp;G-2Yr'!Z30</f>
        <v>121296.35800000001</v>
      </c>
      <c r="AA30" s="163">
        <f>+'Tuition-2Yr'!AA30+'State Appropriations-2Yr'!AA30+'Local Appropriations-2Yr'!AA30+'Fed Contracts Grnts-2Yr'!AA30+'Other Contracts Grnts-2Yr'!AA30+'Investment Income-2Yr'!AA30+'All Other E&amp;G-2Yr'!AA30</f>
        <v>152986.32700000002</v>
      </c>
      <c r="AB30" s="163">
        <f>+'Tuition-2Yr'!AB30+'State Appropriations-2Yr'!AB30+'Local Appropriations-2Yr'!AB30+'Fed Contracts Grnts-2Yr'!AB30+'Other Contracts Grnts-2Yr'!AB30+'Investment Income-2Yr'!AB30+'All Other E&amp;G-2Yr'!AB30</f>
        <v>201044.46799999999</v>
      </c>
      <c r="AC30" s="163">
        <f>+'Tuition-2Yr'!AC30+'State Appropriations-2Yr'!AC30+'Local Appropriations-2Yr'!AC30+'Fed Contracts Grnts-2Yr'!AC30+'Other Contracts Grnts-2Yr'!AC30+'Investment Income-2Yr'!AC30+'All Other E&amp;G-2Yr'!AC30</f>
        <v>234376</v>
      </c>
      <c r="AD30" s="163">
        <f>+'Tuition-2Yr'!AD30+'State Appropriations-2Yr'!AD30+'Local Appropriations-2Yr'!AD30+'Fed Contracts Grnts-2Yr'!AD30+'Other Contracts Grnts-2Yr'!AD30+'Investment Income-2Yr'!AD30+'All Other E&amp;G-2Yr'!AD30</f>
        <v>299534.71000000002</v>
      </c>
      <c r="AE30" s="163">
        <f>+'Tuition-2Yr'!AE30+'State Appropriations-2Yr'!AE30+'Local Appropriations-2Yr'!AE30+'Fed Contracts Grnts-2Yr'!AE30+'Other Contracts Grnts-2Yr'!AE30+'Investment Income-2Yr'!AE30+'All Other E&amp;G-2Yr'!AE30</f>
        <v>235630.87700000004</v>
      </c>
      <c r="AF30" s="163">
        <f>+'Tuition-2Yr'!AF30+'State Appropriations-2Yr'!AF30+'Local Appropriations-2Yr'!AF30+'Fed Contracts Grnts-2Yr'!AF30+'Other Contracts Grnts-2Yr'!AF30+'Investment Income-2Yr'!AF30+'All Other E&amp;G-2Yr'!AF30</f>
        <v>227440.93900000001</v>
      </c>
      <c r="AG30" s="163">
        <f>+'Tuition-2Yr'!AG30+'State Appropriations-2Yr'!AG30+'Local Appropriations-2Yr'!AG30+'Fed Contracts Grnts-2Yr'!AG30+'Other Contracts Grnts-2Yr'!AG30+'Investment Income-2Yr'!AG30+'All Other E&amp;G-2Yr'!AG30</f>
        <v>214669.55300000001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c r="HC30" s="20"/>
      <c r="HD30" s="20"/>
      <c r="HE30" s="20"/>
      <c r="HF30" s="20"/>
    </row>
    <row r="31" spans="1:214" s="65" customFormat="1" ht="12.75" customHeight="1">
      <c r="A31" s="23" t="s">
        <v>124</v>
      </c>
      <c r="B31" s="163">
        <f>+'Tuition-2Yr'!B31+'State Appropriations-2Yr'!B31+'Local Appropriations-2Yr'!B31+'Fed Contracts Grnts-2Yr'!B31+'Other Contracts Grnts-2Yr'!B31+'Investment Income-2Yr'!B31+'All Other E&amp;G-2Yr'!B31</f>
        <v>0</v>
      </c>
      <c r="C31" s="163">
        <f>+'Tuition-2Yr'!C31+'State Appropriations-2Yr'!C31+'Local Appropriations-2Yr'!C31+'Fed Contracts Grnts-2Yr'!C31+'Other Contracts Grnts-2Yr'!C31+'Investment Income-2Yr'!C31+'All Other E&amp;G-2Yr'!C31</f>
        <v>0</v>
      </c>
      <c r="D31" s="163">
        <f>+'Tuition-2Yr'!D31+'State Appropriations-2Yr'!D31+'Local Appropriations-2Yr'!D31+'Fed Contracts Grnts-2Yr'!D31+'Other Contracts Grnts-2Yr'!D31+'Investment Income-2Yr'!D31+'All Other E&amp;G-2Yr'!D31</f>
        <v>0</v>
      </c>
      <c r="E31" s="163">
        <f>+'Tuition-2Yr'!E31+'State Appropriations-2Yr'!E31+'Local Appropriations-2Yr'!E31+'Fed Contracts Grnts-2Yr'!E31+'Other Contracts Grnts-2Yr'!E31+'Investment Income-2Yr'!E31+'All Other E&amp;G-2Yr'!E31</f>
        <v>0</v>
      </c>
      <c r="F31" s="163">
        <f>+'Tuition-2Yr'!F31+'State Appropriations-2Yr'!F31+'Local Appropriations-2Yr'!F31+'Fed Contracts Grnts-2Yr'!F31+'Other Contracts Grnts-2Yr'!F31+'Investment Income-2Yr'!F31+'All Other E&amp;G-2Yr'!F31</f>
        <v>0</v>
      </c>
      <c r="G31" s="163">
        <f>+'Tuition-2Yr'!G31+'State Appropriations-2Yr'!G31+'Local Appropriations-2Yr'!G31+'Fed Contracts Grnts-2Yr'!G31+'Other Contracts Grnts-2Yr'!G31+'Investment Income-2Yr'!G31+'All Other E&amp;G-2Yr'!G31</f>
        <v>0</v>
      </c>
      <c r="H31" s="163">
        <f>+'Tuition-2Yr'!H31+'State Appropriations-2Yr'!H31+'Local Appropriations-2Yr'!H31+'Fed Contracts Grnts-2Yr'!H31+'Other Contracts Grnts-2Yr'!H31+'Investment Income-2Yr'!H31+'All Other E&amp;G-2Yr'!H31</f>
        <v>0</v>
      </c>
      <c r="I31" s="163">
        <f>+'Tuition-2Yr'!I31+'State Appropriations-2Yr'!I31+'Local Appropriations-2Yr'!I31+'Fed Contracts Grnts-2Yr'!I31+'Other Contracts Grnts-2Yr'!I31+'Investment Income-2Yr'!I31+'All Other E&amp;G-2Yr'!I31</f>
        <v>0</v>
      </c>
      <c r="J31" s="163">
        <f>+'Tuition-2Yr'!J31+'State Appropriations-2Yr'!J31+'Local Appropriations-2Yr'!J31+'Fed Contracts Grnts-2Yr'!J31+'Other Contracts Grnts-2Yr'!J31+'Investment Income-2Yr'!J31+'All Other E&amp;G-2Yr'!J31</f>
        <v>31128.776999999998</v>
      </c>
      <c r="K31" s="163">
        <f>+'Tuition-2Yr'!K31+'State Appropriations-2Yr'!K31+'Local Appropriations-2Yr'!K31+'Fed Contracts Grnts-2Yr'!K31+'Other Contracts Grnts-2Yr'!K31+'Investment Income-2Yr'!K31+'All Other E&amp;G-2Yr'!K31</f>
        <v>0</v>
      </c>
      <c r="L31" s="163">
        <f>+'Tuition-2Yr'!L31+'State Appropriations-2Yr'!L31+'Local Appropriations-2Yr'!L31+'Fed Contracts Grnts-2Yr'!L31+'Other Contracts Grnts-2Yr'!L31+'Investment Income-2Yr'!L31+'All Other E&amp;G-2Yr'!L31</f>
        <v>0</v>
      </c>
      <c r="M31" s="163">
        <f>+'Tuition-2Yr'!M31+'State Appropriations-2Yr'!M31+'Local Appropriations-2Yr'!M31+'Fed Contracts Grnts-2Yr'!M31+'Other Contracts Grnts-2Yr'!M31+'Investment Income-2Yr'!M31+'All Other E&amp;G-2Yr'!M31</f>
        <v>42065.528999999995</v>
      </c>
      <c r="N31" s="163">
        <f>+'Tuition-2Yr'!N31+'State Appropriations-2Yr'!N31+'Local Appropriations-2Yr'!N31+'Fed Contracts Grnts-2Yr'!N31+'Other Contracts Grnts-2Yr'!N31+'Investment Income-2Yr'!N31+'All Other E&amp;G-2Yr'!N31</f>
        <v>0</v>
      </c>
      <c r="O31" s="163">
        <f>+'Tuition-2Yr'!O31+'State Appropriations-2Yr'!O31+'Local Appropriations-2Yr'!O31+'Fed Contracts Grnts-2Yr'!O31+'Other Contracts Grnts-2Yr'!O31+'Investment Income-2Yr'!O31+'All Other E&amp;G-2Yr'!O31</f>
        <v>42177.51586</v>
      </c>
      <c r="P31" s="163">
        <f>+'Tuition-2Yr'!P31+'State Appropriations-2Yr'!P31+'Local Appropriations-2Yr'!P31+'Fed Contracts Grnts-2Yr'!P31+'Other Contracts Grnts-2Yr'!P31+'Investment Income-2Yr'!P31+'All Other E&amp;G-2Yr'!P31</f>
        <v>0</v>
      </c>
      <c r="Q31" s="163">
        <f>+'Tuition-2Yr'!Q31+'State Appropriations-2Yr'!Q31+'Local Appropriations-2Yr'!Q31+'Fed Contracts Grnts-2Yr'!Q31+'Other Contracts Grnts-2Yr'!Q31+'Investment Income-2Yr'!Q31+'All Other E&amp;G-2Yr'!Q31</f>
        <v>0</v>
      </c>
      <c r="R31" s="163">
        <f>+'Tuition-2Yr'!R31+'State Appropriations-2Yr'!R31+'Local Appropriations-2Yr'!R31+'Fed Contracts Grnts-2Yr'!R31+'Other Contracts Grnts-2Yr'!R31+'Investment Income-2Yr'!R31+'All Other E&amp;G-2Yr'!R31</f>
        <v>50345.332999999999</v>
      </c>
      <c r="S31" s="163">
        <f>+'Tuition-2Yr'!S31+'State Appropriations-2Yr'!S31+'Local Appropriations-2Yr'!S31+'Fed Contracts Grnts-2Yr'!S31+'Other Contracts Grnts-2Yr'!S31+'Investment Income-2Yr'!S31+'All Other E&amp;G-2Yr'!S31</f>
        <v>55560.563000000002</v>
      </c>
      <c r="T31" s="163">
        <f>+'Tuition-2Yr'!T31+'State Appropriations-2Yr'!T31+'Local Appropriations-2Yr'!T31+'Fed Contracts Grnts-2Yr'!T31+'Other Contracts Grnts-2Yr'!T31+'Investment Income-2Yr'!T31+'All Other E&amp;G-2Yr'!T31</f>
        <v>71752.285999999993</v>
      </c>
      <c r="U31" s="163">
        <f>+'Tuition-2Yr'!U31+'State Appropriations-2Yr'!U31+'Local Appropriations-2Yr'!U31+'Fed Contracts Grnts-2Yr'!U31+'Other Contracts Grnts-2Yr'!U31+'Investment Income-2Yr'!U31+'All Other E&amp;G-2Yr'!U31</f>
        <v>70953.964999999997</v>
      </c>
      <c r="V31" s="163">
        <f>+'Tuition-2Yr'!V31+'State Appropriations-2Yr'!V31+'Local Appropriations-2Yr'!V31+'Fed Contracts Grnts-2Yr'!V31+'Other Contracts Grnts-2Yr'!V31+'Investment Income-2Yr'!V31+'All Other E&amp;G-2Yr'!V31</f>
        <v>74701.725000000006</v>
      </c>
      <c r="W31" s="163">
        <f>+'Tuition-2Yr'!W31+'State Appropriations-2Yr'!W31+'Local Appropriations-2Yr'!W31+'Fed Contracts Grnts-2Yr'!W31+'Other Contracts Grnts-2Yr'!W31+'Investment Income-2Yr'!W31+'All Other E&amp;G-2Yr'!W31</f>
        <v>87956.112999999998</v>
      </c>
      <c r="X31" s="163">
        <f>+'Tuition-2Yr'!X31+'State Appropriations-2Yr'!X31+'Local Appropriations-2Yr'!X31+'Fed Contracts Grnts-2Yr'!X31+'Other Contracts Grnts-2Yr'!X31+'Investment Income-2Yr'!X31+'All Other E&amp;G-2Yr'!X31</f>
        <v>90351.650999999983</v>
      </c>
      <c r="Y31" s="163">
        <f>+'Tuition-2Yr'!Y31+'State Appropriations-2Yr'!Y31+'Local Appropriations-2Yr'!Y31+'Fed Contracts Grnts-2Yr'!Y31+'Other Contracts Grnts-2Yr'!Y31+'Investment Income-2Yr'!Y31+'All Other E&amp;G-2Yr'!Y31</f>
        <v>88085.607000000004</v>
      </c>
      <c r="Z31" s="163">
        <f>+'Tuition-2Yr'!Z31+'State Appropriations-2Yr'!Z31+'Local Appropriations-2Yr'!Z31+'Fed Contracts Grnts-2Yr'!Z31+'Other Contracts Grnts-2Yr'!Z31+'Investment Income-2Yr'!Z31+'All Other E&amp;G-2Yr'!Z31</f>
        <v>89928.746000000014</v>
      </c>
      <c r="AA31" s="163">
        <f>+'Tuition-2Yr'!AA31+'State Appropriations-2Yr'!AA31+'Local Appropriations-2Yr'!AA31+'Fed Contracts Grnts-2Yr'!AA31+'Other Contracts Grnts-2Yr'!AA31+'Investment Income-2Yr'!AA31+'All Other E&amp;G-2Yr'!AA31</f>
        <v>102901.26000000002</v>
      </c>
      <c r="AB31" s="163">
        <f>+'Tuition-2Yr'!AB31+'State Appropriations-2Yr'!AB31+'Local Appropriations-2Yr'!AB31+'Fed Contracts Grnts-2Yr'!AB31+'Other Contracts Grnts-2Yr'!AB31+'Investment Income-2Yr'!AB31+'All Other E&amp;G-2Yr'!AB31</f>
        <v>122049.637</v>
      </c>
      <c r="AC31" s="163">
        <f>+'Tuition-2Yr'!AC31+'State Appropriations-2Yr'!AC31+'Local Appropriations-2Yr'!AC31+'Fed Contracts Grnts-2Yr'!AC31+'Other Contracts Grnts-2Yr'!AC31+'Investment Income-2Yr'!AC31+'All Other E&amp;G-2Yr'!AC31</f>
        <v>124459</v>
      </c>
      <c r="AD31" s="163">
        <f>+'Tuition-2Yr'!AD31+'State Appropriations-2Yr'!AD31+'Local Appropriations-2Yr'!AD31+'Fed Contracts Grnts-2Yr'!AD31+'Other Contracts Grnts-2Yr'!AD31+'Investment Income-2Yr'!AD31+'All Other E&amp;G-2Yr'!AD31</f>
        <v>131187.511</v>
      </c>
      <c r="AE31" s="163">
        <f>+'Tuition-2Yr'!AE31+'State Appropriations-2Yr'!AE31+'Local Appropriations-2Yr'!AE31+'Fed Contracts Grnts-2Yr'!AE31+'Other Contracts Grnts-2Yr'!AE31+'Investment Income-2Yr'!AE31+'All Other E&amp;G-2Yr'!AE31</f>
        <v>120031.95600000001</v>
      </c>
      <c r="AF31" s="163">
        <f>+'Tuition-2Yr'!AF31+'State Appropriations-2Yr'!AF31+'Local Appropriations-2Yr'!AF31+'Fed Contracts Grnts-2Yr'!AF31+'Other Contracts Grnts-2Yr'!AF31+'Investment Income-2Yr'!AF31+'All Other E&amp;G-2Yr'!AF31</f>
        <v>117898.254</v>
      </c>
      <c r="AG31" s="163">
        <f>+'Tuition-2Yr'!AG31+'State Appropriations-2Yr'!AG31+'Local Appropriations-2Yr'!AG31+'Fed Contracts Grnts-2Yr'!AG31+'Other Contracts Grnts-2Yr'!AG31+'Investment Income-2Yr'!AG31+'All Other E&amp;G-2Yr'!AG31</f>
        <v>115879.908</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c r="HC31" s="20"/>
      <c r="HD31" s="20"/>
      <c r="HE31" s="20"/>
      <c r="HF31" s="20"/>
    </row>
    <row r="32" spans="1:214" s="65" customFormat="1" ht="12.75" customHeight="1">
      <c r="A32" s="23" t="s">
        <v>126</v>
      </c>
      <c r="B32" s="163">
        <f>+'Tuition-2Yr'!B32+'State Appropriations-2Yr'!B32+'Local Appropriations-2Yr'!B32+'Fed Contracts Grnts-2Yr'!B32+'Other Contracts Grnts-2Yr'!B32+'Investment Income-2Yr'!B32+'All Other E&amp;G-2Yr'!B32</f>
        <v>0</v>
      </c>
      <c r="C32" s="163">
        <f>+'Tuition-2Yr'!C32+'State Appropriations-2Yr'!C32+'Local Appropriations-2Yr'!C32+'Fed Contracts Grnts-2Yr'!C32+'Other Contracts Grnts-2Yr'!C32+'Investment Income-2Yr'!C32+'All Other E&amp;G-2Yr'!C32</f>
        <v>0</v>
      </c>
      <c r="D32" s="163">
        <f>+'Tuition-2Yr'!D32+'State Appropriations-2Yr'!D32+'Local Appropriations-2Yr'!D32+'Fed Contracts Grnts-2Yr'!D32+'Other Contracts Grnts-2Yr'!D32+'Investment Income-2Yr'!D32+'All Other E&amp;G-2Yr'!D32</f>
        <v>0</v>
      </c>
      <c r="E32" s="163">
        <f>+'Tuition-2Yr'!E32+'State Appropriations-2Yr'!E32+'Local Appropriations-2Yr'!E32+'Fed Contracts Grnts-2Yr'!E32+'Other Contracts Grnts-2Yr'!E32+'Investment Income-2Yr'!E32+'All Other E&amp;G-2Yr'!E32</f>
        <v>0</v>
      </c>
      <c r="F32" s="163">
        <f>+'Tuition-2Yr'!F32+'State Appropriations-2Yr'!F32+'Local Appropriations-2Yr'!F32+'Fed Contracts Grnts-2Yr'!F32+'Other Contracts Grnts-2Yr'!F32+'Investment Income-2Yr'!F32+'All Other E&amp;G-2Yr'!F32</f>
        <v>0</v>
      </c>
      <c r="G32" s="163">
        <f>+'Tuition-2Yr'!G32+'State Appropriations-2Yr'!G32+'Local Appropriations-2Yr'!G32+'Fed Contracts Grnts-2Yr'!G32+'Other Contracts Grnts-2Yr'!G32+'Investment Income-2Yr'!G32+'All Other E&amp;G-2Yr'!G32</f>
        <v>0</v>
      </c>
      <c r="H32" s="163">
        <f>+'Tuition-2Yr'!H32+'State Appropriations-2Yr'!H32+'Local Appropriations-2Yr'!H32+'Fed Contracts Grnts-2Yr'!H32+'Other Contracts Grnts-2Yr'!H32+'Investment Income-2Yr'!H32+'All Other E&amp;G-2Yr'!H32</f>
        <v>0</v>
      </c>
      <c r="I32" s="163">
        <f>+'Tuition-2Yr'!I32+'State Appropriations-2Yr'!I32+'Local Appropriations-2Yr'!I32+'Fed Contracts Grnts-2Yr'!I32+'Other Contracts Grnts-2Yr'!I32+'Investment Income-2Yr'!I32+'All Other E&amp;G-2Yr'!I32</f>
        <v>0</v>
      </c>
      <c r="J32" s="163">
        <f>+'Tuition-2Yr'!J32+'State Appropriations-2Yr'!J32+'Local Appropriations-2Yr'!J32+'Fed Contracts Grnts-2Yr'!J32+'Other Contracts Grnts-2Yr'!J32+'Investment Income-2Yr'!J32+'All Other E&amp;G-2Yr'!J32</f>
        <v>63808.42</v>
      </c>
      <c r="K32" s="163">
        <f>+'Tuition-2Yr'!K32+'State Appropriations-2Yr'!K32+'Local Appropriations-2Yr'!K32+'Fed Contracts Grnts-2Yr'!K32+'Other Contracts Grnts-2Yr'!K32+'Investment Income-2Yr'!K32+'All Other E&amp;G-2Yr'!K32</f>
        <v>0</v>
      </c>
      <c r="L32" s="163">
        <f>+'Tuition-2Yr'!L32+'State Appropriations-2Yr'!L32+'Local Appropriations-2Yr'!L32+'Fed Contracts Grnts-2Yr'!L32+'Other Contracts Grnts-2Yr'!L32+'Investment Income-2Yr'!L32+'All Other E&amp;G-2Yr'!L32</f>
        <v>0</v>
      </c>
      <c r="M32" s="163">
        <f>+'Tuition-2Yr'!M32+'State Appropriations-2Yr'!M32+'Local Appropriations-2Yr'!M32+'Fed Contracts Grnts-2Yr'!M32+'Other Contracts Grnts-2Yr'!M32+'Investment Income-2Yr'!M32+'All Other E&amp;G-2Yr'!M32</f>
        <v>76538.998000000007</v>
      </c>
      <c r="N32" s="163">
        <f>+'Tuition-2Yr'!N32+'State Appropriations-2Yr'!N32+'Local Appropriations-2Yr'!N32+'Fed Contracts Grnts-2Yr'!N32+'Other Contracts Grnts-2Yr'!N32+'Investment Income-2Yr'!N32+'All Other E&amp;G-2Yr'!N32</f>
        <v>0</v>
      </c>
      <c r="O32" s="163">
        <f>+'Tuition-2Yr'!O32+'State Appropriations-2Yr'!O32+'Local Appropriations-2Yr'!O32+'Fed Contracts Grnts-2Yr'!O32+'Other Contracts Grnts-2Yr'!O32+'Investment Income-2Yr'!O32+'All Other E&amp;G-2Yr'!O32</f>
        <v>99172</v>
      </c>
      <c r="P32" s="163">
        <f>+'Tuition-2Yr'!P32+'State Appropriations-2Yr'!P32+'Local Appropriations-2Yr'!P32+'Fed Contracts Grnts-2Yr'!P32+'Other Contracts Grnts-2Yr'!P32+'Investment Income-2Yr'!P32+'All Other E&amp;G-2Yr'!P32</f>
        <v>0</v>
      </c>
      <c r="Q32" s="163">
        <f>+'Tuition-2Yr'!Q32+'State Appropriations-2Yr'!Q32+'Local Appropriations-2Yr'!Q32+'Fed Contracts Grnts-2Yr'!Q32+'Other Contracts Grnts-2Yr'!Q32+'Investment Income-2Yr'!Q32+'All Other E&amp;G-2Yr'!Q32</f>
        <v>0</v>
      </c>
      <c r="R32" s="163">
        <f>+'Tuition-2Yr'!R32+'State Appropriations-2Yr'!R32+'Local Appropriations-2Yr'!R32+'Fed Contracts Grnts-2Yr'!R32+'Other Contracts Grnts-2Yr'!R32+'Investment Income-2Yr'!R32+'All Other E&amp;G-2Yr'!R32</f>
        <v>143420</v>
      </c>
      <c r="S32" s="163">
        <f>+'Tuition-2Yr'!S32+'State Appropriations-2Yr'!S32+'Local Appropriations-2Yr'!S32+'Fed Contracts Grnts-2Yr'!S32+'Other Contracts Grnts-2Yr'!S32+'Investment Income-2Yr'!S32+'All Other E&amp;G-2Yr'!S32</f>
        <v>156015</v>
      </c>
      <c r="T32" s="163">
        <f>+'Tuition-2Yr'!T32+'State Appropriations-2Yr'!T32+'Local Appropriations-2Yr'!T32+'Fed Contracts Grnts-2Yr'!T32+'Other Contracts Grnts-2Yr'!T32+'Investment Income-2Yr'!T32+'All Other E&amp;G-2Yr'!T32</f>
        <v>173024</v>
      </c>
      <c r="U32" s="163">
        <f>+'Tuition-2Yr'!U32+'State Appropriations-2Yr'!U32+'Local Appropriations-2Yr'!U32+'Fed Contracts Grnts-2Yr'!U32+'Other Contracts Grnts-2Yr'!U32+'Investment Income-2Yr'!U32+'All Other E&amp;G-2Yr'!U32</f>
        <v>177012</v>
      </c>
      <c r="V32" s="163">
        <f>+'Tuition-2Yr'!V32+'State Appropriations-2Yr'!V32+'Local Appropriations-2Yr'!V32+'Fed Contracts Grnts-2Yr'!V32+'Other Contracts Grnts-2Yr'!V32+'Investment Income-2Yr'!V32+'All Other E&amp;G-2Yr'!V32</f>
        <v>72834</v>
      </c>
      <c r="W32" s="163">
        <f>+'Tuition-2Yr'!W32+'State Appropriations-2Yr'!W32+'Local Appropriations-2Yr'!W32+'Fed Contracts Grnts-2Yr'!W32+'Other Contracts Grnts-2Yr'!W32+'Investment Income-2Yr'!W32+'All Other E&amp;G-2Yr'!W32</f>
        <v>78727.002999999997</v>
      </c>
      <c r="X32" s="163">
        <f>+'Tuition-2Yr'!X32+'State Appropriations-2Yr'!X32+'Local Appropriations-2Yr'!X32+'Fed Contracts Grnts-2Yr'!X32+'Other Contracts Grnts-2Yr'!X32+'Investment Income-2Yr'!X32+'All Other E&amp;G-2Yr'!X32</f>
        <v>82181</v>
      </c>
      <c r="Y32" s="163">
        <f>+'Tuition-2Yr'!Y32+'State Appropriations-2Yr'!Y32+'Local Appropriations-2Yr'!Y32+'Fed Contracts Grnts-2Yr'!Y32+'Other Contracts Grnts-2Yr'!Y32+'Investment Income-2Yr'!Y32+'All Other E&amp;G-2Yr'!Y32</f>
        <v>59459</v>
      </c>
      <c r="Z32" s="163">
        <f>+'Tuition-2Yr'!Z32+'State Appropriations-2Yr'!Z32+'Local Appropriations-2Yr'!Z32+'Fed Contracts Grnts-2Yr'!Z32+'Other Contracts Grnts-2Yr'!Z32+'Investment Income-2Yr'!Z32+'All Other E&amp;G-2Yr'!Z32</f>
        <v>62139</v>
      </c>
      <c r="AA32" s="163">
        <f>+'Tuition-2Yr'!AA32+'State Appropriations-2Yr'!AA32+'Local Appropriations-2Yr'!AA32+'Fed Contracts Grnts-2Yr'!AA32+'Other Contracts Grnts-2Yr'!AA32+'Investment Income-2Yr'!AA32+'All Other E&amp;G-2Yr'!AA32</f>
        <v>289539.973</v>
      </c>
      <c r="AB32" s="163">
        <f>+'Tuition-2Yr'!AB32+'State Appropriations-2Yr'!AB32+'Local Appropriations-2Yr'!AB32+'Fed Contracts Grnts-2Yr'!AB32+'Other Contracts Grnts-2Yr'!AB32+'Investment Income-2Yr'!AB32+'All Other E&amp;G-2Yr'!AB32</f>
        <v>338314.55800000002</v>
      </c>
      <c r="AC32" s="163">
        <f>+'Tuition-2Yr'!AC32+'State Appropriations-2Yr'!AC32+'Local Appropriations-2Yr'!AC32+'Fed Contracts Grnts-2Yr'!AC32+'Other Contracts Grnts-2Yr'!AC32+'Investment Income-2Yr'!AC32+'All Other E&amp;G-2Yr'!AC32</f>
        <v>356879</v>
      </c>
      <c r="AD32" s="163">
        <f>+'Tuition-2Yr'!AD32+'State Appropriations-2Yr'!AD32+'Local Appropriations-2Yr'!AD32+'Fed Contracts Grnts-2Yr'!AD32+'Other Contracts Grnts-2Yr'!AD32+'Investment Income-2Yr'!AD32+'All Other E&amp;G-2Yr'!AD32</f>
        <v>330255.63500000001</v>
      </c>
      <c r="AE32" s="163">
        <f>+'Tuition-2Yr'!AE32+'State Appropriations-2Yr'!AE32+'Local Appropriations-2Yr'!AE32+'Fed Contracts Grnts-2Yr'!AE32+'Other Contracts Grnts-2Yr'!AE32+'Investment Income-2Yr'!AE32+'All Other E&amp;G-2Yr'!AE32</f>
        <v>340351</v>
      </c>
      <c r="AF32" s="163">
        <f>+'Tuition-2Yr'!AF32+'State Appropriations-2Yr'!AF32+'Local Appropriations-2Yr'!AF32+'Fed Contracts Grnts-2Yr'!AF32+'Other Contracts Grnts-2Yr'!AF32+'Investment Income-2Yr'!AF32+'All Other E&amp;G-2Yr'!AF32</f>
        <v>339985</v>
      </c>
      <c r="AG32" s="163">
        <f>+'Tuition-2Yr'!AG32+'State Appropriations-2Yr'!AG32+'Local Appropriations-2Yr'!AG32+'Fed Contracts Grnts-2Yr'!AG32+'Other Contracts Grnts-2Yr'!AG32+'Investment Income-2Yr'!AG32+'All Other E&amp;G-2Yr'!AG32</f>
        <v>348161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c r="HC32" s="20"/>
      <c r="HD32" s="20"/>
      <c r="HE32" s="20"/>
      <c r="HF32" s="20"/>
    </row>
    <row r="33" spans="1:214" s="65" customFormat="1" ht="12.75" customHeight="1">
      <c r="A33" s="23" t="s">
        <v>129</v>
      </c>
      <c r="B33" s="163">
        <f>+'Tuition-2Yr'!B33+'State Appropriations-2Yr'!B33+'Local Appropriations-2Yr'!B33+'Fed Contracts Grnts-2Yr'!B33+'Other Contracts Grnts-2Yr'!B33+'Investment Income-2Yr'!B33+'All Other E&amp;G-2Yr'!B33</f>
        <v>0</v>
      </c>
      <c r="C33" s="163">
        <f>+'Tuition-2Yr'!C33+'State Appropriations-2Yr'!C33+'Local Appropriations-2Yr'!C33+'Fed Contracts Grnts-2Yr'!C33+'Other Contracts Grnts-2Yr'!C33+'Investment Income-2Yr'!C33+'All Other E&amp;G-2Yr'!C33</f>
        <v>0</v>
      </c>
      <c r="D33" s="163">
        <f>+'Tuition-2Yr'!D33+'State Appropriations-2Yr'!D33+'Local Appropriations-2Yr'!D33+'Fed Contracts Grnts-2Yr'!D33+'Other Contracts Grnts-2Yr'!D33+'Investment Income-2Yr'!D33+'All Other E&amp;G-2Yr'!D33</f>
        <v>0</v>
      </c>
      <c r="E33" s="163">
        <f>+'Tuition-2Yr'!E33+'State Appropriations-2Yr'!E33+'Local Appropriations-2Yr'!E33+'Fed Contracts Grnts-2Yr'!E33+'Other Contracts Grnts-2Yr'!E33+'Investment Income-2Yr'!E33+'All Other E&amp;G-2Yr'!E33</f>
        <v>0</v>
      </c>
      <c r="F33" s="163">
        <f>+'Tuition-2Yr'!F33+'State Appropriations-2Yr'!F33+'Local Appropriations-2Yr'!F33+'Fed Contracts Grnts-2Yr'!F33+'Other Contracts Grnts-2Yr'!F33+'Investment Income-2Yr'!F33+'All Other E&amp;G-2Yr'!F33</f>
        <v>0</v>
      </c>
      <c r="G33" s="163">
        <f>+'Tuition-2Yr'!G33+'State Appropriations-2Yr'!G33+'Local Appropriations-2Yr'!G33+'Fed Contracts Grnts-2Yr'!G33+'Other Contracts Grnts-2Yr'!G33+'Investment Income-2Yr'!G33+'All Other E&amp;G-2Yr'!G33</f>
        <v>0</v>
      </c>
      <c r="H33" s="163">
        <f>+'Tuition-2Yr'!H33+'State Appropriations-2Yr'!H33+'Local Appropriations-2Yr'!H33+'Fed Contracts Grnts-2Yr'!H33+'Other Contracts Grnts-2Yr'!H33+'Investment Income-2Yr'!H33+'All Other E&amp;G-2Yr'!H33</f>
        <v>0</v>
      </c>
      <c r="I33" s="163">
        <f>+'Tuition-2Yr'!I33+'State Appropriations-2Yr'!I33+'Local Appropriations-2Yr'!I33+'Fed Contracts Grnts-2Yr'!I33+'Other Contracts Grnts-2Yr'!I33+'Investment Income-2Yr'!I33+'All Other E&amp;G-2Yr'!I33</f>
        <v>0</v>
      </c>
      <c r="J33" s="163">
        <f>+'Tuition-2Yr'!J33+'State Appropriations-2Yr'!J33+'Local Appropriations-2Yr'!J33+'Fed Contracts Grnts-2Yr'!J33+'Other Contracts Grnts-2Yr'!J33+'Investment Income-2Yr'!J33+'All Other E&amp;G-2Yr'!J33</f>
        <v>150758.049</v>
      </c>
      <c r="K33" s="163">
        <f>+'Tuition-2Yr'!K33+'State Appropriations-2Yr'!K33+'Local Appropriations-2Yr'!K33+'Fed Contracts Grnts-2Yr'!K33+'Other Contracts Grnts-2Yr'!K33+'Investment Income-2Yr'!K33+'All Other E&amp;G-2Yr'!K33</f>
        <v>0</v>
      </c>
      <c r="L33" s="163">
        <f>+'Tuition-2Yr'!L33+'State Appropriations-2Yr'!L33+'Local Appropriations-2Yr'!L33+'Fed Contracts Grnts-2Yr'!L33+'Other Contracts Grnts-2Yr'!L33+'Investment Income-2Yr'!L33+'All Other E&amp;G-2Yr'!L33</f>
        <v>0</v>
      </c>
      <c r="M33" s="163">
        <f>+'Tuition-2Yr'!M33+'State Appropriations-2Yr'!M33+'Local Appropriations-2Yr'!M33+'Fed Contracts Grnts-2Yr'!M33+'Other Contracts Grnts-2Yr'!M33+'Investment Income-2Yr'!M33+'All Other E&amp;G-2Yr'!M33</f>
        <v>198372.55400000003</v>
      </c>
      <c r="N33" s="163">
        <f>+'Tuition-2Yr'!N33+'State Appropriations-2Yr'!N33+'Local Appropriations-2Yr'!N33+'Fed Contracts Grnts-2Yr'!N33+'Other Contracts Grnts-2Yr'!N33+'Investment Income-2Yr'!N33+'All Other E&amp;G-2Yr'!N33</f>
        <v>0</v>
      </c>
      <c r="O33" s="163">
        <f>+'Tuition-2Yr'!O33+'State Appropriations-2Yr'!O33+'Local Appropriations-2Yr'!O33+'Fed Contracts Grnts-2Yr'!O33+'Other Contracts Grnts-2Yr'!O33+'Investment Income-2Yr'!O33+'All Other E&amp;G-2Yr'!O33</f>
        <v>245283.80685000002</v>
      </c>
      <c r="P33" s="163">
        <f>+'Tuition-2Yr'!P33+'State Appropriations-2Yr'!P33+'Local Appropriations-2Yr'!P33+'Fed Contracts Grnts-2Yr'!P33+'Other Contracts Grnts-2Yr'!P33+'Investment Income-2Yr'!P33+'All Other E&amp;G-2Yr'!P33</f>
        <v>0</v>
      </c>
      <c r="Q33" s="163">
        <f>+'Tuition-2Yr'!Q33+'State Appropriations-2Yr'!Q33+'Local Appropriations-2Yr'!Q33+'Fed Contracts Grnts-2Yr'!Q33+'Other Contracts Grnts-2Yr'!Q33+'Investment Income-2Yr'!Q33+'All Other E&amp;G-2Yr'!Q33</f>
        <v>0</v>
      </c>
      <c r="R33" s="163">
        <f>+'Tuition-2Yr'!R33+'State Appropriations-2Yr'!R33+'Local Appropriations-2Yr'!R33+'Fed Contracts Grnts-2Yr'!R33+'Other Contracts Grnts-2Yr'!R33+'Investment Income-2Yr'!R33+'All Other E&amp;G-2Yr'!R33</f>
        <v>304446.34200000006</v>
      </c>
      <c r="S33" s="163">
        <f>+'Tuition-2Yr'!S33+'State Appropriations-2Yr'!S33+'Local Appropriations-2Yr'!S33+'Fed Contracts Grnts-2Yr'!S33+'Other Contracts Grnts-2Yr'!S33+'Investment Income-2Yr'!S33+'All Other E&amp;G-2Yr'!S33</f>
        <v>321544.33100000001</v>
      </c>
      <c r="T33" s="163">
        <f>+'Tuition-2Yr'!T33+'State Appropriations-2Yr'!T33+'Local Appropriations-2Yr'!T33+'Fed Contracts Grnts-2Yr'!T33+'Other Contracts Grnts-2Yr'!T33+'Investment Income-2Yr'!T33+'All Other E&amp;G-2Yr'!T33</f>
        <v>357863.83199999999</v>
      </c>
      <c r="U33" s="163">
        <f>+'Tuition-2Yr'!U33+'State Appropriations-2Yr'!U33+'Local Appropriations-2Yr'!U33+'Fed Contracts Grnts-2Yr'!U33+'Other Contracts Grnts-2Yr'!U33+'Investment Income-2Yr'!U33+'All Other E&amp;G-2Yr'!U33</f>
        <v>381540.174</v>
      </c>
      <c r="V33" s="163">
        <f>+'Tuition-2Yr'!V33+'State Appropriations-2Yr'!V33+'Local Appropriations-2Yr'!V33+'Fed Contracts Grnts-2Yr'!V33+'Other Contracts Grnts-2Yr'!V33+'Investment Income-2Yr'!V33+'All Other E&amp;G-2Yr'!V33</f>
        <v>411897.35599999997</v>
      </c>
      <c r="W33" s="163">
        <f>+'Tuition-2Yr'!W33+'State Appropriations-2Yr'!W33+'Local Appropriations-2Yr'!W33+'Fed Contracts Grnts-2Yr'!W33+'Other Contracts Grnts-2Yr'!W33+'Investment Income-2Yr'!W33+'All Other E&amp;G-2Yr'!W33</f>
        <v>453305.74900000001</v>
      </c>
      <c r="X33" s="163">
        <f>+'Tuition-2Yr'!X33+'State Appropriations-2Yr'!X33+'Local Appropriations-2Yr'!X33+'Fed Contracts Grnts-2Yr'!X33+'Other Contracts Grnts-2Yr'!X33+'Investment Income-2Yr'!X33+'All Other E&amp;G-2Yr'!X33</f>
        <v>465719.96799999999</v>
      </c>
      <c r="Y33" s="163">
        <f>+'Tuition-2Yr'!Y33+'State Appropriations-2Yr'!Y33+'Local Appropriations-2Yr'!Y33+'Fed Contracts Grnts-2Yr'!Y33+'Other Contracts Grnts-2Yr'!Y33+'Investment Income-2Yr'!Y33+'All Other E&amp;G-2Yr'!Y33</f>
        <v>498926.04499999998</v>
      </c>
      <c r="Z33" s="163">
        <f>+'Tuition-2Yr'!Z33+'State Appropriations-2Yr'!Z33+'Local Appropriations-2Yr'!Z33+'Fed Contracts Grnts-2Yr'!Z33+'Other Contracts Grnts-2Yr'!Z33+'Investment Income-2Yr'!Z33+'All Other E&amp;G-2Yr'!Z33</f>
        <v>515605.66000000003</v>
      </c>
      <c r="AA33" s="163">
        <f>+'Tuition-2Yr'!AA33+'State Appropriations-2Yr'!AA33+'Local Appropriations-2Yr'!AA33+'Fed Contracts Grnts-2Yr'!AA33+'Other Contracts Grnts-2Yr'!AA33+'Investment Income-2Yr'!AA33+'All Other E&amp;G-2Yr'!AA33</f>
        <v>596151.80900000001</v>
      </c>
      <c r="AB33" s="163">
        <f>+'Tuition-2Yr'!AB33+'State Appropriations-2Yr'!AB33+'Local Appropriations-2Yr'!AB33+'Fed Contracts Grnts-2Yr'!AB33+'Other Contracts Grnts-2Yr'!AB33+'Investment Income-2Yr'!AB33+'All Other E&amp;G-2Yr'!AB33</f>
        <v>649289.26700000011</v>
      </c>
      <c r="AC33" s="163">
        <f>+'Tuition-2Yr'!AC33+'State Appropriations-2Yr'!AC33+'Local Appropriations-2Yr'!AC33+'Fed Contracts Grnts-2Yr'!AC33+'Other Contracts Grnts-2Yr'!AC33+'Investment Income-2Yr'!AC33+'All Other E&amp;G-2Yr'!AC33</f>
        <v>707057</v>
      </c>
      <c r="AD33" s="163">
        <f>+'Tuition-2Yr'!AD33+'State Appropriations-2Yr'!AD33+'Local Appropriations-2Yr'!AD33+'Fed Contracts Grnts-2Yr'!AD33+'Other Contracts Grnts-2Yr'!AD33+'Investment Income-2Yr'!AD33+'All Other E&amp;G-2Yr'!AD33</f>
        <v>679714.27899999998</v>
      </c>
      <c r="AE33" s="163">
        <f>+'Tuition-2Yr'!AE33+'State Appropriations-2Yr'!AE33+'Local Appropriations-2Yr'!AE33+'Fed Contracts Grnts-2Yr'!AE33+'Other Contracts Grnts-2Yr'!AE33+'Investment Income-2Yr'!AE33+'All Other E&amp;G-2Yr'!AE33</f>
        <v>746593.56400000001</v>
      </c>
      <c r="AF33" s="163">
        <f>+'Tuition-2Yr'!AF33+'State Appropriations-2Yr'!AF33+'Local Appropriations-2Yr'!AF33+'Fed Contracts Grnts-2Yr'!AF33+'Other Contracts Grnts-2Yr'!AF33+'Investment Income-2Yr'!AF33+'All Other E&amp;G-2Yr'!AF33</f>
        <v>474833.55300000001</v>
      </c>
      <c r="AG33" s="163">
        <f>+'Tuition-2Yr'!AG33+'State Appropriations-2Yr'!AG33+'Local Appropriations-2Yr'!AG33+'Fed Contracts Grnts-2Yr'!AG33+'Other Contracts Grnts-2Yr'!AG33+'Investment Income-2Yr'!AG33+'All Other E&amp;G-2Yr'!AG33</f>
        <v>445785.24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c r="HC33" s="20"/>
      <c r="HD33" s="20"/>
      <c r="HE33" s="20"/>
      <c r="HF33" s="20"/>
    </row>
    <row r="34" spans="1:214" s="65" customFormat="1" ht="12.75" customHeight="1">
      <c r="A34" s="23" t="s">
        <v>133</v>
      </c>
      <c r="B34" s="163">
        <f>+'Tuition-2Yr'!B34+'State Appropriations-2Yr'!B34+'Local Appropriations-2Yr'!B34+'Fed Contracts Grnts-2Yr'!B34+'Other Contracts Grnts-2Yr'!B34+'Investment Income-2Yr'!B34+'All Other E&amp;G-2Yr'!B34</f>
        <v>0</v>
      </c>
      <c r="C34" s="163">
        <f>+'Tuition-2Yr'!C34+'State Appropriations-2Yr'!C34+'Local Appropriations-2Yr'!C34+'Fed Contracts Grnts-2Yr'!C34+'Other Contracts Grnts-2Yr'!C34+'Investment Income-2Yr'!C34+'All Other E&amp;G-2Yr'!C34</f>
        <v>0</v>
      </c>
      <c r="D34" s="163">
        <f>+'Tuition-2Yr'!D34+'State Appropriations-2Yr'!D34+'Local Appropriations-2Yr'!D34+'Fed Contracts Grnts-2Yr'!D34+'Other Contracts Grnts-2Yr'!D34+'Investment Income-2Yr'!D34+'All Other E&amp;G-2Yr'!D34</f>
        <v>0</v>
      </c>
      <c r="E34" s="163">
        <f>+'Tuition-2Yr'!E34+'State Appropriations-2Yr'!E34+'Local Appropriations-2Yr'!E34+'Fed Contracts Grnts-2Yr'!E34+'Other Contracts Grnts-2Yr'!E34+'Investment Income-2Yr'!E34+'All Other E&amp;G-2Yr'!E34</f>
        <v>0</v>
      </c>
      <c r="F34" s="163">
        <f>+'Tuition-2Yr'!F34+'State Appropriations-2Yr'!F34+'Local Appropriations-2Yr'!F34+'Fed Contracts Grnts-2Yr'!F34+'Other Contracts Grnts-2Yr'!F34+'Investment Income-2Yr'!F34+'All Other E&amp;G-2Yr'!F34</f>
        <v>0</v>
      </c>
      <c r="G34" s="163">
        <f>+'Tuition-2Yr'!G34+'State Appropriations-2Yr'!G34+'Local Appropriations-2Yr'!G34+'Fed Contracts Grnts-2Yr'!G34+'Other Contracts Grnts-2Yr'!G34+'Investment Income-2Yr'!G34+'All Other E&amp;G-2Yr'!G34</f>
        <v>0</v>
      </c>
      <c r="H34" s="163">
        <f>+'Tuition-2Yr'!H34+'State Appropriations-2Yr'!H34+'Local Appropriations-2Yr'!H34+'Fed Contracts Grnts-2Yr'!H34+'Other Contracts Grnts-2Yr'!H34+'Investment Income-2Yr'!H34+'All Other E&amp;G-2Yr'!H34</f>
        <v>0</v>
      </c>
      <c r="I34" s="163">
        <f>+'Tuition-2Yr'!I34+'State Appropriations-2Yr'!I34+'Local Appropriations-2Yr'!I34+'Fed Contracts Grnts-2Yr'!I34+'Other Contracts Grnts-2Yr'!I34+'Investment Income-2Yr'!I34+'All Other E&amp;G-2Yr'!I34</f>
        <v>0</v>
      </c>
      <c r="J34" s="163">
        <f>+'Tuition-2Yr'!J34+'State Appropriations-2Yr'!J34+'Local Appropriations-2Yr'!J34+'Fed Contracts Grnts-2Yr'!J34+'Other Contracts Grnts-2Yr'!J34+'Investment Income-2Yr'!J34+'All Other E&amp;G-2Yr'!J34</f>
        <v>362807.06400000001</v>
      </c>
      <c r="K34" s="163">
        <f>+'Tuition-2Yr'!K34+'State Appropriations-2Yr'!K34+'Local Appropriations-2Yr'!K34+'Fed Contracts Grnts-2Yr'!K34+'Other Contracts Grnts-2Yr'!K34+'Investment Income-2Yr'!K34+'All Other E&amp;G-2Yr'!K34</f>
        <v>0</v>
      </c>
      <c r="L34" s="163">
        <f>+'Tuition-2Yr'!L34+'State Appropriations-2Yr'!L34+'Local Appropriations-2Yr'!L34+'Fed Contracts Grnts-2Yr'!L34+'Other Contracts Grnts-2Yr'!L34+'Investment Income-2Yr'!L34+'All Other E&amp;G-2Yr'!L34</f>
        <v>0</v>
      </c>
      <c r="M34" s="163">
        <f>+'Tuition-2Yr'!M34+'State Appropriations-2Yr'!M34+'Local Appropriations-2Yr'!M34+'Fed Contracts Grnts-2Yr'!M34+'Other Contracts Grnts-2Yr'!M34+'Investment Income-2Yr'!M34+'All Other E&amp;G-2Yr'!M34</f>
        <v>423060.53200000001</v>
      </c>
      <c r="N34" s="163">
        <f>+'Tuition-2Yr'!N34+'State Appropriations-2Yr'!N34+'Local Appropriations-2Yr'!N34+'Fed Contracts Grnts-2Yr'!N34+'Other Contracts Grnts-2Yr'!N34+'Investment Income-2Yr'!N34+'All Other E&amp;G-2Yr'!N34</f>
        <v>0</v>
      </c>
      <c r="O34" s="163">
        <f>+'Tuition-2Yr'!O34+'State Appropriations-2Yr'!O34+'Local Appropriations-2Yr'!O34+'Fed Contracts Grnts-2Yr'!O34+'Other Contracts Grnts-2Yr'!O34+'Investment Income-2Yr'!O34+'All Other E&amp;G-2Yr'!O34</f>
        <v>471229.27700000006</v>
      </c>
      <c r="P34" s="163">
        <f>+'Tuition-2Yr'!P34+'State Appropriations-2Yr'!P34+'Local Appropriations-2Yr'!P34+'Fed Contracts Grnts-2Yr'!P34+'Other Contracts Grnts-2Yr'!P34+'Investment Income-2Yr'!P34+'All Other E&amp;G-2Yr'!P34</f>
        <v>0</v>
      </c>
      <c r="Q34" s="163">
        <f>+'Tuition-2Yr'!Q34+'State Appropriations-2Yr'!Q34+'Local Appropriations-2Yr'!Q34+'Fed Contracts Grnts-2Yr'!Q34+'Other Contracts Grnts-2Yr'!Q34+'Investment Income-2Yr'!Q34+'All Other E&amp;G-2Yr'!Q34</f>
        <v>0</v>
      </c>
      <c r="R34" s="163">
        <f>+'Tuition-2Yr'!R34+'State Appropriations-2Yr'!R34+'Local Appropriations-2Yr'!R34+'Fed Contracts Grnts-2Yr'!R34+'Other Contracts Grnts-2Yr'!R34+'Investment Income-2Yr'!R34+'All Other E&amp;G-2Yr'!R34</f>
        <v>569459.26800000004</v>
      </c>
      <c r="S34" s="163">
        <f>+'Tuition-2Yr'!S34+'State Appropriations-2Yr'!S34+'Local Appropriations-2Yr'!S34+'Fed Contracts Grnts-2Yr'!S34+'Other Contracts Grnts-2Yr'!S34+'Investment Income-2Yr'!S34+'All Other E&amp;G-2Yr'!S34</f>
        <v>607505.02500000002</v>
      </c>
      <c r="T34" s="163">
        <f>+'Tuition-2Yr'!T34+'State Appropriations-2Yr'!T34+'Local Appropriations-2Yr'!T34+'Fed Contracts Grnts-2Yr'!T34+'Other Contracts Grnts-2Yr'!T34+'Investment Income-2Yr'!T34+'All Other E&amp;G-2Yr'!T34</f>
        <v>672452.89399999997</v>
      </c>
      <c r="U34" s="163">
        <f>+'Tuition-2Yr'!U34+'State Appropriations-2Yr'!U34+'Local Appropriations-2Yr'!U34+'Fed Contracts Grnts-2Yr'!U34+'Other Contracts Grnts-2Yr'!U34+'Investment Income-2Yr'!U34+'All Other E&amp;G-2Yr'!U34</f>
        <v>637129.69699999993</v>
      </c>
      <c r="V34" s="163">
        <f>+'Tuition-2Yr'!V34+'State Appropriations-2Yr'!V34+'Local Appropriations-2Yr'!V34+'Fed Contracts Grnts-2Yr'!V34+'Other Contracts Grnts-2Yr'!V34+'Investment Income-2Yr'!V34+'All Other E&amp;G-2Yr'!V34</f>
        <v>775248.05299999996</v>
      </c>
      <c r="W34" s="163">
        <f>+'Tuition-2Yr'!W34+'State Appropriations-2Yr'!W34+'Local Appropriations-2Yr'!W34+'Fed Contracts Grnts-2Yr'!W34+'Other Contracts Grnts-2Yr'!W34+'Investment Income-2Yr'!W34+'All Other E&amp;G-2Yr'!W34</f>
        <v>768728.54700000002</v>
      </c>
      <c r="X34" s="163">
        <f>+'Tuition-2Yr'!X34+'State Appropriations-2Yr'!X34+'Local Appropriations-2Yr'!X34+'Fed Contracts Grnts-2Yr'!X34+'Other Contracts Grnts-2Yr'!X34+'Investment Income-2Yr'!X34+'All Other E&amp;G-2Yr'!X34</f>
        <v>865465.76799999992</v>
      </c>
      <c r="Y34" s="163">
        <f>+'Tuition-2Yr'!Y34+'State Appropriations-2Yr'!Y34+'Local Appropriations-2Yr'!Y34+'Fed Contracts Grnts-2Yr'!Y34+'Other Contracts Grnts-2Yr'!Y34+'Investment Income-2Yr'!Y34+'All Other E&amp;G-2Yr'!Y34</f>
        <v>787586.01699999999</v>
      </c>
      <c r="Z34" s="163">
        <f>+'Tuition-2Yr'!Z34+'State Appropriations-2Yr'!Z34+'Local Appropriations-2Yr'!Z34+'Fed Contracts Grnts-2Yr'!Z34+'Other Contracts Grnts-2Yr'!Z34+'Investment Income-2Yr'!Z34+'All Other E&amp;G-2Yr'!Z34</f>
        <v>926682.87199999997</v>
      </c>
      <c r="AA34" s="163">
        <f>+'Tuition-2Yr'!AA34+'State Appropriations-2Yr'!AA34+'Local Appropriations-2Yr'!AA34+'Fed Contracts Grnts-2Yr'!AA34+'Other Contracts Grnts-2Yr'!AA34+'Investment Income-2Yr'!AA34+'All Other E&amp;G-2Yr'!AA34</f>
        <v>948811.19799999986</v>
      </c>
      <c r="AB34" s="163">
        <f>+'Tuition-2Yr'!AB34+'State Appropriations-2Yr'!AB34+'Local Appropriations-2Yr'!AB34+'Fed Contracts Grnts-2Yr'!AB34+'Other Contracts Grnts-2Yr'!AB34+'Investment Income-2Yr'!AB34+'All Other E&amp;G-2Yr'!AB34</f>
        <v>1302075.3960000002</v>
      </c>
      <c r="AC34" s="163">
        <f>+'Tuition-2Yr'!AC34+'State Appropriations-2Yr'!AC34+'Local Appropriations-2Yr'!AC34+'Fed Contracts Grnts-2Yr'!AC34+'Other Contracts Grnts-2Yr'!AC34+'Investment Income-2Yr'!AC34+'All Other E&amp;G-2Yr'!AC34</f>
        <v>1317977</v>
      </c>
      <c r="AD34" s="163">
        <f>+'Tuition-2Yr'!AD34+'State Appropriations-2Yr'!AD34+'Local Appropriations-2Yr'!AD34+'Fed Contracts Grnts-2Yr'!AD34+'Other Contracts Grnts-2Yr'!AD34+'Investment Income-2Yr'!AD34+'All Other E&amp;G-2Yr'!AD34</f>
        <v>1304299.2139999997</v>
      </c>
      <c r="AE34" s="163">
        <f>+'Tuition-2Yr'!AE34+'State Appropriations-2Yr'!AE34+'Local Appropriations-2Yr'!AE34+'Fed Contracts Grnts-2Yr'!AE34+'Other Contracts Grnts-2Yr'!AE34+'Investment Income-2Yr'!AE34+'All Other E&amp;G-2Yr'!AE34</f>
        <v>1211766.889</v>
      </c>
      <c r="AF34" s="163">
        <f>+'Tuition-2Yr'!AF34+'State Appropriations-2Yr'!AF34+'Local Appropriations-2Yr'!AF34+'Fed Contracts Grnts-2Yr'!AF34+'Other Contracts Grnts-2Yr'!AF34+'Investment Income-2Yr'!AF34+'All Other E&amp;G-2Yr'!AF34</f>
        <v>1304594.9089999998</v>
      </c>
      <c r="AG34" s="163">
        <f>+'Tuition-2Yr'!AG34+'State Appropriations-2Yr'!AG34+'Local Appropriations-2Yr'!AG34+'Fed Contracts Grnts-2Yr'!AG34+'Other Contracts Grnts-2Yr'!AG34+'Investment Income-2Yr'!AG34+'All Other E&amp;G-2Yr'!AG34</f>
        <v>1110977.9979999999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c r="HC34" s="20"/>
      <c r="HD34" s="20"/>
      <c r="HE34" s="20"/>
      <c r="HF34" s="20"/>
    </row>
    <row r="35" spans="1:214" s="65" customFormat="1" ht="12.75" customHeight="1">
      <c r="A35" s="23" t="s">
        <v>137</v>
      </c>
      <c r="B35" s="163">
        <f>+'Tuition-2Yr'!B35+'State Appropriations-2Yr'!B35+'Local Appropriations-2Yr'!B35+'Fed Contracts Grnts-2Yr'!B35+'Other Contracts Grnts-2Yr'!B35+'Investment Income-2Yr'!B35+'All Other E&amp;G-2Yr'!B35</f>
        <v>0</v>
      </c>
      <c r="C35" s="163">
        <f>+'Tuition-2Yr'!C35+'State Appropriations-2Yr'!C35+'Local Appropriations-2Yr'!C35+'Fed Contracts Grnts-2Yr'!C35+'Other Contracts Grnts-2Yr'!C35+'Investment Income-2Yr'!C35+'All Other E&amp;G-2Yr'!C35</f>
        <v>0</v>
      </c>
      <c r="D35" s="163">
        <f>+'Tuition-2Yr'!D35+'State Appropriations-2Yr'!D35+'Local Appropriations-2Yr'!D35+'Fed Contracts Grnts-2Yr'!D35+'Other Contracts Grnts-2Yr'!D35+'Investment Income-2Yr'!D35+'All Other E&amp;G-2Yr'!D35</f>
        <v>0</v>
      </c>
      <c r="E35" s="163">
        <f>+'Tuition-2Yr'!E35+'State Appropriations-2Yr'!E35+'Local Appropriations-2Yr'!E35+'Fed Contracts Grnts-2Yr'!E35+'Other Contracts Grnts-2Yr'!E35+'Investment Income-2Yr'!E35+'All Other E&amp;G-2Yr'!E35</f>
        <v>0</v>
      </c>
      <c r="F35" s="163">
        <f>+'Tuition-2Yr'!F35+'State Appropriations-2Yr'!F35+'Local Appropriations-2Yr'!F35+'Fed Contracts Grnts-2Yr'!F35+'Other Contracts Grnts-2Yr'!F35+'Investment Income-2Yr'!F35+'All Other E&amp;G-2Yr'!F35</f>
        <v>0</v>
      </c>
      <c r="G35" s="163">
        <f>+'Tuition-2Yr'!G35+'State Appropriations-2Yr'!G35+'Local Appropriations-2Yr'!G35+'Fed Contracts Grnts-2Yr'!G35+'Other Contracts Grnts-2Yr'!G35+'Investment Income-2Yr'!G35+'All Other E&amp;G-2Yr'!G35</f>
        <v>0</v>
      </c>
      <c r="H35" s="163">
        <f>+'Tuition-2Yr'!H35+'State Appropriations-2Yr'!H35+'Local Appropriations-2Yr'!H35+'Fed Contracts Grnts-2Yr'!H35+'Other Contracts Grnts-2Yr'!H35+'Investment Income-2Yr'!H35+'All Other E&amp;G-2Yr'!H35</f>
        <v>0</v>
      </c>
      <c r="I35" s="163">
        <f>+'Tuition-2Yr'!I35+'State Appropriations-2Yr'!I35+'Local Appropriations-2Yr'!I35+'Fed Contracts Grnts-2Yr'!I35+'Other Contracts Grnts-2Yr'!I35+'Investment Income-2Yr'!I35+'All Other E&amp;G-2Yr'!I35</f>
        <v>0</v>
      </c>
      <c r="J35" s="163">
        <f>+'Tuition-2Yr'!J35+'State Appropriations-2Yr'!J35+'Local Appropriations-2Yr'!J35+'Fed Contracts Grnts-2Yr'!J35+'Other Contracts Grnts-2Yr'!J35+'Investment Income-2Yr'!J35+'All Other E&amp;G-2Yr'!J35</f>
        <v>132847.09299999999</v>
      </c>
      <c r="K35" s="163">
        <f>+'Tuition-2Yr'!K35+'State Appropriations-2Yr'!K35+'Local Appropriations-2Yr'!K35+'Fed Contracts Grnts-2Yr'!K35+'Other Contracts Grnts-2Yr'!K35+'Investment Income-2Yr'!K35+'All Other E&amp;G-2Yr'!K35</f>
        <v>0</v>
      </c>
      <c r="L35" s="163">
        <f>+'Tuition-2Yr'!L35+'State Appropriations-2Yr'!L35+'Local Appropriations-2Yr'!L35+'Fed Contracts Grnts-2Yr'!L35+'Other Contracts Grnts-2Yr'!L35+'Investment Income-2Yr'!L35+'All Other E&amp;G-2Yr'!L35</f>
        <v>0</v>
      </c>
      <c r="M35" s="163">
        <f>+'Tuition-2Yr'!M35+'State Appropriations-2Yr'!M35+'Local Appropriations-2Yr'!M35+'Fed Contracts Grnts-2Yr'!M35+'Other Contracts Grnts-2Yr'!M35+'Investment Income-2Yr'!M35+'All Other E&amp;G-2Yr'!M35</f>
        <v>126058.86599999999</v>
      </c>
      <c r="N35" s="163">
        <f>+'Tuition-2Yr'!N35+'State Appropriations-2Yr'!N35+'Local Appropriations-2Yr'!N35+'Fed Contracts Grnts-2Yr'!N35+'Other Contracts Grnts-2Yr'!N35+'Investment Income-2Yr'!N35+'All Other E&amp;G-2Yr'!N35</f>
        <v>0</v>
      </c>
      <c r="O35" s="163">
        <f>+'Tuition-2Yr'!O35+'State Appropriations-2Yr'!O35+'Local Appropriations-2Yr'!O35+'Fed Contracts Grnts-2Yr'!O35+'Other Contracts Grnts-2Yr'!O35+'Investment Income-2Yr'!O35+'All Other E&amp;G-2Yr'!O35</f>
        <v>143860.63700000002</v>
      </c>
      <c r="P35" s="163">
        <f>+'Tuition-2Yr'!P35+'State Appropriations-2Yr'!P35+'Local Appropriations-2Yr'!P35+'Fed Contracts Grnts-2Yr'!P35+'Other Contracts Grnts-2Yr'!P35+'Investment Income-2Yr'!P35+'All Other E&amp;G-2Yr'!P35</f>
        <v>0</v>
      </c>
      <c r="Q35" s="163">
        <f>+'Tuition-2Yr'!Q35+'State Appropriations-2Yr'!Q35+'Local Appropriations-2Yr'!Q35+'Fed Contracts Grnts-2Yr'!Q35+'Other Contracts Grnts-2Yr'!Q35+'Investment Income-2Yr'!Q35+'All Other E&amp;G-2Yr'!Q35</f>
        <v>0</v>
      </c>
      <c r="R35" s="163">
        <f>+'Tuition-2Yr'!R35+'State Appropriations-2Yr'!R35+'Local Appropriations-2Yr'!R35+'Fed Contracts Grnts-2Yr'!R35+'Other Contracts Grnts-2Yr'!R35+'Investment Income-2Yr'!R35+'All Other E&amp;G-2Yr'!R35</f>
        <v>141236.23199999999</v>
      </c>
      <c r="S35" s="163">
        <f>+'Tuition-2Yr'!S35+'State Appropriations-2Yr'!S35+'Local Appropriations-2Yr'!S35+'Fed Contracts Grnts-2Yr'!S35+'Other Contracts Grnts-2Yr'!S35+'Investment Income-2Yr'!S35+'All Other E&amp;G-2Yr'!S35</f>
        <v>162455.89099999997</v>
      </c>
      <c r="T35" s="163">
        <f>+'Tuition-2Yr'!T35+'State Appropriations-2Yr'!T35+'Local Appropriations-2Yr'!T35+'Fed Contracts Grnts-2Yr'!T35+'Other Contracts Grnts-2Yr'!T35+'Investment Income-2Yr'!T35+'All Other E&amp;G-2Yr'!T35</f>
        <v>168231.99099999998</v>
      </c>
      <c r="U35" s="163">
        <f>+'Tuition-2Yr'!U35+'State Appropriations-2Yr'!U35+'Local Appropriations-2Yr'!U35+'Fed Contracts Grnts-2Yr'!U35+'Other Contracts Grnts-2Yr'!U35+'Investment Income-2Yr'!U35+'All Other E&amp;G-2Yr'!U35</f>
        <v>173683.62100000001</v>
      </c>
      <c r="V35" s="163">
        <f>+'Tuition-2Yr'!V35+'State Appropriations-2Yr'!V35+'Local Appropriations-2Yr'!V35+'Fed Contracts Grnts-2Yr'!V35+'Other Contracts Grnts-2Yr'!V35+'Investment Income-2Yr'!V35+'All Other E&amp;G-2Yr'!V35</f>
        <v>206136.08200000002</v>
      </c>
      <c r="W35" s="163">
        <f>+'Tuition-2Yr'!W35+'State Appropriations-2Yr'!W35+'Local Appropriations-2Yr'!W35+'Fed Contracts Grnts-2Yr'!W35+'Other Contracts Grnts-2Yr'!W35+'Investment Income-2Yr'!W35+'All Other E&amp;G-2Yr'!W35</f>
        <v>229270.36400000003</v>
      </c>
      <c r="X35" s="163">
        <f>+'Tuition-2Yr'!X35+'State Appropriations-2Yr'!X35+'Local Appropriations-2Yr'!X35+'Fed Contracts Grnts-2Yr'!X35+'Other Contracts Grnts-2Yr'!X35+'Investment Income-2Yr'!X35+'All Other E&amp;G-2Yr'!X35</f>
        <v>223959.50399999999</v>
      </c>
      <c r="Y35" s="163">
        <f>+'Tuition-2Yr'!Y35+'State Appropriations-2Yr'!Y35+'Local Appropriations-2Yr'!Y35+'Fed Contracts Grnts-2Yr'!Y35+'Other Contracts Grnts-2Yr'!Y35+'Investment Income-2Yr'!Y35+'All Other E&amp;G-2Yr'!Y35</f>
        <v>248209.78599999999</v>
      </c>
      <c r="Z35" s="163">
        <f>+'Tuition-2Yr'!Z35+'State Appropriations-2Yr'!Z35+'Local Appropriations-2Yr'!Z35+'Fed Contracts Grnts-2Yr'!Z35+'Other Contracts Grnts-2Yr'!Z35+'Investment Income-2Yr'!Z35+'All Other E&amp;G-2Yr'!Z35</f>
        <v>262601.59499999997</v>
      </c>
      <c r="AA35" s="163">
        <f>+'Tuition-2Yr'!AA35+'State Appropriations-2Yr'!AA35+'Local Appropriations-2Yr'!AA35+'Fed Contracts Grnts-2Yr'!AA35+'Other Contracts Grnts-2Yr'!AA35+'Investment Income-2Yr'!AA35+'All Other E&amp;G-2Yr'!AA35</f>
        <v>255489.49300000002</v>
      </c>
      <c r="AB35" s="163">
        <f>+'Tuition-2Yr'!AB35+'State Appropriations-2Yr'!AB35+'Local Appropriations-2Yr'!AB35+'Fed Contracts Grnts-2Yr'!AB35+'Other Contracts Grnts-2Yr'!AB35+'Investment Income-2Yr'!AB35+'All Other E&amp;G-2Yr'!AB35</f>
        <v>349190.80499999999</v>
      </c>
      <c r="AC35" s="163">
        <f>+'Tuition-2Yr'!AC35+'State Appropriations-2Yr'!AC35+'Local Appropriations-2Yr'!AC35+'Fed Contracts Grnts-2Yr'!AC35+'Other Contracts Grnts-2Yr'!AC35+'Investment Income-2Yr'!AC35+'All Other E&amp;G-2Yr'!AC35</f>
        <v>309328</v>
      </c>
      <c r="AD35" s="163">
        <f>+'Tuition-2Yr'!AD35+'State Appropriations-2Yr'!AD35+'Local Appropriations-2Yr'!AD35+'Fed Contracts Grnts-2Yr'!AD35+'Other Contracts Grnts-2Yr'!AD35+'Investment Income-2Yr'!AD35+'All Other E&amp;G-2Yr'!AD35</f>
        <v>245190.55799999999</v>
      </c>
      <c r="AE35" s="163">
        <f>+'Tuition-2Yr'!AE35+'State Appropriations-2Yr'!AE35+'Local Appropriations-2Yr'!AE35+'Fed Contracts Grnts-2Yr'!AE35+'Other Contracts Grnts-2Yr'!AE35+'Investment Income-2Yr'!AE35+'All Other E&amp;G-2Yr'!AE35</f>
        <v>348592.74300000002</v>
      </c>
      <c r="AF35" s="163">
        <f>+'Tuition-2Yr'!AF35+'State Appropriations-2Yr'!AF35+'Local Appropriations-2Yr'!AF35+'Fed Contracts Grnts-2Yr'!AF35+'Other Contracts Grnts-2Yr'!AF35+'Investment Income-2Yr'!AF35+'All Other E&amp;G-2Yr'!AF35</f>
        <v>345171.96499999997</v>
      </c>
      <c r="AG35" s="163">
        <f>+'Tuition-2Yr'!AG35+'State Appropriations-2Yr'!AG35+'Local Appropriations-2Yr'!AG35+'Fed Contracts Grnts-2Yr'!AG35+'Other Contracts Grnts-2Yr'!AG35+'Investment Income-2Yr'!AG35+'All Other E&amp;G-2Yr'!AG35</f>
        <v>364488.05599999998</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c r="HC35" s="20"/>
      <c r="HD35" s="20"/>
      <c r="HE35" s="20"/>
      <c r="HF35" s="20"/>
    </row>
    <row r="36" spans="1:214" s="65" customFormat="1" ht="12.75" customHeight="1">
      <c r="A36" s="23" t="s">
        <v>139</v>
      </c>
      <c r="B36" s="163">
        <f>+'Tuition-2Yr'!B36+'State Appropriations-2Yr'!B36+'Local Appropriations-2Yr'!B36+'Fed Contracts Grnts-2Yr'!B36+'Other Contracts Grnts-2Yr'!B36+'Investment Income-2Yr'!B36+'All Other E&amp;G-2Yr'!B36</f>
        <v>0</v>
      </c>
      <c r="C36" s="163">
        <f>+'Tuition-2Yr'!C36+'State Appropriations-2Yr'!C36+'Local Appropriations-2Yr'!C36+'Fed Contracts Grnts-2Yr'!C36+'Other Contracts Grnts-2Yr'!C36+'Investment Income-2Yr'!C36+'All Other E&amp;G-2Yr'!C36</f>
        <v>0</v>
      </c>
      <c r="D36" s="163">
        <f>+'Tuition-2Yr'!D36+'State Appropriations-2Yr'!D36+'Local Appropriations-2Yr'!D36+'Fed Contracts Grnts-2Yr'!D36+'Other Contracts Grnts-2Yr'!D36+'Investment Income-2Yr'!D36+'All Other E&amp;G-2Yr'!D36</f>
        <v>0</v>
      </c>
      <c r="E36" s="163">
        <f>+'Tuition-2Yr'!E36+'State Appropriations-2Yr'!E36+'Local Appropriations-2Yr'!E36+'Fed Contracts Grnts-2Yr'!E36+'Other Contracts Grnts-2Yr'!E36+'Investment Income-2Yr'!E36+'All Other E&amp;G-2Yr'!E36</f>
        <v>0</v>
      </c>
      <c r="F36" s="163">
        <f>+'Tuition-2Yr'!F36+'State Appropriations-2Yr'!F36+'Local Appropriations-2Yr'!F36+'Fed Contracts Grnts-2Yr'!F36+'Other Contracts Grnts-2Yr'!F36+'Investment Income-2Yr'!F36+'All Other E&amp;G-2Yr'!F36</f>
        <v>0</v>
      </c>
      <c r="G36" s="163">
        <f>+'Tuition-2Yr'!G36+'State Appropriations-2Yr'!G36+'Local Appropriations-2Yr'!G36+'Fed Contracts Grnts-2Yr'!G36+'Other Contracts Grnts-2Yr'!G36+'Investment Income-2Yr'!G36+'All Other E&amp;G-2Yr'!G36</f>
        <v>0</v>
      </c>
      <c r="H36" s="163">
        <f>+'Tuition-2Yr'!H36+'State Appropriations-2Yr'!H36+'Local Appropriations-2Yr'!H36+'Fed Contracts Grnts-2Yr'!H36+'Other Contracts Grnts-2Yr'!H36+'Investment Income-2Yr'!H36+'All Other E&amp;G-2Yr'!H36</f>
        <v>0</v>
      </c>
      <c r="I36" s="163">
        <f>+'Tuition-2Yr'!I36+'State Appropriations-2Yr'!I36+'Local Appropriations-2Yr'!I36+'Fed Contracts Grnts-2Yr'!I36+'Other Contracts Grnts-2Yr'!I36+'Investment Income-2Yr'!I36+'All Other E&amp;G-2Yr'!I36</f>
        <v>0</v>
      </c>
      <c r="J36" s="163">
        <f>+'Tuition-2Yr'!J36+'State Appropriations-2Yr'!J36+'Local Appropriations-2Yr'!J36+'Fed Contracts Grnts-2Yr'!J36+'Other Contracts Grnts-2Yr'!J36+'Investment Income-2Yr'!J36+'All Other E&amp;G-2Yr'!J36</f>
        <v>542550.07300000009</v>
      </c>
      <c r="K36" s="163">
        <f>+'Tuition-2Yr'!K36+'State Appropriations-2Yr'!K36+'Local Appropriations-2Yr'!K36+'Fed Contracts Grnts-2Yr'!K36+'Other Contracts Grnts-2Yr'!K36+'Investment Income-2Yr'!K36+'All Other E&amp;G-2Yr'!K36</f>
        <v>0</v>
      </c>
      <c r="L36" s="163">
        <f>+'Tuition-2Yr'!L36+'State Appropriations-2Yr'!L36+'Local Appropriations-2Yr'!L36+'Fed Contracts Grnts-2Yr'!L36+'Other Contracts Grnts-2Yr'!L36+'Investment Income-2Yr'!L36+'All Other E&amp;G-2Yr'!L36</f>
        <v>0</v>
      </c>
      <c r="M36" s="163">
        <f>+'Tuition-2Yr'!M36+'State Appropriations-2Yr'!M36+'Local Appropriations-2Yr'!M36+'Fed Contracts Grnts-2Yr'!M36+'Other Contracts Grnts-2Yr'!M36+'Investment Income-2Yr'!M36+'All Other E&amp;G-2Yr'!M36</f>
        <v>707260.005</v>
      </c>
      <c r="N36" s="163">
        <f>+'Tuition-2Yr'!N36+'State Appropriations-2Yr'!N36+'Local Appropriations-2Yr'!N36+'Fed Contracts Grnts-2Yr'!N36+'Other Contracts Grnts-2Yr'!N36+'Investment Income-2Yr'!N36+'All Other E&amp;G-2Yr'!N36</f>
        <v>0</v>
      </c>
      <c r="O36" s="163">
        <f>+'Tuition-2Yr'!O36+'State Appropriations-2Yr'!O36+'Local Appropriations-2Yr'!O36+'Fed Contracts Grnts-2Yr'!O36+'Other Contracts Grnts-2Yr'!O36+'Investment Income-2Yr'!O36+'All Other E&amp;G-2Yr'!O36</f>
        <v>824214.97023999982</v>
      </c>
      <c r="P36" s="163">
        <f>+'Tuition-2Yr'!P36+'State Appropriations-2Yr'!P36+'Local Appropriations-2Yr'!P36+'Fed Contracts Grnts-2Yr'!P36+'Other Contracts Grnts-2Yr'!P36+'Investment Income-2Yr'!P36+'All Other E&amp;G-2Yr'!P36</f>
        <v>0</v>
      </c>
      <c r="Q36" s="163">
        <f>+'Tuition-2Yr'!Q36+'State Appropriations-2Yr'!Q36+'Local Appropriations-2Yr'!Q36+'Fed Contracts Grnts-2Yr'!Q36+'Other Contracts Grnts-2Yr'!Q36+'Investment Income-2Yr'!Q36+'All Other E&amp;G-2Yr'!Q36</f>
        <v>0</v>
      </c>
      <c r="R36" s="163">
        <f>+'Tuition-2Yr'!R36+'State Appropriations-2Yr'!R36+'Local Appropriations-2Yr'!R36+'Fed Contracts Grnts-2Yr'!R36+'Other Contracts Grnts-2Yr'!R36+'Investment Income-2Yr'!R36+'All Other E&amp;G-2Yr'!R36</f>
        <v>987799.22399999993</v>
      </c>
      <c r="S36" s="163">
        <f>+'Tuition-2Yr'!S36+'State Appropriations-2Yr'!S36+'Local Appropriations-2Yr'!S36+'Fed Contracts Grnts-2Yr'!S36+'Other Contracts Grnts-2Yr'!S36+'Investment Income-2Yr'!S36+'All Other E&amp;G-2Yr'!S36</f>
        <v>1121257.5159999998</v>
      </c>
      <c r="T36" s="163">
        <f>+'Tuition-2Yr'!T36+'State Appropriations-2Yr'!T36+'Local Appropriations-2Yr'!T36+'Fed Contracts Grnts-2Yr'!T36+'Other Contracts Grnts-2Yr'!T36+'Investment Income-2Yr'!T36+'All Other E&amp;G-2Yr'!T36</f>
        <v>1145827.155</v>
      </c>
      <c r="U36" s="163">
        <f>+'Tuition-2Yr'!U36+'State Appropriations-2Yr'!U36+'Local Appropriations-2Yr'!U36+'Fed Contracts Grnts-2Yr'!U36+'Other Contracts Grnts-2Yr'!U36+'Investment Income-2Yr'!U36+'All Other E&amp;G-2Yr'!U36</f>
        <v>1256688.27</v>
      </c>
      <c r="V36" s="163">
        <f>+'Tuition-2Yr'!V36+'State Appropriations-2Yr'!V36+'Local Appropriations-2Yr'!V36+'Fed Contracts Grnts-2Yr'!V36+'Other Contracts Grnts-2Yr'!V36+'Investment Income-2Yr'!V36+'All Other E&amp;G-2Yr'!V36</f>
        <v>1283065.7959999999</v>
      </c>
      <c r="W36" s="163">
        <f>+'Tuition-2Yr'!W36+'State Appropriations-2Yr'!W36+'Local Appropriations-2Yr'!W36+'Fed Contracts Grnts-2Yr'!W36+'Other Contracts Grnts-2Yr'!W36+'Investment Income-2Yr'!W36+'All Other E&amp;G-2Yr'!W36</f>
        <v>1361059.4509999999</v>
      </c>
      <c r="X36" s="163">
        <f>+'Tuition-2Yr'!X36+'State Appropriations-2Yr'!X36+'Local Appropriations-2Yr'!X36+'Fed Contracts Grnts-2Yr'!X36+'Other Contracts Grnts-2Yr'!X36+'Investment Income-2Yr'!X36+'All Other E&amp;G-2Yr'!X36</f>
        <v>1345857.2660000001</v>
      </c>
      <c r="Y36" s="163">
        <f>+'Tuition-2Yr'!Y36+'State Appropriations-2Yr'!Y36+'Local Appropriations-2Yr'!Y36+'Fed Contracts Grnts-2Yr'!Y36+'Other Contracts Grnts-2Yr'!Y36+'Investment Income-2Yr'!Y36+'All Other E&amp;G-2Yr'!Y36</f>
        <v>1186323.727</v>
      </c>
      <c r="Z36" s="163">
        <f>+'Tuition-2Yr'!Z36+'State Appropriations-2Yr'!Z36+'Local Appropriations-2Yr'!Z36+'Fed Contracts Grnts-2Yr'!Z36+'Other Contracts Grnts-2Yr'!Z36+'Investment Income-2Yr'!Z36+'All Other E&amp;G-2Yr'!Z36</f>
        <v>1313285.503</v>
      </c>
      <c r="AA36" s="163">
        <f>+'Tuition-2Yr'!AA36+'State Appropriations-2Yr'!AA36+'Local Appropriations-2Yr'!AA36+'Fed Contracts Grnts-2Yr'!AA36+'Other Contracts Grnts-2Yr'!AA36+'Investment Income-2Yr'!AA36+'All Other E&amp;G-2Yr'!AA36</f>
        <v>1749809.8649999998</v>
      </c>
      <c r="AB36" s="163">
        <f>+'Tuition-2Yr'!AB36+'State Appropriations-2Yr'!AB36+'Local Appropriations-2Yr'!AB36+'Fed Contracts Grnts-2Yr'!AB36+'Other Contracts Grnts-2Yr'!AB36+'Investment Income-2Yr'!AB36+'All Other E&amp;G-2Yr'!AB36</f>
        <v>1922199.1719999998</v>
      </c>
      <c r="AC36" s="163">
        <f>+'Tuition-2Yr'!AC36+'State Appropriations-2Yr'!AC36+'Local Appropriations-2Yr'!AC36+'Fed Contracts Grnts-2Yr'!AC36+'Other Contracts Grnts-2Yr'!AC36+'Investment Income-2Yr'!AC36+'All Other E&amp;G-2Yr'!AC36</f>
        <v>2024008</v>
      </c>
      <c r="AD36" s="163">
        <f>+'Tuition-2Yr'!AD36+'State Appropriations-2Yr'!AD36+'Local Appropriations-2Yr'!AD36+'Fed Contracts Grnts-2Yr'!AD36+'Other Contracts Grnts-2Yr'!AD36+'Investment Income-2Yr'!AD36+'All Other E&amp;G-2Yr'!AD36</f>
        <v>2019406.6910000001</v>
      </c>
      <c r="AE36" s="163">
        <f>+'Tuition-2Yr'!AE36+'State Appropriations-2Yr'!AE36+'Local Appropriations-2Yr'!AE36+'Fed Contracts Grnts-2Yr'!AE36+'Other Contracts Grnts-2Yr'!AE36+'Investment Income-2Yr'!AE36+'All Other E&amp;G-2Yr'!AE36</f>
        <v>2060809.5460000001</v>
      </c>
      <c r="AF36" s="163">
        <f>+'Tuition-2Yr'!AF36+'State Appropriations-2Yr'!AF36+'Local Appropriations-2Yr'!AF36+'Fed Contracts Grnts-2Yr'!AF36+'Other Contracts Grnts-2Yr'!AF36+'Investment Income-2Yr'!AF36+'All Other E&amp;G-2Yr'!AF36</f>
        <v>1596234.1469999999</v>
      </c>
      <c r="AG36" s="163">
        <f>+'Tuition-2Yr'!AG36+'State Appropriations-2Yr'!AG36+'Local Appropriations-2Yr'!AG36+'Fed Contracts Grnts-2Yr'!AG36+'Other Contracts Grnts-2Yr'!AG36+'Investment Income-2Yr'!AG36+'All Other E&amp;G-2Yr'!AG36</f>
        <v>1567664.9430000002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c r="HC36" s="20"/>
      <c r="HD36" s="20"/>
      <c r="HE36" s="20"/>
      <c r="HF36" s="20"/>
    </row>
    <row r="37" spans="1:214" s="65" customFormat="1" ht="12.75" customHeight="1">
      <c r="A37" s="94" t="s">
        <v>141</v>
      </c>
      <c r="B37" s="164">
        <f>+'Tuition-2Yr'!B37+'State Appropriations-2Yr'!B37+'Local Appropriations-2Yr'!B37+'Fed Contracts Grnts-2Yr'!B37+'Other Contracts Grnts-2Yr'!B37+'Investment Income-2Yr'!B37+'All Other E&amp;G-2Yr'!B37</f>
        <v>0</v>
      </c>
      <c r="C37" s="164">
        <f>+'Tuition-2Yr'!C37+'State Appropriations-2Yr'!C37+'Local Appropriations-2Yr'!C37+'Fed Contracts Grnts-2Yr'!C37+'Other Contracts Grnts-2Yr'!C37+'Investment Income-2Yr'!C37+'All Other E&amp;G-2Yr'!C37</f>
        <v>0</v>
      </c>
      <c r="D37" s="164">
        <f>+'Tuition-2Yr'!D37+'State Appropriations-2Yr'!D37+'Local Appropriations-2Yr'!D37+'Fed Contracts Grnts-2Yr'!D37+'Other Contracts Grnts-2Yr'!D37+'Investment Income-2Yr'!D37+'All Other E&amp;G-2Yr'!D37</f>
        <v>0</v>
      </c>
      <c r="E37" s="164">
        <f>+'Tuition-2Yr'!E37+'State Appropriations-2Yr'!E37+'Local Appropriations-2Yr'!E37+'Fed Contracts Grnts-2Yr'!E37+'Other Contracts Grnts-2Yr'!E37+'Investment Income-2Yr'!E37+'All Other E&amp;G-2Yr'!E37</f>
        <v>0</v>
      </c>
      <c r="F37" s="164">
        <f>+'Tuition-2Yr'!F37+'State Appropriations-2Yr'!F37+'Local Appropriations-2Yr'!F37+'Fed Contracts Grnts-2Yr'!F37+'Other Contracts Grnts-2Yr'!F37+'Investment Income-2Yr'!F37+'All Other E&amp;G-2Yr'!F37</f>
        <v>0</v>
      </c>
      <c r="G37" s="164">
        <f>+'Tuition-2Yr'!G37+'State Appropriations-2Yr'!G37+'Local Appropriations-2Yr'!G37+'Fed Contracts Grnts-2Yr'!G37+'Other Contracts Grnts-2Yr'!G37+'Investment Income-2Yr'!G37+'All Other E&amp;G-2Yr'!G37</f>
        <v>0</v>
      </c>
      <c r="H37" s="164">
        <f>+'Tuition-2Yr'!H37+'State Appropriations-2Yr'!H37+'Local Appropriations-2Yr'!H37+'Fed Contracts Grnts-2Yr'!H37+'Other Contracts Grnts-2Yr'!H37+'Investment Income-2Yr'!H37+'All Other E&amp;G-2Yr'!H37</f>
        <v>0</v>
      </c>
      <c r="I37" s="164">
        <f>+'Tuition-2Yr'!I37+'State Appropriations-2Yr'!I37+'Local Appropriations-2Yr'!I37+'Fed Contracts Grnts-2Yr'!I37+'Other Contracts Grnts-2Yr'!I37+'Investment Income-2Yr'!I37+'All Other E&amp;G-2Yr'!I37</f>
        <v>0</v>
      </c>
      <c r="J37" s="164">
        <f>+'Tuition-2Yr'!J37+'State Appropriations-2Yr'!J37+'Local Appropriations-2Yr'!J37+'Fed Contracts Grnts-2Yr'!J37+'Other Contracts Grnts-2Yr'!J37+'Investment Income-2Yr'!J37+'All Other E&amp;G-2Yr'!J37</f>
        <v>83485.356</v>
      </c>
      <c r="K37" s="164">
        <f>+'Tuition-2Yr'!K37+'State Appropriations-2Yr'!K37+'Local Appropriations-2Yr'!K37+'Fed Contracts Grnts-2Yr'!K37+'Other Contracts Grnts-2Yr'!K37+'Investment Income-2Yr'!K37+'All Other E&amp;G-2Yr'!K37</f>
        <v>0</v>
      </c>
      <c r="L37" s="164">
        <f>+'Tuition-2Yr'!L37+'State Appropriations-2Yr'!L37+'Local Appropriations-2Yr'!L37+'Fed Contracts Grnts-2Yr'!L37+'Other Contracts Grnts-2Yr'!L37+'Investment Income-2Yr'!L37+'All Other E&amp;G-2Yr'!L37</f>
        <v>0</v>
      </c>
      <c r="M37" s="164">
        <f>+'Tuition-2Yr'!M37+'State Appropriations-2Yr'!M37+'Local Appropriations-2Yr'!M37+'Fed Contracts Grnts-2Yr'!M37+'Other Contracts Grnts-2Yr'!M37+'Investment Income-2Yr'!M37+'All Other E&amp;G-2Yr'!M37</f>
        <v>85663.256999999998</v>
      </c>
      <c r="N37" s="164">
        <f>+'Tuition-2Yr'!N37+'State Appropriations-2Yr'!N37+'Local Appropriations-2Yr'!N37+'Fed Contracts Grnts-2Yr'!N37+'Other Contracts Grnts-2Yr'!N37+'Investment Income-2Yr'!N37+'All Other E&amp;G-2Yr'!N37</f>
        <v>0</v>
      </c>
      <c r="O37" s="164">
        <f>+'Tuition-2Yr'!O37+'State Appropriations-2Yr'!O37+'Local Appropriations-2Yr'!O37+'Fed Contracts Grnts-2Yr'!O37+'Other Contracts Grnts-2Yr'!O37+'Investment Income-2Yr'!O37+'All Other E&amp;G-2Yr'!O37</f>
        <v>88976.863999999987</v>
      </c>
      <c r="P37" s="164">
        <f>+'Tuition-2Yr'!P37+'State Appropriations-2Yr'!P37+'Local Appropriations-2Yr'!P37+'Fed Contracts Grnts-2Yr'!P37+'Other Contracts Grnts-2Yr'!P37+'Investment Income-2Yr'!P37+'All Other E&amp;G-2Yr'!P37</f>
        <v>0</v>
      </c>
      <c r="Q37" s="164">
        <f>+'Tuition-2Yr'!Q37+'State Appropriations-2Yr'!Q37+'Local Appropriations-2Yr'!Q37+'Fed Contracts Grnts-2Yr'!Q37+'Other Contracts Grnts-2Yr'!Q37+'Investment Income-2Yr'!Q37+'All Other E&amp;G-2Yr'!Q37</f>
        <v>0</v>
      </c>
      <c r="R37" s="164">
        <f>+'Tuition-2Yr'!R37+'State Appropriations-2Yr'!R37+'Local Appropriations-2Yr'!R37+'Fed Contracts Grnts-2Yr'!R37+'Other Contracts Grnts-2Yr'!R37+'Investment Income-2Yr'!R37+'All Other E&amp;G-2Yr'!R37</f>
        <v>100526.51499999998</v>
      </c>
      <c r="S37" s="164">
        <f>+'Tuition-2Yr'!S37+'State Appropriations-2Yr'!S37+'Local Appropriations-2Yr'!S37+'Fed Contracts Grnts-2Yr'!S37+'Other Contracts Grnts-2Yr'!S37+'Investment Income-2Yr'!S37+'All Other E&amp;G-2Yr'!S37</f>
        <v>110580.03600000002</v>
      </c>
      <c r="T37" s="164">
        <f>+'Tuition-2Yr'!T37+'State Appropriations-2Yr'!T37+'Local Appropriations-2Yr'!T37+'Fed Contracts Grnts-2Yr'!T37+'Other Contracts Grnts-2Yr'!T37+'Investment Income-2Yr'!T37+'All Other E&amp;G-2Yr'!T37</f>
        <v>126114.292</v>
      </c>
      <c r="U37" s="164">
        <f>+'Tuition-2Yr'!U37+'State Appropriations-2Yr'!U37+'Local Appropriations-2Yr'!U37+'Fed Contracts Grnts-2Yr'!U37+'Other Contracts Grnts-2Yr'!U37+'Investment Income-2Yr'!U37+'All Other E&amp;G-2Yr'!U37</f>
        <v>135092.93</v>
      </c>
      <c r="V37" s="164">
        <f>+'Tuition-2Yr'!V37+'State Appropriations-2Yr'!V37+'Local Appropriations-2Yr'!V37+'Fed Contracts Grnts-2Yr'!V37+'Other Contracts Grnts-2Yr'!V37+'Investment Income-2Yr'!V37+'All Other E&amp;G-2Yr'!V37</f>
        <v>136413.98699999999</v>
      </c>
      <c r="W37" s="164">
        <f>+'Tuition-2Yr'!W37+'State Appropriations-2Yr'!W37+'Local Appropriations-2Yr'!W37+'Fed Contracts Grnts-2Yr'!W37+'Other Contracts Grnts-2Yr'!W37+'Investment Income-2Yr'!W37+'All Other E&amp;G-2Yr'!W37</f>
        <v>164598.41200000001</v>
      </c>
      <c r="X37" s="164">
        <f>+'Tuition-2Yr'!X37+'State Appropriations-2Yr'!X37+'Local Appropriations-2Yr'!X37+'Fed Contracts Grnts-2Yr'!X37+'Other Contracts Grnts-2Yr'!X37+'Investment Income-2Yr'!X37+'All Other E&amp;G-2Yr'!X37</f>
        <v>168283.74100000001</v>
      </c>
      <c r="Y37" s="164">
        <f>+'Tuition-2Yr'!Y37+'State Appropriations-2Yr'!Y37+'Local Appropriations-2Yr'!Y37+'Fed Contracts Grnts-2Yr'!Y37+'Other Contracts Grnts-2Yr'!Y37+'Investment Income-2Yr'!Y37+'All Other E&amp;G-2Yr'!Y37</f>
        <v>193662.872</v>
      </c>
      <c r="Z37" s="164">
        <f>+'Tuition-2Yr'!Z37+'State Appropriations-2Yr'!Z37+'Local Appropriations-2Yr'!Z37+'Fed Contracts Grnts-2Yr'!Z37+'Other Contracts Grnts-2Yr'!Z37+'Investment Income-2Yr'!Z37+'All Other E&amp;G-2Yr'!Z37</f>
        <v>218363.28399999999</v>
      </c>
      <c r="AA37" s="164">
        <f>+'Tuition-2Yr'!AA37+'State Appropriations-2Yr'!AA37+'Local Appropriations-2Yr'!AA37+'Fed Contracts Grnts-2Yr'!AA37+'Other Contracts Grnts-2Yr'!AA37+'Investment Income-2Yr'!AA37+'All Other E&amp;G-2Yr'!AA37</f>
        <v>225569.72400000002</v>
      </c>
      <c r="AB37" s="164">
        <f>+'Tuition-2Yr'!AB37+'State Appropriations-2Yr'!AB37+'Local Appropriations-2Yr'!AB37+'Fed Contracts Grnts-2Yr'!AB37+'Other Contracts Grnts-2Yr'!AB37+'Investment Income-2Yr'!AB37+'All Other E&amp;G-2Yr'!AB37</f>
        <v>247118.20300000001</v>
      </c>
      <c r="AC37" s="164">
        <f>+'Tuition-2Yr'!AC37+'State Appropriations-2Yr'!AC37+'Local Appropriations-2Yr'!AC37+'Fed Contracts Grnts-2Yr'!AC37+'Other Contracts Grnts-2Yr'!AC37+'Investment Income-2Yr'!AC37+'All Other E&amp;G-2Yr'!AC37</f>
        <v>284820</v>
      </c>
      <c r="AD37" s="164">
        <f>+'Tuition-2Yr'!AD37+'State Appropriations-2Yr'!AD37+'Local Appropriations-2Yr'!AD37+'Fed Contracts Grnts-2Yr'!AD37+'Other Contracts Grnts-2Yr'!AD37+'Investment Income-2Yr'!AD37+'All Other E&amp;G-2Yr'!AD37</f>
        <v>281802.40299999993</v>
      </c>
      <c r="AE37" s="164">
        <f>+'Tuition-2Yr'!AE37+'State Appropriations-2Yr'!AE37+'Local Appropriations-2Yr'!AE37+'Fed Contracts Grnts-2Yr'!AE37+'Other Contracts Grnts-2Yr'!AE37+'Investment Income-2Yr'!AE37+'All Other E&amp;G-2Yr'!AE37</f>
        <v>301974.47000000003</v>
      </c>
      <c r="AF37" s="164">
        <f>+'Tuition-2Yr'!AF37+'State Appropriations-2Yr'!AF37+'Local Appropriations-2Yr'!AF37+'Fed Contracts Grnts-2Yr'!AF37+'Other Contracts Grnts-2Yr'!AF37+'Investment Income-2Yr'!AF37+'All Other E&amp;G-2Yr'!AF37</f>
        <v>288643.33400000003</v>
      </c>
      <c r="AG37" s="164">
        <f>+'Tuition-2Yr'!AG37+'State Appropriations-2Yr'!AG37+'Local Appropriations-2Yr'!AG37+'Fed Contracts Grnts-2Yr'!AG37+'Other Contracts Grnts-2Yr'!AG37+'Investment Income-2Yr'!AG37+'All Other E&amp;G-2Yr'!AG37</f>
        <v>305184.58600000001</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c r="HC37" s="20"/>
      <c r="HD37" s="20"/>
      <c r="HE37" s="20"/>
      <c r="HF37" s="20"/>
    </row>
    <row r="38" spans="1:214" s="65" customFormat="1" ht="12.75" customHeight="1">
      <c r="A38" s="84" t="s">
        <v>145</v>
      </c>
      <c r="B38" s="161">
        <f>+'Tuition-2Yr'!B38+'State Appropriations-2Yr'!B38+'Local Appropriations-2Yr'!B38+'Fed Contracts Grnts-2Yr'!B38+'Other Contracts Grnts-2Yr'!B38+'Investment Income-2Yr'!B38+'All Other E&amp;G-2Yr'!B38</f>
        <v>0</v>
      </c>
      <c r="C38" s="161">
        <f>+'Tuition-2Yr'!C38+'State Appropriations-2Yr'!C38+'Local Appropriations-2Yr'!C38+'Fed Contracts Grnts-2Yr'!C38+'Other Contracts Grnts-2Yr'!C38+'Investment Income-2Yr'!C38+'All Other E&amp;G-2Yr'!C38</f>
        <v>0</v>
      </c>
      <c r="D38" s="161">
        <f>+'Tuition-2Yr'!D38+'State Appropriations-2Yr'!D38+'Local Appropriations-2Yr'!D38+'Fed Contracts Grnts-2Yr'!D38+'Other Contracts Grnts-2Yr'!D38+'Investment Income-2Yr'!D38+'All Other E&amp;G-2Yr'!D38</f>
        <v>0</v>
      </c>
      <c r="E38" s="161">
        <f>+'Tuition-2Yr'!E38+'State Appropriations-2Yr'!E38+'Local Appropriations-2Yr'!E38+'Fed Contracts Grnts-2Yr'!E38+'Other Contracts Grnts-2Yr'!E38+'Investment Income-2Yr'!E38+'All Other E&amp;G-2Yr'!E38</f>
        <v>0</v>
      </c>
      <c r="F38" s="161">
        <f>+'Tuition-2Yr'!F38+'State Appropriations-2Yr'!F38+'Local Appropriations-2Yr'!F38+'Fed Contracts Grnts-2Yr'!F38+'Other Contracts Grnts-2Yr'!F38+'Investment Income-2Yr'!F38+'All Other E&amp;G-2Yr'!F38</f>
        <v>0</v>
      </c>
      <c r="G38" s="161">
        <f>+'Tuition-2Yr'!G38+'State Appropriations-2Yr'!G38+'Local Appropriations-2Yr'!G38+'Fed Contracts Grnts-2Yr'!G38+'Other Contracts Grnts-2Yr'!G38+'Investment Income-2Yr'!G38+'All Other E&amp;G-2Yr'!G38</f>
        <v>0</v>
      </c>
      <c r="H38" s="161">
        <f>+'Tuition-2Yr'!H38+'State Appropriations-2Yr'!H38+'Local Appropriations-2Yr'!H38+'Fed Contracts Grnts-2Yr'!H38+'Other Contracts Grnts-2Yr'!H38+'Investment Income-2Yr'!H38+'All Other E&amp;G-2Yr'!H38</f>
        <v>0</v>
      </c>
      <c r="I38" s="161">
        <f>+'Tuition-2Yr'!I38+'State Appropriations-2Yr'!I38+'Local Appropriations-2Yr'!I38+'Fed Contracts Grnts-2Yr'!I38+'Other Contracts Grnts-2Yr'!I38+'Investment Income-2Yr'!I38+'All Other E&amp;G-2Yr'!I38</f>
        <v>0</v>
      </c>
      <c r="J38" s="161">
        <f>+'Tuition-2Yr'!J38+'State Appropriations-2Yr'!J38+'Local Appropriations-2Yr'!J38+'Fed Contracts Grnts-2Yr'!J38+'Other Contracts Grnts-2Yr'!J38+'Investment Income-2Yr'!J38+'All Other E&amp;G-2Yr'!J38</f>
        <v>4277897.7719999999</v>
      </c>
      <c r="K38" s="161">
        <f>+'Tuition-2Yr'!K38+'State Appropriations-2Yr'!K38+'Local Appropriations-2Yr'!K38+'Fed Contracts Grnts-2Yr'!K38+'Other Contracts Grnts-2Yr'!K38+'Investment Income-2Yr'!K38+'All Other E&amp;G-2Yr'!K38</f>
        <v>0</v>
      </c>
      <c r="L38" s="161">
        <f>+'Tuition-2Yr'!L38+'State Appropriations-2Yr'!L38+'Local Appropriations-2Yr'!L38+'Fed Contracts Grnts-2Yr'!L38+'Other Contracts Grnts-2Yr'!L38+'Investment Income-2Yr'!L38+'All Other E&amp;G-2Yr'!L38</f>
        <v>0</v>
      </c>
      <c r="M38" s="161">
        <f>+'Tuition-2Yr'!M38+'State Appropriations-2Yr'!M38+'Local Appropriations-2Yr'!M38+'Fed Contracts Grnts-2Yr'!M38+'Other Contracts Grnts-2Yr'!M38+'Investment Income-2Yr'!M38+'All Other E&amp;G-2Yr'!M38</f>
        <v>4945098.8990000002</v>
      </c>
      <c r="N38" s="161">
        <f>+'Tuition-2Yr'!N38+'State Appropriations-2Yr'!N38+'Local Appropriations-2Yr'!N38+'Fed Contracts Grnts-2Yr'!N38+'Other Contracts Grnts-2Yr'!N38+'Investment Income-2Yr'!N38+'All Other E&amp;G-2Yr'!N38</f>
        <v>0</v>
      </c>
      <c r="O38" s="161">
        <f>+'Tuition-2Yr'!O38+'State Appropriations-2Yr'!O38+'Local Appropriations-2Yr'!O38+'Fed Contracts Grnts-2Yr'!O38+'Other Contracts Grnts-2Yr'!O38+'Investment Income-2Yr'!O38+'All Other E&amp;G-2Yr'!O38</f>
        <v>5698221.0831000004</v>
      </c>
      <c r="P38" s="161">
        <f>+'Tuition-2Yr'!P38+'State Appropriations-2Yr'!P38+'Local Appropriations-2Yr'!P38+'Fed Contracts Grnts-2Yr'!P38+'Other Contracts Grnts-2Yr'!P38+'Investment Income-2Yr'!P38+'All Other E&amp;G-2Yr'!P38</f>
        <v>0</v>
      </c>
      <c r="Q38" s="161">
        <f>+'Tuition-2Yr'!Q38+'State Appropriations-2Yr'!Q38+'Local Appropriations-2Yr'!Q38+'Fed Contracts Grnts-2Yr'!Q38+'Other Contracts Grnts-2Yr'!Q38+'Investment Income-2Yr'!Q38+'All Other E&amp;G-2Yr'!Q38</f>
        <v>0</v>
      </c>
      <c r="R38" s="161">
        <f>+'Tuition-2Yr'!R38+'State Appropriations-2Yr'!R38+'Local Appropriations-2Yr'!R38+'Fed Contracts Grnts-2Yr'!R38+'Other Contracts Grnts-2Yr'!R38+'Investment Income-2Yr'!R38+'All Other E&amp;G-2Yr'!R38</f>
        <v>6490958.0759999994</v>
      </c>
      <c r="S38" s="161">
        <f>+'Tuition-2Yr'!S38+'State Appropriations-2Yr'!S38+'Local Appropriations-2Yr'!S38+'Fed Contracts Grnts-2Yr'!S38+'Other Contracts Grnts-2Yr'!S38+'Investment Income-2Yr'!S38+'All Other E&amp;G-2Yr'!S38</f>
        <v>7081338.2239999995</v>
      </c>
      <c r="T38" s="161">
        <f>+'Tuition-2Yr'!T38+'State Appropriations-2Yr'!T38+'Local Appropriations-2Yr'!T38+'Fed Contracts Grnts-2Yr'!T38+'Other Contracts Grnts-2Yr'!T38+'Investment Income-2Yr'!T38+'All Other E&amp;G-2Yr'!T38</f>
        <v>7468478.432</v>
      </c>
      <c r="U38" s="161">
        <f>+'Tuition-2Yr'!U38+'State Appropriations-2Yr'!U38+'Local Appropriations-2Yr'!U38+'Fed Contracts Grnts-2Yr'!U38+'Other Contracts Grnts-2Yr'!U38+'Investment Income-2Yr'!U38+'All Other E&amp;G-2Yr'!U38</f>
        <v>7649127.7549999999</v>
      </c>
      <c r="V38" s="161">
        <f>+'Tuition-2Yr'!V38+'State Appropriations-2Yr'!V38+'Local Appropriations-2Yr'!V38+'Fed Contracts Grnts-2Yr'!V38+'Other Contracts Grnts-2Yr'!V38+'Investment Income-2Yr'!V38+'All Other E&amp;G-2Yr'!V38</f>
        <v>8110951.216</v>
      </c>
      <c r="W38" s="161">
        <f>+'Tuition-2Yr'!W38+'State Appropriations-2Yr'!W38+'Local Appropriations-2Yr'!W38+'Fed Contracts Grnts-2Yr'!W38+'Other Contracts Grnts-2Yr'!W38+'Investment Income-2Yr'!W38+'All Other E&amp;G-2Yr'!W38</f>
        <v>8830509.7199999988</v>
      </c>
      <c r="X38" s="161">
        <f>+'Tuition-2Yr'!X38+'State Appropriations-2Yr'!X38+'Local Appropriations-2Yr'!X38+'Fed Contracts Grnts-2Yr'!X38+'Other Contracts Grnts-2Yr'!X38+'Investment Income-2Yr'!X38+'All Other E&amp;G-2Yr'!X38</f>
        <v>8681843.8529999983</v>
      </c>
      <c r="Y38" s="161">
        <f>+'Tuition-2Yr'!Y38+'State Appropriations-2Yr'!Y38+'Local Appropriations-2Yr'!Y38+'Fed Contracts Grnts-2Yr'!Y38+'Other Contracts Grnts-2Yr'!Y38+'Investment Income-2Yr'!Y38+'All Other E&amp;G-2Yr'!Y38</f>
        <v>9021578.6030000001</v>
      </c>
      <c r="Z38" s="161">
        <f>+'Tuition-2Yr'!Z38+'State Appropriations-2Yr'!Z38+'Local Appropriations-2Yr'!Z38+'Fed Contracts Grnts-2Yr'!Z38+'Other Contracts Grnts-2Yr'!Z38+'Investment Income-2Yr'!Z38+'All Other E&amp;G-2Yr'!Z38</f>
        <v>9662040.2459999993</v>
      </c>
      <c r="AA38" s="161">
        <f>+'Tuition-2Yr'!AA38+'State Appropriations-2Yr'!AA38+'Local Appropriations-2Yr'!AA38+'Fed Contracts Grnts-2Yr'!AA38+'Other Contracts Grnts-2Yr'!AA38+'Investment Income-2Yr'!AA38+'All Other E&amp;G-2Yr'!AA38</f>
        <v>11388555.367000002</v>
      </c>
      <c r="AB38" s="161">
        <f>+'Tuition-2Yr'!AB38+'State Appropriations-2Yr'!AB38+'Local Appropriations-2Yr'!AB38+'Fed Contracts Grnts-2Yr'!AB38+'Other Contracts Grnts-2Yr'!AB38+'Investment Income-2Yr'!AB38+'All Other E&amp;G-2Yr'!AB38</f>
        <v>13046469.184999999</v>
      </c>
      <c r="AC38" s="161">
        <f>+'Tuition-2Yr'!AC38+'State Appropriations-2Yr'!AC38+'Local Appropriations-2Yr'!AC38+'Fed Contracts Grnts-2Yr'!AC38+'Other Contracts Grnts-2Yr'!AC38+'Investment Income-2Yr'!AC38+'All Other E&amp;G-2Yr'!AC38</f>
        <v>14190615</v>
      </c>
      <c r="AD38" s="161">
        <f>+'Tuition-2Yr'!AD38+'State Appropriations-2Yr'!AD38+'Local Appropriations-2Yr'!AD38+'Fed Contracts Grnts-2Yr'!AD38+'Other Contracts Grnts-2Yr'!AD38+'Investment Income-2Yr'!AD38+'All Other E&amp;G-2Yr'!AD38</f>
        <v>14031970.949999999</v>
      </c>
      <c r="AE38" s="161">
        <f>+'Tuition-2Yr'!AE38+'State Appropriations-2Yr'!AE38+'Local Appropriations-2Yr'!AE38+'Fed Contracts Grnts-2Yr'!AE38+'Other Contracts Grnts-2Yr'!AE38+'Investment Income-2Yr'!AE38+'All Other E&amp;G-2Yr'!AE38</f>
        <v>14189175.115</v>
      </c>
      <c r="AF38" s="161">
        <f>+'Tuition-2Yr'!AF38+'State Appropriations-2Yr'!AF38+'Local Appropriations-2Yr'!AF38+'Fed Contracts Grnts-2Yr'!AF38+'Other Contracts Grnts-2Yr'!AF38+'Investment Income-2Yr'!AF38+'All Other E&amp;G-2Yr'!AF38</f>
        <v>10899282.459000001</v>
      </c>
      <c r="AG38" s="161">
        <f>+'Tuition-2Yr'!AG38+'State Appropriations-2Yr'!AG38+'Local Appropriations-2Yr'!AG38+'Fed Contracts Grnts-2Yr'!AG38+'Other Contracts Grnts-2Yr'!AG38+'Investment Income-2Yr'!AG38+'All Other E&amp;G-2Yr'!AG38</f>
        <v>10926796.585999999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c r="HC38" s="20"/>
      <c r="HD38" s="20"/>
      <c r="HE38" s="20"/>
      <c r="HF38" s="20"/>
    </row>
    <row r="39" spans="1:214" s="65" customFormat="1" ht="12.75" customHeight="1">
      <c r="A39" s="84" t="s">
        <v>143</v>
      </c>
      <c r="B39" s="161">
        <f>+'Tuition-2Yr'!B39+'State Appropriations-2Yr'!B39+'Local Appropriations-2Yr'!B39+'Fed Contracts Grnts-2Yr'!B39+'Other Contracts Grnts-2Yr'!B39+'Investment Income-2Yr'!B39+'All Other E&amp;G-2Yr'!B39</f>
        <v>0</v>
      </c>
      <c r="C39" s="161">
        <f>+'Tuition-2Yr'!C39+'State Appropriations-2Yr'!C39+'Local Appropriations-2Yr'!C39+'Fed Contracts Grnts-2Yr'!C39+'Other Contracts Grnts-2Yr'!C39+'Investment Income-2Yr'!C39+'All Other E&amp;G-2Yr'!C39</f>
        <v>0</v>
      </c>
      <c r="D39" s="161">
        <f>+'Tuition-2Yr'!D39+'State Appropriations-2Yr'!D39+'Local Appropriations-2Yr'!D39+'Fed Contracts Grnts-2Yr'!D39+'Other Contracts Grnts-2Yr'!D39+'Investment Income-2Yr'!D39+'All Other E&amp;G-2Yr'!D39</f>
        <v>0</v>
      </c>
      <c r="E39" s="161">
        <f>+'Tuition-2Yr'!E39+'State Appropriations-2Yr'!E39+'Local Appropriations-2Yr'!E39+'Fed Contracts Grnts-2Yr'!E39+'Other Contracts Grnts-2Yr'!E39+'Investment Income-2Yr'!E39+'All Other E&amp;G-2Yr'!E39</f>
        <v>0</v>
      </c>
      <c r="F39" s="161">
        <f>+'Tuition-2Yr'!F39+'State Appropriations-2Yr'!F39+'Local Appropriations-2Yr'!F39+'Fed Contracts Grnts-2Yr'!F39+'Other Contracts Grnts-2Yr'!F39+'Investment Income-2Yr'!F39+'All Other E&amp;G-2Yr'!F39</f>
        <v>0</v>
      </c>
      <c r="G39" s="161">
        <f>+'Tuition-2Yr'!G39+'State Appropriations-2Yr'!G39+'Local Appropriations-2Yr'!G39+'Fed Contracts Grnts-2Yr'!G39+'Other Contracts Grnts-2Yr'!G39+'Investment Income-2Yr'!G39+'All Other E&amp;G-2Yr'!G39</f>
        <v>0</v>
      </c>
      <c r="H39" s="161">
        <f>+'Tuition-2Yr'!H39+'State Appropriations-2Yr'!H39+'Local Appropriations-2Yr'!H39+'Fed Contracts Grnts-2Yr'!H39+'Other Contracts Grnts-2Yr'!H39+'Investment Income-2Yr'!H39+'All Other E&amp;G-2Yr'!H39</f>
        <v>0</v>
      </c>
      <c r="I39" s="161">
        <f>+'Tuition-2Yr'!I39+'State Appropriations-2Yr'!I39+'Local Appropriations-2Yr'!I39+'Fed Contracts Grnts-2Yr'!I39+'Other Contracts Grnts-2Yr'!I39+'Investment Income-2Yr'!I39+'All Other E&amp;G-2Yr'!I39</f>
        <v>0</v>
      </c>
      <c r="J39" s="161">
        <f>+'Tuition-2Yr'!J39+'State Appropriations-2Yr'!J39+'Local Appropriations-2Yr'!J39+'Fed Contracts Grnts-2Yr'!J39+'Other Contracts Grnts-2Yr'!J39+'Investment Income-2Yr'!J39+'All Other E&amp;G-2Yr'!J39</f>
        <v>0</v>
      </c>
      <c r="K39" s="161">
        <f>+'Tuition-2Yr'!K39+'State Appropriations-2Yr'!K39+'Local Appropriations-2Yr'!K39+'Fed Contracts Grnts-2Yr'!K39+'Other Contracts Grnts-2Yr'!K39+'Investment Income-2Yr'!K39+'All Other E&amp;G-2Yr'!K39</f>
        <v>0</v>
      </c>
      <c r="L39" s="161">
        <f>+'Tuition-2Yr'!L39+'State Appropriations-2Yr'!L39+'Local Appropriations-2Yr'!L39+'Fed Contracts Grnts-2Yr'!L39+'Other Contracts Grnts-2Yr'!L39+'Investment Income-2Yr'!L39+'All Other E&amp;G-2Yr'!L39</f>
        <v>0</v>
      </c>
      <c r="M39" s="161">
        <f>+'Tuition-2Yr'!M39+'State Appropriations-2Yr'!M39+'Local Appropriations-2Yr'!M39+'Fed Contracts Grnts-2Yr'!M39+'Other Contracts Grnts-2Yr'!M39+'Investment Income-2Yr'!M39+'All Other E&amp;G-2Yr'!M39</f>
        <v>0</v>
      </c>
      <c r="N39" s="161">
        <f>+'Tuition-2Yr'!N39+'State Appropriations-2Yr'!N39+'Local Appropriations-2Yr'!N39+'Fed Contracts Grnts-2Yr'!N39+'Other Contracts Grnts-2Yr'!N39+'Investment Income-2Yr'!N39+'All Other E&amp;G-2Yr'!N39</f>
        <v>0</v>
      </c>
      <c r="O39" s="161">
        <f>+'Tuition-2Yr'!O39+'State Appropriations-2Yr'!O39+'Local Appropriations-2Yr'!O39+'Fed Contracts Grnts-2Yr'!O39+'Other Contracts Grnts-2Yr'!O39+'Investment Income-2Yr'!O39+'All Other E&amp;G-2Yr'!O39</f>
        <v>0</v>
      </c>
      <c r="P39" s="161">
        <f>+'Tuition-2Yr'!P39+'State Appropriations-2Yr'!P39+'Local Appropriations-2Yr'!P39+'Fed Contracts Grnts-2Yr'!P39+'Other Contracts Grnts-2Yr'!P39+'Investment Income-2Yr'!P39+'All Other E&amp;G-2Yr'!P39</f>
        <v>0</v>
      </c>
      <c r="Q39" s="161">
        <f>+'Tuition-2Yr'!Q39+'State Appropriations-2Yr'!Q39+'Local Appropriations-2Yr'!Q39+'Fed Contracts Grnts-2Yr'!Q39+'Other Contracts Grnts-2Yr'!Q39+'Investment Income-2Yr'!Q39+'All Other E&amp;G-2Yr'!Q39</f>
        <v>0</v>
      </c>
      <c r="R39" s="161">
        <f>+'Tuition-2Yr'!R39+'State Appropriations-2Yr'!R39+'Local Appropriations-2Yr'!R39+'Fed Contracts Grnts-2Yr'!R39+'Other Contracts Grnts-2Yr'!R39+'Investment Income-2Yr'!R39+'All Other E&amp;G-2Yr'!R39</f>
        <v>0</v>
      </c>
      <c r="S39" s="161">
        <f>+'Tuition-2Yr'!S39+'State Appropriations-2Yr'!S39+'Local Appropriations-2Yr'!S39+'Fed Contracts Grnts-2Yr'!S39+'Other Contracts Grnts-2Yr'!S39+'Investment Income-2Yr'!S39+'All Other E&amp;G-2Yr'!S39</f>
        <v>0</v>
      </c>
      <c r="T39" s="161">
        <f>+'Tuition-2Yr'!T39+'State Appropriations-2Yr'!T39+'Local Appropriations-2Yr'!T39+'Fed Contracts Grnts-2Yr'!T39+'Other Contracts Grnts-2Yr'!T39+'Investment Income-2Yr'!T39+'All Other E&amp;G-2Yr'!T39</f>
        <v>0</v>
      </c>
      <c r="U39" s="161">
        <f>+'Tuition-2Yr'!U39+'State Appropriations-2Yr'!U39+'Local Appropriations-2Yr'!U39+'Fed Contracts Grnts-2Yr'!U39+'Other Contracts Grnts-2Yr'!U39+'Investment Income-2Yr'!U39+'All Other E&amp;G-2Yr'!U39</f>
        <v>0</v>
      </c>
      <c r="V39" s="161">
        <f>+'Tuition-2Yr'!V39+'State Appropriations-2Yr'!V39+'Local Appropriations-2Yr'!V39+'Fed Contracts Grnts-2Yr'!V39+'Other Contracts Grnts-2Yr'!V39+'Investment Income-2Yr'!V39+'All Other E&amp;G-2Yr'!V39</f>
        <v>0</v>
      </c>
      <c r="W39" s="161">
        <f>+'Tuition-2Yr'!W39+'State Appropriations-2Yr'!W39+'Local Appropriations-2Yr'!W39+'Fed Contracts Grnts-2Yr'!W39+'Other Contracts Grnts-2Yr'!W39+'Investment Income-2Yr'!W39+'All Other E&amp;G-2Yr'!W39</f>
        <v>0</v>
      </c>
      <c r="X39" s="161">
        <f>+'Tuition-2Yr'!X39+'State Appropriations-2Yr'!X39+'Local Appropriations-2Yr'!X39+'Fed Contracts Grnts-2Yr'!X39+'Other Contracts Grnts-2Yr'!X39+'Investment Income-2Yr'!X39+'All Other E&amp;G-2Yr'!X39</f>
        <v>0</v>
      </c>
      <c r="Y39" s="161">
        <f>+'Tuition-2Yr'!Y39+'State Appropriations-2Yr'!Y39+'Local Appropriations-2Yr'!Y39+'Fed Contracts Grnts-2Yr'!Y39+'Other Contracts Grnts-2Yr'!Y39+'Investment Income-2Yr'!Y39+'All Other E&amp;G-2Yr'!Y39</f>
        <v>0</v>
      </c>
      <c r="Z39" s="161">
        <f>+'Tuition-2Yr'!Z39+'State Appropriations-2Yr'!Z39+'Local Appropriations-2Yr'!Z39+'Fed Contracts Grnts-2Yr'!Z39+'Other Contracts Grnts-2Yr'!Z39+'Investment Income-2Yr'!Z39+'All Other E&amp;G-2Yr'!Z39</f>
        <v>0</v>
      </c>
      <c r="AA39" s="161">
        <f>+'Tuition-2Yr'!AA39+'State Appropriations-2Yr'!AA39+'Local Appropriations-2Yr'!AA39+'Fed Contracts Grnts-2Yr'!AA39+'Other Contracts Grnts-2Yr'!AA39+'Investment Income-2Yr'!AA39+'All Other E&amp;G-2Yr'!AA39</f>
        <v>0</v>
      </c>
      <c r="AB39" s="161">
        <f>+'Tuition-2Yr'!AB39+'State Appropriations-2Yr'!AB39+'Local Appropriations-2Yr'!AB39+'Fed Contracts Grnts-2Yr'!AB39+'Other Contracts Grnts-2Yr'!AB39+'Investment Income-2Yr'!AB39+'All Other E&amp;G-2Yr'!AB39</f>
        <v>0</v>
      </c>
      <c r="AC39" s="161">
        <f>+'Tuition-2Yr'!AC39+'State Appropriations-2Yr'!AC39+'Local Appropriations-2Yr'!AC39+'Fed Contracts Grnts-2Yr'!AC39+'Other Contracts Grnts-2Yr'!AC39+'Investment Income-2Yr'!AC39+'All Other E&amp;G-2Yr'!AC39</f>
        <v>0</v>
      </c>
      <c r="AD39" s="161">
        <f>+'Tuition-2Yr'!AD39+'State Appropriations-2Yr'!AD39+'Local Appropriations-2Yr'!AD39+'Fed Contracts Grnts-2Yr'!AD39+'Other Contracts Grnts-2Yr'!AD39+'Investment Income-2Yr'!AD39+'All Other E&amp;G-2Yr'!AD39</f>
        <v>0</v>
      </c>
      <c r="AE39" s="161">
        <f>+'Tuition-2Yr'!AE39+'State Appropriations-2Yr'!AE39+'Local Appropriations-2Yr'!AE39+'Fed Contracts Grnts-2Yr'!AE39+'Other Contracts Grnts-2Yr'!AE39+'Investment Income-2Yr'!AE39+'All Other E&amp;G-2Yr'!AE39</f>
        <v>0</v>
      </c>
      <c r="AF39" s="161">
        <f>+'Tuition-2Yr'!AF39+'State Appropriations-2Yr'!AF39+'Local Appropriations-2Yr'!AF39+'Fed Contracts Grnts-2Yr'!AF39+'Other Contracts Grnts-2Yr'!AF39+'Investment Income-2Yr'!AF39+'All Other E&amp;G-2Yr'!AF39</f>
        <v>0</v>
      </c>
      <c r="AG39" s="161">
        <f>+'Tuition-2Yr'!AG39+'State Appropriations-2Yr'!AG39+'Local Appropriations-2Yr'!AG39+'Fed Contracts Grnts-2Yr'!AG39+'Other Contracts Grnts-2Yr'!AG39+'Investment Income-2Yr'!AG39+'All Other E&amp;G-2Yr'!AG39</f>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c r="HC39" s="20"/>
      <c r="HD39" s="20"/>
      <c r="HE39" s="20"/>
      <c r="HF39" s="20"/>
    </row>
    <row r="40" spans="1:214" s="65" customFormat="1" ht="12.75" customHeight="1">
      <c r="A40" s="23" t="s">
        <v>117</v>
      </c>
      <c r="B40" s="163">
        <f>+'Tuition-2Yr'!B40+'State Appropriations-2Yr'!B40+'Local Appropriations-2Yr'!B40+'Fed Contracts Grnts-2Yr'!B40+'Other Contracts Grnts-2Yr'!B40+'Investment Income-2Yr'!B40+'All Other E&amp;G-2Yr'!B40</f>
        <v>0</v>
      </c>
      <c r="C40" s="163">
        <f>+'Tuition-2Yr'!C40+'State Appropriations-2Yr'!C40+'Local Appropriations-2Yr'!C40+'Fed Contracts Grnts-2Yr'!C40+'Other Contracts Grnts-2Yr'!C40+'Investment Income-2Yr'!C40+'All Other E&amp;G-2Yr'!C40</f>
        <v>0</v>
      </c>
      <c r="D40" s="163">
        <f>+'Tuition-2Yr'!D40+'State Appropriations-2Yr'!D40+'Local Appropriations-2Yr'!D40+'Fed Contracts Grnts-2Yr'!D40+'Other Contracts Grnts-2Yr'!D40+'Investment Income-2Yr'!D40+'All Other E&amp;G-2Yr'!D40</f>
        <v>0</v>
      </c>
      <c r="E40" s="163">
        <f>+'Tuition-2Yr'!E40+'State Appropriations-2Yr'!E40+'Local Appropriations-2Yr'!E40+'Fed Contracts Grnts-2Yr'!E40+'Other Contracts Grnts-2Yr'!E40+'Investment Income-2Yr'!E40+'All Other E&amp;G-2Yr'!E40</f>
        <v>0</v>
      </c>
      <c r="F40" s="163">
        <f>+'Tuition-2Yr'!F40+'State Appropriations-2Yr'!F40+'Local Appropriations-2Yr'!F40+'Fed Contracts Grnts-2Yr'!F40+'Other Contracts Grnts-2Yr'!F40+'Investment Income-2Yr'!F40+'All Other E&amp;G-2Yr'!F40</f>
        <v>0</v>
      </c>
      <c r="G40" s="163">
        <f>+'Tuition-2Yr'!G40+'State Appropriations-2Yr'!G40+'Local Appropriations-2Yr'!G40+'Fed Contracts Grnts-2Yr'!G40+'Other Contracts Grnts-2Yr'!G40+'Investment Income-2Yr'!G40+'All Other E&amp;G-2Yr'!G40</f>
        <v>0</v>
      </c>
      <c r="H40" s="163">
        <f>+'Tuition-2Yr'!H40+'State Appropriations-2Yr'!H40+'Local Appropriations-2Yr'!H40+'Fed Contracts Grnts-2Yr'!H40+'Other Contracts Grnts-2Yr'!H40+'Investment Income-2Yr'!H40+'All Other E&amp;G-2Yr'!H40</f>
        <v>0</v>
      </c>
      <c r="I40" s="163">
        <f>+'Tuition-2Yr'!I40+'State Appropriations-2Yr'!I40+'Local Appropriations-2Yr'!I40+'Fed Contracts Grnts-2Yr'!I40+'Other Contracts Grnts-2Yr'!I40+'Investment Income-2Yr'!I40+'All Other E&amp;G-2Yr'!I40</f>
        <v>0</v>
      </c>
      <c r="J40" s="163">
        <f>+'Tuition-2Yr'!J40+'State Appropriations-2Yr'!J40+'Local Appropriations-2Yr'!J40+'Fed Contracts Grnts-2Yr'!J40+'Other Contracts Grnts-2Yr'!J40+'Investment Income-2Yr'!J40+'All Other E&amp;G-2Yr'!J40</f>
        <v>953707.83900000004</v>
      </c>
      <c r="K40" s="163">
        <f>+'Tuition-2Yr'!K40+'State Appropriations-2Yr'!K40+'Local Appropriations-2Yr'!K40+'Fed Contracts Grnts-2Yr'!K40+'Other Contracts Grnts-2Yr'!K40+'Investment Income-2Yr'!K40+'All Other E&amp;G-2Yr'!K40</f>
        <v>0</v>
      </c>
      <c r="L40" s="163">
        <f>+'Tuition-2Yr'!L40+'State Appropriations-2Yr'!L40+'Local Appropriations-2Yr'!L40+'Fed Contracts Grnts-2Yr'!L40+'Other Contracts Grnts-2Yr'!L40+'Investment Income-2Yr'!L40+'All Other E&amp;G-2Yr'!L40</f>
        <v>0</v>
      </c>
      <c r="M40" s="163">
        <f>+'Tuition-2Yr'!M40+'State Appropriations-2Yr'!M40+'Local Appropriations-2Yr'!M40+'Fed Contracts Grnts-2Yr'!M40+'Other Contracts Grnts-2Yr'!M40+'Investment Income-2Yr'!M40+'All Other E&amp;G-2Yr'!M40</f>
        <v>1186249.307</v>
      </c>
      <c r="N40" s="163">
        <f>+'Tuition-2Yr'!N40+'State Appropriations-2Yr'!N40+'Local Appropriations-2Yr'!N40+'Fed Contracts Grnts-2Yr'!N40+'Other Contracts Grnts-2Yr'!N40+'Investment Income-2Yr'!N40+'All Other E&amp;G-2Yr'!N40</f>
        <v>0</v>
      </c>
      <c r="O40" s="163">
        <f>+'Tuition-2Yr'!O40+'State Appropriations-2Yr'!O40+'Local Appropriations-2Yr'!O40+'Fed Contracts Grnts-2Yr'!O40+'Other Contracts Grnts-2Yr'!O40+'Investment Income-2Yr'!O40+'All Other E&amp;G-2Yr'!O40</f>
        <v>1310992.59598</v>
      </c>
      <c r="P40" s="163">
        <f>+'Tuition-2Yr'!P40+'State Appropriations-2Yr'!P40+'Local Appropriations-2Yr'!P40+'Fed Contracts Grnts-2Yr'!P40+'Other Contracts Grnts-2Yr'!P40+'Investment Income-2Yr'!P40+'All Other E&amp;G-2Yr'!P40</f>
        <v>0</v>
      </c>
      <c r="Q40" s="163">
        <f>+'Tuition-2Yr'!Q40+'State Appropriations-2Yr'!Q40+'Local Appropriations-2Yr'!Q40+'Fed Contracts Grnts-2Yr'!Q40+'Other Contracts Grnts-2Yr'!Q40+'Investment Income-2Yr'!Q40+'All Other E&amp;G-2Yr'!Q40</f>
        <v>0</v>
      </c>
      <c r="R40" s="163">
        <f>+'Tuition-2Yr'!R40+'State Appropriations-2Yr'!R40+'Local Appropriations-2Yr'!R40+'Fed Contracts Grnts-2Yr'!R40+'Other Contracts Grnts-2Yr'!R40+'Investment Income-2Yr'!R40+'All Other E&amp;G-2Yr'!R40</f>
        <v>1533775.6979999999</v>
      </c>
      <c r="S40" s="163">
        <f>+'Tuition-2Yr'!S40+'State Appropriations-2Yr'!S40+'Local Appropriations-2Yr'!S40+'Fed Contracts Grnts-2Yr'!S40+'Other Contracts Grnts-2Yr'!S40+'Investment Income-2Yr'!S40+'All Other E&amp;G-2Yr'!S40</f>
        <v>1641668.4729999998</v>
      </c>
      <c r="T40" s="163">
        <f>+'Tuition-2Yr'!T40+'State Appropriations-2Yr'!T40+'Local Appropriations-2Yr'!T40+'Fed Contracts Grnts-2Yr'!T40+'Other Contracts Grnts-2Yr'!T40+'Investment Income-2Yr'!T40+'All Other E&amp;G-2Yr'!T40</f>
        <v>1846327.7270000002</v>
      </c>
      <c r="U40" s="163">
        <f>+'Tuition-2Yr'!U40+'State Appropriations-2Yr'!U40+'Local Appropriations-2Yr'!U40+'Fed Contracts Grnts-2Yr'!U40+'Other Contracts Grnts-2Yr'!U40+'Investment Income-2Yr'!U40+'All Other E&amp;G-2Yr'!U40</f>
        <v>1714239.0739999996</v>
      </c>
      <c r="V40" s="163">
        <f>+'Tuition-2Yr'!V40+'State Appropriations-2Yr'!V40+'Local Appropriations-2Yr'!V40+'Fed Contracts Grnts-2Yr'!V40+'Other Contracts Grnts-2Yr'!V40+'Investment Income-2Yr'!V40+'All Other E&amp;G-2Yr'!V40</f>
        <v>2064307.1099999999</v>
      </c>
      <c r="W40" s="163">
        <f>+'Tuition-2Yr'!W40+'State Appropriations-2Yr'!W40+'Local Appropriations-2Yr'!W40+'Fed Contracts Grnts-2Yr'!W40+'Other Contracts Grnts-2Yr'!W40+'Investment Income-2Yr'!W40+'All Other E&amp;G-2Yr'!W40</f>
        <v>1989833.625</v>
      </c>
      <c r="X40" s="163">
        <f>+'Tuition-2Yr'!X40+'State Appropriations-2Yr'!X40+'Local Appropriations-2Yr'!X40+'Fed Contracts Grnts-2Yr'!X40+'Other Contracts Grnts-2Yr'!X40+'Investment Income-2Yr'!X40+'All Other E&amp;G-2Yr'!X40</f>
        <v>1994150.4740000002</v>
      </c>
      <c r="Y40" s="163">
        <f>+'Tuition-2Yr'!Y40+'State Appropriations-2Yr'!Y40+'Local Appropriations-2Yr'!Y40+'Fed Contracts Grnts-2Yr'!Y40+'Other Contracts Grnts-2Yr'!Y40+'Investment Income-2Yr'!Y40+'All Other E&amp;G-2Yr'!Y40</f>
        <v>2091069.2289999998</v>
      </c>
      <c r="Z40" s="163">
        <f>+'Tuition-2Yr'!Z40+'State Appropriations-2Yr'!Z40+'Local Appropriations-2Yr'!Z40+'Fed Contracts Grnts-2Yr'!Z40+'Other Contracts Grnts-2Yr'!Z40+'Investment Income-2Yr'!Z40+'All Other E&amp;G-2Yr'!Z40</f>
        <v>2246360.3160000001</v>
      </c>
      <c r="AA40" s="163">
        <f>+'Tuition-2Yr'!AA40+'State Appropriations-2Yr'!AA40+'Local Appropriations-2Yr'!AA40+'Fed Contracts Grnts-2Yr'!AA40+'Other Contracts Grnts-2Yr'!AA40+'Investment Income-2Yr'!AA40+'All Other E&amp;G-2Yr'!AA40</f>
        <v>2523399.7760000001</v>
      </c>
      <c r="AB40" s="163">
        <f>+'Tuition-2Yr'!AB40+'State Appropriations-2Yr'!AB40+'Local Appropriations-2Yr'!AB40+'Fed Contracts Grnts-2Yr'!AB40+'Other Contracts Grnts-2Yr'!AB40+'Investment Income-2Yr'!AB40+'All Other E&amp;G-2Yr'!AB40</f>
        <v>2893693.3820000002</v>
      </c>
      <c r="AC40" s="163">
        <f>+'Tuition-2Yr'!AC40+'State Appropriations-2Yr'!AC40+'Local Appropriations-2Yr'!AC40+'Fed Contracts Grnts-2Yr'!AC40+'Other Contracts Grnts-2Yr'!AC40+'Investment Income-2Yr'!AC40+'All Other E&amp;G-2Yr'!AC40</f>
        <v>3159041</v>
      </c>
      <c r="AD40" s="163">
        <f>+'Tuition-2Yr'!AD40+'State Appropriations-2Yr'!AD40+'Local Appropriations-2Yr'!AD40+'Fed Contracts Grnts-2Yr'!AD40+'Other Contracts Grnts-2Yr'!AD40+'Investment Income-2Yr'!AD40+'All Other E&amp;G-2Yr'!AD40</f>
        <v>3188527.3360000001</v>
      </c>
      <c r="AE40" s="163">
        <f>+'Tuition-2Yr'!AE40+'State Appropriations-2Yr'!AE40+'Local Appropriations-2Yr'!AE40+'Fed Contracts Grnts-2Yr'!AE40+'Other Contracts Grnts-2Yr'!AE40+'Investment Income-2Yr'!AE40+'All Other E&amp;G-2Yr'!AE40</f>
        <v>3267319.6569999997</v>
      </c>
      <c r="AF40" s="163">
        <f>+'Tuition-2Yr'!AF40+'State Appropriations-2Yr'!AF40+'Local Appropriations-2Yr'!AF40+'Fed Contracts Grnts-2Yr'!AF40+'Other Contracts Grnts-2Yr'!AF40+'Investment Income-2Yr'!AF40+'All Other E&amp;G-2Yr'!AF40</f>
        <v>1952303.64</v>
      </c>
      <c r="AG40" s="163">
        <f>+'Tuition-2Yr'!AG40+'State Appropriations-2Yr'!AG40+'Local Appropriations-2Yr'!AG40+'Fed Contracts Grnts-2Yr'!AG40+'Other Contracts Grnts-2Yr'!AG40+'Investment Income-2Yr'!AG40+'All Other E&amp;G-2Yr'!AG40</f>
        <v>1985352.0430000001</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c r="HC40" s="20"/>
      <c r="HD40" s="20"/>
      <c r="HE40" s="20"/>
      <c r="HF40" s="20"/>
    </row>
    <row r="41" spans="1:214" s="65" customFormat="1" ht="12.75" customHeight="1">
      <c r="A41" s="23" t="s">
        <v>66</v>
      </c>
      <c r="B41" s="163">
        <f>+'Tuition-2Yr'!B41+'State Appropriations-2Yr'!B41+'Local Appropriations-2Yr'!B41+'Fed Contracts Grnts-2Yr'!B41+'Other Contracts Grnts-2Yr'!B41+'Investment Income-2Yr'!B41+'All Other E&amp;G-2Yr'!B41</f>
        <v>0</v>
      </c>
      <c r="C41" s="163">
        <f>+'Tuition-2Yr'!C41+'State Appropriations-2Yr'!C41+'Local Appropriations-2Yr'!C41+'Fed Contracts Grnts-2Yr'!C41+'Other Contracts Grnts-2Yr'!C41+'Investment Income-2Yr'!C41+'All Other E&amp;G-2Yr'!C41</f>
        <v>0</v>
      </c>
      <c r="D41" s="163">
        <f>+'Tuition-2Yr'!D41+'State Appropriations-2Yr'!D41+'Local Appropriations-2Yr'!D41+'Fed Contracts Grnts-2Yr'!D41+'Other Contracts Grnts-2Yr'!D41+'Investment Income-2Yr'!D41+'All Other E&amp;G-2Yr'!D41</f>
        <v>0</v>
      </c>
      <c r="E41" s="163">
        <f>+'Tuition-2Yr'!E41+'State Appropriations-2Yr'!E41+'Local Appropriations-2Yr'!E41+'Fed Contracts Grnts-2Yr'!E41+'Other Contracts Grnts-2Yr'!E41+'Investment Income-2Yr'!E41+'All Other E&amp;G-2Yr'!E41</f>
        <v>0</v>
      </c>
      <c r="F41" s="163">
        <f>+'Tuition-2Yr'!F41+'State Appropriations-2Yr'!F41+'Local Appropriations-2Yr'!F41+'Fed Contracts Grnts-2Yr'!F41+'Other Contracts Grnts-2Yr'!F41+'Investment Income-2Yr'!F41+'All Other E&amp;G-2Yr'!F41</f>
        <v>0</v>
      </c>
      <c r="G41" s="163">
        <f>+'Tuition-2Yr'!G41+'State Appropriations-2Yr'!G41+'Local Appropriations-2Yr'!G41+'Fed Contracts Grnts-2Yr'!G41+'Other Contracts Grnts-2Yr'!G41+'Investment Income-2Yr'!G41+'All Other E&amp;G-2Yr'!G41</f>
        <v>0</v>
      </c>
      <c r="H41" s="163">
        <f>+'Tuition-2Yr'!H41+'State Appropriations-2Yr'!H41+'Local Appropriations-2Yr'!H41+'Fed Contracts Grnts-2Yr'!H41+'Other Contracts Grnts-2Yr'!H41+'Investment Income-2Yr'!H41+'All Other E&amp;G-2Yr'!H41</f>
        <v>0</v>
      </c>
      <c r="I41" s="163">
        <f>+'Tuition-2Yr'!I41+'State Appropriations-2Yr'!I41+'Local Appropriations-2Yr'!I41+'Fed Contracts Grnts-2Yr'!I41+'Other Contracts Grnts-2Yr'!I41+'Investment Income-2Yr'!I41+'All Other E&amp;G-2Yr'!I41</f>
        <v>0</v>
      </c>
      <c r="J41" s="163">
        <f>+'Tuition-2Yr'!J41+'State Appropriations-2Yr'!J41+'Local Appropriations-2Yr'!J41+'Fed Contracts Grnts-2Yr'!J41+'Other Contracts Grnts-2Yr'!J41+'Investment Income-2Yr'!J41+'All Other E&amp;G-2Yr'!J41</f>
        <v>176343.34099999996</v>
      </c>
      <c r="K41" s="163">
        <f>+'Tuition-2Yr'!K41+'State Appropriations-2Yr'!K41+'Local Appropriations-2Yr'!K41+'Fed Contracts Grnts-2Yr'!K41+'Other Contracts Grnts-2Yr'!K41+'Investment Income-2Yr'!K41+'All Other E&amp;G-2Yr'!K41</f>
        <v>0</v>
      </c>
      <c r="L41" s="163">
        <f>+'Tuition-2Yr'!L41+'State Appropriations-2Yr'!L41+'Local Appropriations-2Yr'!L41+'Fed Contracts Grnts-2Yr'!L41+'Other Contracts Grnts-2Yr'!L41+'Investment Income-2Yr'!L41+'All Other E&amp;G-2Yr'!L41</f>
        <v>0</v>
      </c>
      <c r="M41" s="163">
        <f>+'Tuition-2Yr'!M41+'State Appropriations-2Yr'!M41+'Local Appropriations-2Yr'!M41+'Fed Contracts Grnts-2Yr'!M41+'Other Contracts Grnts-2Yr'!M41+'Investment Income-2Yr'!M41+'All Other E&amp;G-2Yr'!M41</f>
        <v>190819.01299999998</v>
      </c>
      <c r="N41" s="163">
        <f>+'Tuition-2Yr'!N41+'State Appropriations-2Yr'!N41+'Local Appropriations-2Yr'!N41+'Fed Contracts Grnts-2Yr'!N41+'Other Contracts Grnts-2Yr'!N41+'Investment Income-2Yr'!N41+'All Other E&amp;G-2Yr'!N41</f>
        <v>0</v>
      </c>
      <c r="O41" s="163">
        <f>+'Tuition-2Yr'!O41+'State Appropriations-2Yr'!O41+'Local Appropriations-2Yr'!O41+'Fed Contracts Grnts-2Yr'!O41+'Other Contracts Grnts-2Yr'!O41+'Investment Income-2Yr'!O41+'All Other E&amp;G-2Yr'!O41</f>
        <v>243541.34400000001</v>
      </c>
      <c r="P41" s="163">
        <f>+'Tuition-2Yr'!P41+'State Appropriations-2Yr'!P41+'Local Appropriations-2Yr'!P41+'Fed Contracts Grnts-2Yr'!P41+'Other Contracts Grnts-2Yr'!P41+'Investment Income-2Yr'!P41+'All Other E&amp;G-2Yr'!P41</f>
        <v>0</v>
      </c>
      <c r="Q41" s="163">
        <f>+'Tuition-2Yr'!Q41+'State Appropriations-2Yr'!Q41+'Local Appropriations-2Yr'!Q41+'Fed Contracts Grnts-2Yr'!Q41+'Other Contracts Grnts-2Yr'!Q41+'Investment Income-2Yr'!Q41+'All Other E&amp;G-2Yr'!Q41</f>
        <v>0</v>
      </c>
      <c r="R41" s="163">
        <f>+'Tuition-2Yr'!R41+'State Appropriations-2Yr'!R41+'Local Appropriations-2Yr'!R41+'Fed Contracts Grnts-2Yr'!R41+'Other Contracts Grnts-2Yr'!R41+'Investment Income-2Yr'!R41+'All Other E&amp;G-2Yr'!R41</f>
        <v>264426.94900000002</v>
      </c>
      <c r="S41" s="163">
        <f>+'Tuition-2Yr'!S41+'State Appropriations-2Yr'!S41+'Local Appropriations-2Yr'!S41+'Fed Contracts Grnts-2Yr'!S41+'Other Contracts Grnts-2Yr'!S41+'Investment Income-2Yr'!S41+'All Other E&amp;G-2Yr'!S41</f>
        <v>284212.53600000008</v>
      </c>
      <c r="T41" s="163">
        <f>+'Tuition-2Yr'!T41+'State Appropriations-2Yr'!T41+'Local Appropriations-2Yr'!T41+'Fed Contracts Grnts-2Yr'!T41+'Other Contracts Grnts-2Yr'!T41+'Investment Income-2Yr'!T41+'All Other E&amp;G-2Yr'!T41</f>
        <v>329797.636</v>
      </c>
      <c r="U41" s="163">
        <f>+'Tuition-2Yr'!U41+'State Appropriations-2Yr'!U41+'Local Appropriations-2Yr'!U41+'Fed Contracts Grnts-2Yr'!U41+'Other Contracts Grnts-2Yr'!U41+'Investment Income-2Yr'!U41+'All Other E&amp;G-2Yr'!U41</f>
        <v>347775.12700000004</v>
      </c>
      <c r="V41" s="163">
        <f>+'Tuition-2Yr'!V41+'State Appropriations-2Yr'!V41+'Local Appropriations-2Yr'!V41+'Fed Contracts Grnts-2Yr'!V41+'Other Contracts Grnts-2Yr'!V41+'Investment Income-2Yr'!V41+'All Other E&amp;G-2Yr'!V41</f>
        <v>283129.54199999996</v>
      </c>
      <c r="W41" s="163">
        <f>+'Tuition-2Yr'!W41+'State Appropriations-2Yr'!W41+'Local Appropriations-2Yr'!W41+'Fed Contracts Grnts-2Yr'!W41+'Other Contracts Grnts-2Yr'!W41+'Investment Income-2Yr'!W41+'All Other E&amp;G-2Yr'!W41</f>
        <v>341910.52199999994</v>
      </c>
      <c r="X41" s="163">
        <f>+'Tuition-2Yr'!X41+'State Appropriations-2Yr'!X41+'Local Appropriations-2Yr'!X41+'Fed Contracts Grnts-2Yr'!X41+'Other Contracts Grnts-2Yr'!X41+'Investment Income-2Yr'!X41+'All Other E&amp;G-2Yr'!X41</f>
        <v>327698.93399999995</v>
      </c>
      <c r="Y41" s="163">
        <f>+'Tuition-2Yr'!Y41+'State Appropriations-2Yr'!Y41+'Local Appropriations-2Yr'!Y41+'Fed Contracts Grnts-2Yr'!Y41+'Other Contracts Grnts-2Yr'!Y41+'Investment Income-2Yr'!Y41+'All Other E&amp;G-2Yr'!Y41</f>
        <v>347627.54399999999</v>
      </c>
      <c r="Z41" s="163">
        <f>+'Tuition-2Yr'!Z41+'State Appropriations-2Yr'!Z41+'Local Appropriations-2Yr'!Z41+'Fed Contracts Grnts-2Yr'!Z41+'Other Contracts Grnts-2Yr'!Z41+'Investment Income-2Yr'!Z41+'All Other E&amp;G-2Yr'!Z41</f>
        <v>389556.78099999996</v>
      </c>
      <c r="AA41" s="163">
        <f>+'Tuition-2Yr'!AA41+'State Appropriations-2Yr'!AA41+'Local Appropriations-2Yr'!AA41+'Fed Contracts Grnts-2Yr'!AA41+'Other Contracts Grnts-2Yr'!AA41+'Investment Income-2Yr'!AA41+'All Other E&amp;G-2Yr'!AA41</f>
        <v>451261.77899999998</v>
      </c>
      <c r="AB41" s="163">
        <f>+'Tuition-2Yr'!AB41+'State Appropriations-2Yr'!AB41+'Local Appropriations-2Yr'!AB41+'Fed Contracts Grnts-2Yr'!AB41+'Other Contracts Grnts-2Yr'!AB41+'Investment Income-2Yr'!AB41+'All Other E&amp;G-2Yr'!AB41</f>
        <v>606434.05199999991</v>
      </c>
      <c r="AC41" s="163">
        <f>+'Tuition-2Yr'!AC41+'State Appropriations-2Yr'!AC41+'Local Appropriations-2Yr'!AC41+'Fed Contracts Grnts-2Yr'!AC41+'Other Contracts Grnts-2Yr'!AC41+'Investment Income-2Yr'!AC41+'All Other E&amp;G-2Yr'!AC41</f>
        <v>679613</v>
      </c>
      <c r="AD41" s="163">
        <f>+'Tuition-2Yr'!AD41+'State Appropriations-2Yr'!AD41+'Local Appropriations-2Yr'!AD41+'Fed Contracts Grnts-2Yr'!AD41+'Other Contracts Grnts-2Yr'!AD41+'Investment Income-2Yr'!AD41+'All Other E&amp;G-2Yr'!AD41</f>
        <v>804842.31599999988</v>
      </c>
      <c r="AE41" s="163">
        <f>+'Tuition-2Yr'!AE41+'State Appropriations-2Yr'!AE41+'Local Appropriations-2Yr'!AE41+'Fed Contracts Grnts-2Yr'!AE41+'Other Contracts Grnts-2Yr'!AE41+'Investment Income-2Yr'!AE41+'All Other E&amp;G-2Yr'!AE41</f>
        <v>892429.78100000008</v>
      </c>
      <c r="AF41" s="163">
        <f>+'Tuition-2Yr'!AF41+'State Appropriations-2Yr'!AF41+'Local Appropriations-2Yr'!AF41+'Fed Contracts Grnts-2Yr'!AF41+'Other Contracts Grnts-2Yr'!AF41+'Investment Income-2Yr'!AF41+'All Other E&amp;G-2Yr'!AF41</f>
        <v>878959.18700000003</v>
      </c>
      <c r="AG41" s="163">
        <f>+'Tuition-2Yr'!AG41+'State Appropriations-2Yr'!AG41+'Local Appropriations-2Yr'!AG41+'Fed Contracts Grnts-2Yr'!AG41+'Other Contracts Grnts-2Yr'!AG41+'Investment Income-2Yr'!AG41+'All Other E&amp;G-2Yr'!AG41</f>
        <v>849269.50400000007</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c r="HC41" s="20"/>
      <c r="HD41" s="20"/>
      <c r="HE41" s="20"/>
      <c r="HF41" s="20"/>
    </row>
    <row r="42" spans="1:214" s="65" customFormat="1" ht="12.75" customHeight="1">
      <c r="A42" s="23" t="s">
        <v>118</v>
      </c>
      <c r="B42" s="163">
        <f>+'Tuition-2Yr'!B42+'State Appropriations-2Yr'!B42+'Local Appropriations-2Yr'!B42+'Fed Contracts Grnts-2Yr'!B42+'Other Contracts Grnts-2Yr'!B42+'Investment Income-2Yr'!B42+'All Other E&amp;G-2Yr'!B42</f>
        <v>0</v>
      </c>
      <c r="C42" s="163">
        <f>+'Tuition-2Yr'!C42+'State Appropriations-2Yr'!C42+'Local Appropriations-2Yr'!C42+'Fed Contracts Grnts-2Yr'!C42+'Other Contracts Grnts-2Yr'!C42+'Investment Income-2Yr'!C42+'All Other E&amp;G-2Yr'!C42</f>
        <v>0</v>
      </c>
      <c r="D42" s="163">
        <f>+'Tuition-2Yr'!D42+'State Appropriations-2Yr'!D42+'Local Appropriations-2Yr'!D42+'Fed Contracts Grnts-2Yr'!D42+'Other Contracts Grnts-2Yr'!D42+'Investment Income-2Yr'!D42+'All Other E&amp;G-2Yr'!D42</f>
        <v>0</v>
      </c>
      <c r="E42" s="163">
        <f>+'Tuition-2Yr'!E42+'State Appropriations-2Yr'!E42+'Local Appropriations-2Yr'!E42+'Fed Contracts Grnts-2Yr'!E42+'Other Contracts Grnts-2Yr'!E42+'Investment Income-2Yr'!E42+'All Other E&amp;G-2Yr'!E42</f>
        <v>0</v>
      </c>
      <c r="F42" s="163">
        <f>+'Tuition-2Yr'!F42+'State Appropriations-2Yr'!F42+'Local Appropriations-2Yr'!F42+'Fed Contracts Grnts-2Yr'!F42+'Other Contracts Grnts-2Yr'!F42+'Investment Income-2Yr'!F42+'All Other E&amp;G-2Yr'!F42</f>
        <v>0</v>
      </c>
      <c r="G42" s="163">
        <f>+'Tuition-2Yr'!G42+'State Appropriations-2Yr'!G42+'Local Appropriations-2Yr'!G42+'Fed Contracts Grnts-2Yr'!G42+'Other Contracts Grnts-2Yr'!G42+'Investment Income-2Yr'!G42+'All Other E&amp;G-2Yr'!G42</f>
        <v>0</v>
      </c>
      <c r="H42" s="163">
        <f>+'Tuition-2Yr'!H42+'State Appropriations-2Yr'!H42+'Local Appropriations-2Yr'!H42+'Fed Contracts Grnts-2Yr'!H42+'Other Contracts Grnts-2Yr'!H42+'Investment Income-2Yr'!H42+'All Other E&amp;G-2Yr'!H42</f>
        <v>0</v>
      </c>
      <c r="I42" s="163">
        <f>+'Tuition-2Yr'!I42+'State Appropriations-2Yr'!I42+'Local Appropriations-2Yr'!I42+'Fed Contracts Grnts-2Yr'!I42+'Other Contracts Grnts-2Yr'!I42+'Investment Income-2Yr'!I42+'All Other E&amp;G-2Yr'!I42</f>
        <v>0</v>
      </c>
      <c r="J42" s="163">
        <f>+'Tuition-2Yr'!J42+'State Appropriations-2Yr'!J42+'Local Appropriations-2Yr'!J42+'Fed Contracts Grnts-2Yr'!J42+'Other Contracts Grnts-2Yr'!J42+'Investment Income-2Yr'!J42+'All Other E&amp;G-2Yr'!J42</f>
        <v>318398.66300000006</v>
      </c>
      <c r="K42" s="163">
        <f>+'Tuition-2Yr'!K42+'State Appropriations-2Yr'!K42+'Local Appropriations-2Yr'!K42+'Fed Contracts Grnts-2Yr'!K42+'Other Contracts Grnts-2Yr'!K42+'Investment Income-2Yr'!K42+'All Other E&amp;G-2Yr'!K42</f>
        <v>0</v>
      </c>
      <c r="L42" s="163">
        <f>+'Tuition-2Yr'!L42+'State Appropriations-2Yr'!L42+'Local Appropriations-2Yr'!L42+'Fed Contracts Grnts-2Yr'!L42+'Other Contracts Grnts-2Yr'!L42+'Investment Income-2Yr'!L42+'All Other E&amp;G-2Yr'!L42</f>
        <v>0</v>
      </c>
      <c r="M42" s="163">
        <f>+'Tuition-2Yr'!M42+'State Appropriations-2Yr'!M42+'Local Appropriations-2Yr'!M42+'Fed Contracts Grnts-2Yr'!M42+'Other Contracts Grnts-2Yr'!M42+'Investment Income-2Yr'!M42+'All Other E&amp;G-2Yr'!M42</f>
        <v>337008.66699999996</v>
      </c>
      <c r="N42" s="163">
        <f>+'Tuition-2Yr'!N42+'State Appropriations-2Yr'!N42+'Local Appropriations-2Yr'!N42+'Fed Contracts Grnts-2Yr'!N42+'Other Contracts Grnts-2Yr'!N42+'Investment Income-2Yr'!N42+'All Other E&amp;G-2Yr'!N42</f>
        <v>0</v>
      </c>
      <c r="O42" s="163">
        <f>+'Tuition-2Yr'!O42+'State Appropriations-2Yr'!O42+'Local Appropriations-2Yr'!O42+'Fed Contracts Grnts-2Yr'!O42+'Other Contracts Grnts-2Yr'!O42+'Investment Income-2Yr'!O42+'All Other E&amp;G-2Yr'!O42</f>
        <v>364661.76700000005</v>
      </c>
      <c r="P42" s="163">
        <f>+'Tuition-2Yr'!P42+'State Appropriations-2Yr'!P42+'Local Appropriations-2Yr'!P42+'Fed Contracts Grnts-2Yr'!P42+'Other Contracts Grnts-2Yr'!P42+'Investment Income-2Yr'!P42+'All Other E&amp;G-2Yr'!P42</f>
        <v>0</v>
      </c>
      <c r="Q42" s="163">
        <f>+'Tuition-2Yr'!Q42+'State Appropriations-2Yr'!Q42+'Local Appropriations-2Yr'!Q42+'Fed Contracts Grnts-2Yr'!Q42+'Other Contracts Grnts-2Yr'!Q42+'Investment Income-2Yr'!Q42+'All Other E&amp;G-2Yr'!Q42</f>
        <v>0</v>
      </c>
      <c r="R42" s="163">
        <f>+'Tuition-2Yr'!R42+'State Appropriations-2Yr'!R42+'Local Appropriations-2Yr'!R42+'Fed Contracts Grnts-2Yr'!R42+'Other Contracts Grnts-2Yr'!R42+'Investment Income-2Yr'!R42+'All Other E&amp;G-2Yr'!R42</f>
        <v>458732.71600000001</v>
      </c>
      <c r="S42" s="163">
        <f>+'Tuition-2Yr'!S42+'State Appropriations-2Yr'!S42+'Local Appropriations-2Yr'!S42+'Fed Contracts Grnts-2Yr'!S42+'Other Contracts Grnts-2Yr'!S42+'Investment Income-2Yr'!S42+'All Other E&amp;G-2Yr'!S42</f>
        <v>476979.32</v>
      </c>
      <c r="T42" s="163">
        <f>+'Tuition-2Yr'!T42+'State Appropriations-2Yr'!T42+'Local Appropriations-2Yr'!T42+'Fed Contracts Grnts-2Yr'!T42+'Other Contracts Grnts-2Yr'!T42+'Investment Income-2Yr'!T42+'All Other E&amp;G-2Yr'!T42</f>
        <v>500762.19999999995</v>
      </c>
      <c r="U42" s="163">
        <f>+'Tuition-2Yr'!U42+'State Appropriations-2Yr'!U42+'Local Appropriations-2Yr'!U42+'Fed Contracts Grnts-2Yr'!U42+'Other Contracts Grnts-2Yr'!U42+'Investment Income-2Yr'!U42+'All Other E&amp;G-2Yr'!U42</f>
        <v>514284.864</v>
      </c>
      <c r="V42" s="163">
        <f>+'Tuition-2Yr'!V42+'State Appropriations-2Yr'!V42+'Local Appropriations-2Yr'!V42+'Fed Contracts Grnts-2Yr'!V42+'Other Contracts Grnts-2Yr'!V42+'Investment Income-2Yr'!V42+'All Other E&amp;G-2Yr'!V42</f>
        <v>543682.75100000005</v>
      </c>
      <c r="W42" s="163">
        <f>+'Tuition-2Yr'!W42+'State Appropriations-2Yr'!W42+'Local Appropriations-2Yr'!W42+'Fed Contracts Grnts-2Yr'!W42+'Other Contracts Grnts-2Yr'!W42+'Investment Income-2Yr'!W42+'All Other E&amp;G-2Yr'!W42</f>
        <v>622331.15799999994</v>
      </c>
      <c r="X42" s="163">
        <f>+'Tuition-2Yr'!X42+'State Appropriations-2Yr'!X42+'Local Appropriations-2Yr'!X42+'Fed Contracts Grnts-2Yr'!X42+'Other Contracts Grnts-2Yr'!X42+'Investment Income-2Yr'!X42+'All Other E&amp;G-2Yr'!X42</f>
        <v>620638.75000000012</v>
      </c>
      <c r="Y42" s="163">
        <f>+'Tuition-2Yr'!Y42+'State Appropriations-2Yr'!Y42+'Local Appropriations-2Yr'!Y42+'Fed Contracts Grnts-2Yr'!Y42+'Other Contracts Grnts-2Yr'!Y42+'Investment Income-2Yr'!Y42+'All Other E&amp;G-2Yr'!Y42</f>
        <v>655972.60599999991</v>
      </c>
      <c r="Z42" s="163">
        <f>+'Tuition-2Yr'!Z42+'State Appropriations-2Yr'!Z42+'Local Appropriations-2Yr'!Z42+'Fed Contracts Grnts-2Yr'!Z42+'Other Contracts Grnts-2Yr'!Z42+'Investment Income-2Yr'!Z42+'All Other E&amp;G-2Yr'!Z42</f>
        <v>733989.6810000001</v>
      </c>
      <c r="AA42" s="163">
        <f>+'Tuition-2Yr'!AA42+'State Appropriations-2Yr'!AA42+'Local Appropriations-2Yr'!AA42+'Fed Contracts Grnts-2Yr'!AA42+'Other Contracts Grnts-2Yr'!AA42+'Investment Income-2Yr'!AA42+'All Other E&amp;G-2Yr'!AA42</f>
        <v>849494.47200000007</v>
      </c>
      <c r="AB42" s="163">
        <f>+'Tuition-2Yr'!AB42+'State Appropriations-2Yr'!AB42+'Local Appropriations-2Yr'!AB42+'Fed Contracts Grnts-2Yr'!AB42+'Other Contracts Grnts-2Yr'!AB42+'Investment Income-2Yr'!AB42+'All Other E&amp;G-2Yr'!AB42</f>
        <v>927027.98600000015</v>
      </c>
      <c r="AC42" s="163">
        <f>+'Tuition-2Yr'!AC42+'State Appropriations-2Yr'!AC42+'Local Appropriations-2Yr'!AC42+'Fed Contracts Grnts-2Yr'!AC42+'Other Contracts Grnts-2Yr'!AC42+'Investment Income-2Yr'!AC42+'All Other E&amp;G-2Yr'!AC42</f>
        <v>983861</v>
      </c>
      <c r="AD42" s="163">
        <f>+'Tuition-2Yr'!AD42+'State Appropriations-2Yr'!AD42+'Local Appropriations-2Yr'!AD42+'Fed Contracts Grnts-2Yr'!AD42+'Other Contracts Grnts-2Yr'!AD42+'Investment Income-2Yr'!AD42+'All Other E&amp;G-2Yr'!AD42</f>
        <v>972451.56</v>
      </c>
      <c r="AE42" s="163">
        <f>+'Tuition-2Yr'!AE42+'State Appropriations-2Yr'!AE42+'Local Appropriations-2Yr'!AE42+'Fed Contracts Grnts-2Yr'!AE42+'Other Contracts Grnts-2Yr'!AE42+'Investment Income-2Yr'!AE42+'All Other E&amp;G-2Yr'!AE42</f>
        <v>973595.37899999996</v>
      </c>
      <c r="AF42" s="163">
        <f>+'Tuition-2Yr'!AF42+'State Appropriations-2Yr'!AF42+'Local Appropriations-2Yr'!AF42+'Fed Contracts Grnts-2Yr'!AF42+'Other Contracts Grnts-2Yr'!AF42+'Investment Income-2Yr'!AF42+'All Other E&amp;G-2Yr'!AF42</f>
        <v>911738.36300000013</v>
      </c>
      <c r="AG42" s="163">
        <f>+'Tuition-2Yr'!AG42+'State Appropriations-2Yr'!AG42+'Local Appropriations-2Yr'!AG42+'Fed Contracts Grnts-2Yr'!AG42+'Other Contracts Grnts-2Yr'!AG42+'Investment Income-2Yr'!AG42+'All Other E&amp;G-2Yr'!AG42</f>
        <v>940708.18599999987</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c r="HC42" s="20"/>
      <c r="HD42" s="20"/>
      <c r="HE42" s="20"/>
      <c r="HF42" s="20"/>
    </row>
    <row r="43" spans="1:214" s="65" customFormat="1" ht="12.75" customHeight="1">
      <c r="A43" s="23" t="s">
        <v>119</v>
      </c>
      <c r="B43" s="163">
        <f>+'Tuition-2Yr'!B43+'State Appropriations-2Yr'!B43+'Local Appropriations-2Yr'!B43+'Fed Contracts Grnts-2Yr'!B43+'Other Contracts Grnts-2Yr'!B43+'Investment Income-2Yr'!B43+'All Other E&amp;G-2Yr'!B43</f>
        <v>0</v>
      </c>
      <c r="C43" s="163">
        <f>+'Tuition-2Yr'!C43+'State Appropriations-2Yr'!C43+'Local Appropriations-2Yr'!C43+'Fed Contracts Grnts-2Yr'!C43+'Other Contracts Grnts-2Yr'!C43+'Investment Income-2Yr'!C43+'All Other E&amp;G-2Yr'!C43</f>
        <v>0</v>
      </c>
      <c r="D43" s="163">
        <f>+'Tuition-2Yr'!D43+'State Appropriations-2Yr'!D43+'Local Appropriations-2Yr'!D43+'Fed Contracts Grnts-2Yr'!D43+'Other Contracts Grnts-2Yr'!D43+'Investment Income-2Yr'!D43+'All Other E&amp;G-2Yr'!D43</f>
        <v>0</v>
      </c>
      <c r="E43" s="163">
        <f>+'Tuition-2Yr'!E43+'State Appropriations-2Yr'!E43+'Local Appropriations-2Yr'!E43+'Fed Contracts Grnts-2Yr'!E43+'Other Contracts Grnts-2Yr'!E43+'Investment Income-2Yr'!E43+'All Other E&amp;G-2Yr'!E43</f>
        <v>0</v>
      </c>
      <c r="F43" s="163">
        <f>+'Tuition-2Yr'!F43+'State Appropriations-2Yr'!F43+'Local Appropriations-2Yr'!F43+'Fed Contracts Grnts-2Yr'!F43+'Other Contracts Grnts-2Yr'!F43+'Investment Income-2Yr'!F43+'All Other E&amp;G-2Yr'!F43</f>
        <v>0</v>
      </c>
      <c r="G43" s="163">
        <f>+'Tuition-2Yr'!G43+'State Appropriations-2Yr'!G43+'Local Appropriations-2Yr'!G43+'Fed Contracts Grnts-2Yr'!G43+'Other Contracts Grnts-2Yr'!G43+'Investment Income-2Yr'!G43+'All Other E&amp;G-2Yr'!G43</f>
        <v>0</v>
      </c>
      <c r="H43" s="163">
        <f>+'Tuition-2Yr'!H43+'State Appropriations-2Yr'!H43+'Local Appropriations-2Yr'!H43+'Fed Contracts Grnts-2Yr'!H43+'Other Contracts Grnts-2Yr'!H43+'Investment Income-2Yr'!H43+'All Other E&amp;G-2Yr'!H43</f>
        <v>0</v>
      </c>
      <c r="I43" s="163">
        <f>+'Tuition-2Yr'!I43+'State Appropriations-2Yr'!I43+'Local Appropriations-2Yr'!I43+'Fed Contracts Grnts-2Yr'!I43+'Other Contracts Grnts-2Yr'!I43+'Investment Income-2Yr'!I43+'All Other E&amp;G-2Yr'!I43</f>
        <v>0</v>
      </c>
      <c r="J43" s="163">
        <f>+'Tuition-2Yr'!J43+'State Appropriations-2Yr'!J43+'Local Appropriations-2Yr'!J43+'Fed Contracts Grnts-2Yr'!J43+'Other Contracts Grnts-2Yr'!J43+'Investment Income-2Yr'!J43+'All Other E&amp;G-2Yr'!J43</f>
        <v>219791.20200000002</v>
      </c>
      <c r="K43" s="163">
        <f>+'Tuition-2Yr'!K43+'State Appropriations-2Yr'!K43+'Local Appropriations-2Yr'!K43+'Fed Contracts Grnts-2Yr'!K43+'Other Contracts Grnts-2Yr'!K43+'Investment Income-2Yr'!K43+'All Other E&amp;G-2Yr'!K43</f>
        <v>0</v>
      </c>
      <c r="L43" s="163">
        <f>+'Tuition-2Yr'!L43+'State Appropriations-2Yr'!L43+'Local Appropriations-2Yr'!L43+'Fed Contracts Grnts-2Yr'!L43+'Other Contracts Grnts-2Yr'!L43+'Investment Income-2Yr'!L43+'All Other E&amp;G-2Yr'!L43</f>
        <v>0</v>
      </c>
      <c r="M43" s="163">
        <f>+'Tuition-2Yr'!M43+'State Appropriations-2Yr'!M43+'Local Appropriations-2Yr'!M43+'Fed Contracts Grnts-2Yr'!M43+'Other Contracts Grnts-2Yr'!M43+'Investment Income-2Yr'!M43+'All Other E&amp;G-2Yr'!M43</f>
        <v>278706.24800000002</v>
      </c>
      <c r="N43" s="163">
        <f>+'Tuition-2Yr'!N43+'State Appropriations-2Yr'!N43+'Local Appropriations-2Yr'!N43+'Fed Contracts Grnts-2Yr'!N43+'Other Contracts Grnts-2Yr'!N43+'Investment Income-2Yr'!N43+'All Other E&amp;G-2Yr'!N43</f>
        <v>0</v>
      </c>
      <c r="O43" s="163">
        <f>+'Tuition-2Yr'!O43+'State Appropriations-2Yr'!O43+'Local Appropriations-2Yr'!O43+'Fed Contracts Grnts-2Yr'!O43+'Other Contracts Grnts-2Yr'!O43+'Investment Income-2Yr'!O43+'All Other E&amp;G-2Yr'!O43</f>
        <v>306709.15748000005</v>
      </c>
      <c r="P43" s="163">
        <f>+'Tuition-2Yr'!P43+'State Appropriations-2Yr'!P43+'Local Appropriations-2Yr'!P43+'Fed Contracts Grnts-2Yr'!P43+'Other Contracts Grnts-2Yr'!P43+'Investment Income-2Yr'!P43+'All Other E&amp;G-2Yr'!P43</f>
        <v>0</v>
      </c>
      <c r="Q43" s="163">
        <f>+'Tuition-2Yr'!Q43+'State Appropriations-2Yr'!Q43+'Local Appropriations-2Yr'!Q43+'Fed Contracts Grnts-2Yr'!Q43+'Other Contracts Grnts-2Yr'!Q43+'Investment Income-2Yr'!Q43+'All Other E&amp;G-2Yr'!Q43</f>
        <v>0</v>
      </c>
      <c r="R43" s="163">
        <f>+'Tuition-2Yr'!R43+'State Appropriations-2Yr'!R43+'Local Appropriations-2Yr'!R43+'Fed Contracts Grnts-2Yr'!R43+'Other Contracts Grnts-2Yr'!R43+'Investment Income-2Yr'!R43+'All Other E&amp;G-2Yr'!R43</f>
        <v>350474.95699999999</v>
      </c>
      <c r="S43" s="163">
        <f>+'Tuition-2Yr'!S43+'State Appropriations-2Yr'!S43+'Local Appropriations-2Yr'!S43+'Fed Contracts Grnts-2Yr'!S43+'Other Contracts Grnts-2Yr'!S43+'Investment Income-2Yr'!S43+'All Other E&amp;G-2Yr'!S43</f>
        <v>377445.59599999996</v>
      </c>
      <c r="T43" s="163">
        <f>+'Tuition-2Yr'!T43+'State Appropriations-2Yr'!T43+'Local Appropriations-2Yr'!T43+'Fed Contracts Grnts-2Yr'!T43+'Other Contracts Grnts-2Yr'!T43+'Investment Income-2Yr'!T43+'All Other E&amp;G-2Yr'!T43</f>
        <v>416801.77899999992</v>
      </c>
      <c r="U43" s="163">
        <f>+'Tuition-2Yr'!U43+'State Appropriations-2Yr'!U43+'Local Appropriations-2Yr'!U43+'Fed Contracts Grnts-2Yr'!U43+'Other Contracts Grnts-2Yr'!U43+'Investment Income-2Yr'!U43+'All Other E&amp;G-2Yr'!U43</f>
        <v>438902.75599999999</v>
      </c>
      <c r="V43" s="163">
        <f>+'Tuition-2Yr'!V43+'State Appropriations-2Yr'!V43+'Local Appropriations-2Yr'!V43+'Fed Contracts Grnts-2Yr'!V43+'Other Contracts Grnts-2Yr'!V43+'Investment Income-2Yr'!V43+'All Other E&amp;G-2Yr'!V43</f>
        <v>449334.9040000001</v>
      </c>
      <c r="W43" s="163">
        <f>+'Tuition-2Yr'!W43+'State Appropriations-2Yr'!W43+'Local Appropriations-2Yr'!W43+'Fed Contracts Grnts-2Yr'!W43+'Other Contracts Grnts-2Yr'!W43+'Investment Income-2Yr'!W43+'All Other E&amp;G-2Yr'!W43</f>
        <v>499224.31500000006</v>
      </c>
      <c r="X43" s="163">
        <f>+'Tuition-2Yr'!X43+'State Appropriations-2Yr'!X43+'Local Appropriations-2Yr'!X43+'Fed Contracts Grnts-2Yr'!X43+'Other Contracts Grnts-2Yr'!X43+'Investment Income-2Yr'!X43+'All Other E&amp;G-2Yr'!X43</f>
        <v>511430.35800000007</v>
      </c>
      <c r="Y43" s="163">
        <f>+'Tuition-2Yr'!Y43+'State Appropriations-2Yr'!Y43+'Local Appropriations-2Yr'!Y43+'Fed Contracts Grnts-2Yr'!Y43+'Other Contracts Grnts-2Yr'!Y43+'Investment Income-2Yr'!Y43+'All Other E&amp;G-2Yr'!Y43</f>
        <v>543262.69099999999</v>
      </c>
      <c r="Z43" s="163">
        <f>+'Tuition-2Yr'!Z43+'State Appropriations-2Yr'!Z43+'Local Appropriations-2Yr'!Z43+'Fed Contracts Grnts-2Yr'!Z43+'Other Contracts Grnts-2Yr'!Z43+'Investment Income-2Yr'!Z43+'All Other E&amp;G-2Yr'!Z43</f>
        <v>562252.25899999996</v>
      </c>
      <c r="AA43" s="163">
        <f>+'Tuition-2Yr'!AA43+'State Appropriations-2Yr'!AA43+'Local Appropriations-2Yr'!AA43+'Fed Contracts Grnts-2Yr'!AA43+'Other Contracts Grnts-2Yr'!AA43+'Investment Income-2Yr'!AA43+'All Other E&amp;G-2Yr'!AA43</f>
        <v>636912.52200000011</v>
      </c>
      <c r="AB43" s="163">
        <f>+'Tuition-2Yr'!AB43+'State Appropriations-2Yr'!AB43+'Local Appropriations-2Yr'!AB43+'Fed Contracts Grnts-2Yr'!AB43+'Other Contracts Grnts-2Yr'!AB43+'Investment Income-2Yr'!AB43+'All Other E&amp;G-2Yr'!AB43</f>
        <v>676365.90700000012</v>
      </c>
      <c r="AC43" s="163">
        <f>+'Tuition-2Yr'!AC43+'State Appropriations-2Yr'!AC43+'Local Appropriations-2Yr'!AC43+'Fed Contracts Grnts-2Yr'!AC43+'Other Contracts Grnts-2Yr'!AC43+'Investment Income-2Yr'!AC43+'All Other E&amp;G-2Yr'!AC43</f>
        <v>726371</v>
      </c>
      <c r="AD43" s="163">
        <f>+'Tuition-2Yr'!AD43+'State Appropriations-2Yr'!AD43+'Local Appropriations-2Yr'!AD43+'Fed Contracts Grnts-2Yr'!AD43+'Other Contracts Grnts-2Yr'!AD43+'Investment Income-2Yr'!AD43+'All Other E&amp;G-2Yr'!AD43</f>
        <v>706426.89</v>
      </c>
      <c r="AE43" s="163">
        <f>+'Tuition-2Yr'!AE43+'State Appropriations-2Yr'!AE43+'Local Appropriations-2Yr'!AE43+'Fed Contracts Grnts-2Yr'!AE43+'Other Contracts Grnts-2Yr'!AE43+'Investment Income-2Yr'!AE43+'All Other E&amp;G-2Yr'!AE43</f>
        <v>766050.98399999994</v>
      </c>
      <c r="AF43" s="163">
        <f>+'Tuition-2Yr'!AF43+'State Appropriations-2Yr'!AF43+'Local Appropriations-2Yr'!AF43+'Fed Contracts Grnts-2Yr'!AF43+'Other Contracts Grnts-2Yr'!AF43+'Investment Income-2Yr'!AF43+'All Other E&amp;G-2Yr'!AF43</f>
        <v>584634.02499999991</v>
      </c>
      <c r="AG43" s="163">
        <f>+'Tuition-2Yr'!AG43+'State Appropriations-2Yr'!AG43+'Local Appropriations-2Yr'!AG43+'Fed Contracts Grnts-2Yr'!AG43+'Other Contracts Grnts-2Yr'!AG43+'Investment Income-2Yr'!AG43+'All Other E&amp;G-2Yr'!AG43</f>
        <v>611777.36699999997</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c r="HC43" s="20"/>
      <c r="HD43" s="20"/>
      <c r="HE43" s="20"/>
      <c r="HF43" s="20"/>
    </row>
    <row r="44" spans="1:214" s="65" customFormat="1" ht="12.75" customHeight="1">
      <c r="A44" s="23" t="s">
        <v>122</v>
      </c>
      <c r="B44" s="163">
        <f>+'Tuition-2Yr'!B44+'State Appropriations-2Yr'!B44+'Local Appropriations-2Yr'!B44+'Fed Contracts Grnts-2Yr'!B44+'Other Contracts Grnts-2Yr'!B44+'Investment Income-2Yr'!B44+'All Other E&amp;G-2Yr'!B44</f>
        <v>0</v>
      </c>
      <c r="C44" s="163">
        <f>+'Tuition-2Yr'!C44+'State Appropriations-2Yr'!C44+'Local Appropriations-2Yr'!C44+'Fed Contracts Grnts-2Yr'!C44+'Other Contracts Grnts-2Yr'!C44+'Investment Income-2Yr'!C44+'All Other E&amp;G-2Yr'!C44</f>
        <v>0</v>
      </c>
      <c r="D44" s="163">
        <f>+'Tuition-2Yr'!D44+'State Appropriations-2Yr'!D44+'Local Appropriations-2Yr'!D44+'Fed Contracts Grnts-2Yr'!D44+'Other Contracts Grnts-2Yr'!D44+'Investment Income-2Yr'!D44+'All Other E&amp;G-2Yr'!D44</f>
        <v>0</v>
      </c>
      <c r="E44" s="163">
        <f>+'Tuition-2Yr'!E44+'State Appropriations-2Yr'!E44+'Local Appropriations-2Yr'!E44+'Fed Contracts Grnts-2Yr'!E44+'Other Contracts Grnts-2Yr'!E44+'Investment Income-2Yr'!E44+'All Other E&amp;G-2Yr'!E44</f>
        <v>0</v>
      </c>
      <c r="F44" s="163">
        <f>+'Tuition-2Yr'!F44+'State Appropriations-2Yr'!F44+'Local Appropriations-2Yr'!F44+'Fed Contracts Grnts-2Yr'!F44+'Other Contracts Grnts-2Yr'!F44+'Investment Income-2Yr'!F44+'All Other E&amp;G-2Yr'!F44</f>
        <v>0</v>
      </c>
      <c r="G44" s="163">
        <f>+'Tuition-2Yr'!G44+'State Appropriations-2Yr'!G44+'Local Appropriations-2Yr'!G44+'Fed Contracts Grnts-2Yr'!G44+'Other Contracts Grnts-2Yr'!G44+'Investment Income-2Yr'!G44+'All Other E&amp;G-2Yr'!G44</f>
        <v>0</v>
      </c>
      <c r="H44" s="163">
        <f>+'Tuition-2Yr'!H44+'State Appropriations-2Yr'!H44+'Local Appropriations-2Yr'!H44+'Fed Contracts Grnts-2Yr'!H44+'Other Contracts Grnts-2Yr'!H44+'Investment Income-2Yr'!H44+'All Other E&amp;G-2Yr'!H44</f>
        <v>0</v>
      </c>
      <c r="I44" s="163">
        <f>+'Tuition-2Yr'!I44+'State Appropriations-2Yr'!I44+'Local Appropriations-2Yr'!I44+'Fed Contracts Grnts-2Yr'!I44+'Other Contracts Grnts-2Yr'!I44+'Investment Income-2Yr'!I44+'All Other E&amp;G-2Yr'!I44</f>
        <v>0</v>
      </c>
      <c r="J44" s="163">
        <f>+'Tuition-2Yr'!J44+'State Appropriations-2Yr'!J44+'Local Appropriations-2Yr'!J44+'Fed Contracts Grnts-2Yr'!J44+'Other Contracts Grnts-2Yr'!J44+'Investment Income-2Yr'!J44+'All Other E&amp;G-2Yr'!J44</f>
        <v>772406.98100000003</v>
      </c>
      <c r="K44" s="163">
        <f>+'Tuition-2Yr'!K44+'State Appropriations-2Yr'!K44+'Local Appropriations-2Yr'!K44+'Fed Contracts Grnts-2Yr'!K44+'Other Contracts Grnts-2Yr'!K44+'Investment Income-2Yr'!K44+'All Other E&amp;G-2Yr'!K44</f>
        <v>0</v>
      </c>
      <c r="L44" s="163">
        <f>+'Tuition-2Yr'!L44+'State Appropriations-2Yr'!L44+'Local Appropriations-2Yr'!L44+'Fed Contracts Grnts-2Yr'!L44+'Other Contracts Grnts-2Yr'!L44+'Investment Income-2Yr'!L44+'All Other E&amp;G-2Yr'!L44</f>
        <v>0</v>
      </c>
      <c r="M44" s="163">
        <f>+'Tuition-2Yr'!M44+'State Appropriations-2Yr'!M44+'Local Appropriations-2Yr'!M44+'Fed Contracts Grnts-2Yr'!M44+'Other Contracts Grnts-2Yr'!M44+'Investment Income-2Yr'!M44+'All Other E&amp;G-2Yr'!M44</f>
        <v>895065.13199999998</v>
      </c>
      <c r="N44" s="163">
        <f>+'Tuition-2Yr'!N44+'State Appropriations-2Yr'!N44+'Local Appropriations-2Yr'!N44+'Fed Contracts Grnts-2Yr'!N44+'Other Contracts Grnts-2Yr'!N44+'Investment Income-2Yr'!N44+'All Other E&amp;G-2Yr'!N44</f>
        <v>0</v>
      </c>
      <c r="O44" s="163">
        <f>+'Tuition-2Yr'!O44+'State Appropriations-2Yr'!O44+'Local Appropriations-2Yr'!O44+'Fed Contracts Grnts-2Yr'!O44+'Other Contracts Grnts-2Yr'!O44+'Investment Income-2Yr'!O44+'All Other E&amp;G-2Yr'!O44</f>
        <v>872564.63115999999</v>
      </c>
      <c r="P44" s="163">
        <f>+'Tuition-2Yr'!P44+'State Appropriations-2Yr'!P44+'Local Appropriations-2Yr'!P44+'Fed Contracts Grnts-2Yr'!P44+'Other Contracts Grnts-2Yr'!P44+'Investment Income-2Yr'!P44+'All Other E&amp;G-2Yr'!P44</f>
        <v>0</v>
      </c>
      <c r="Q44" s="163">
        <f>+'Tuition-2Yr'!Q44+'State Appropriations-2Yr'!Q44+'Local Appropriations-2Yr'!Q44+'Fed Contracts Grnts-2Yr'!Q44+'Other Contracts Grnts-2Yr'!Q44+'Investment Income-2Yr'!Q44+'All Other E&amp;G-2Yr'!Q44</f>
        <v>0</v>
      </c>
      <c r="R44" s="163">
        <f>+'Tuition-2Yr'!R44+'State Appropriations-2Yr'!R44+'Local Appropriations-2Yr'!R44+'Fed Contracts Grnts-2Yr'!R44+'Other Contracts Grnts-2Yr'!R44+'Investment Income-2Yr'!R44+'All Other E&amp;G-2Yr'!R44</f>
        <v>1078038.3729999999</v>
      </c>
      <c r="S44" s="163">
        <f>+'Tuition-2Yr'!S44+'State Appropriations-2Yr'!S44+'Local Appropriations-2Yr'!S44+'Fed Contracts Grnts-2Yr'!S44+'Other Contracts Grnts-2Yr'!S44+'Investment Income-2Yr'!S44+'All Other E&amp;G-2Yr'!S44</f>
        <v>1138790.3299999998</v>
      </c>
      <c r="T44" s="163">
        <f>+'Tuition-2Yr'!T44+'State Appropriations-2Yr'!T44+'Local Appropriations-2Yr'!T44+'Fed Contracts Grnts-2Yr'!T44+'Other Contracts Grnts-2Yr'!T44+'Investment Income-2Yr'!T44+'All Other E&amp;G-2Yr'!T44</f>
        <v>1237876.8630000001</v>
      </c>
      <c r="U44" s="163">
        <f>+'Tuition-2Yr'!U44+'State Appropriations-2Yr'!U44+'Local Appropriations-2Yr'!U44+'Fed Contracts Grnts-2Yr'!U44+'Other Contracts Grnts-2Yr'!U44+'Investment Income-2Yr'!U44+'All Other E&amp;G-2Yr'!U44</f>
        <v>1351390.8430000001</v>
      </c>
      <c r="V44" s="163">
        <f>+'Tuition-2Yr'!V44+'State Appropriations-2Yr'!V44+'Local Appropriations-2Yr'!V44+'Fed Contracts Grnts-2Yr'!V44+'Other Contracts Grnts-2Yr'!V44+'Investment Income-2Yr'!V44+'All Other E&amp;G-2Yr'!V44</f>
        <v>1361695.9240000001</v>
      </c>
      <c r="W44" s="163">
        <f>+'Tuition-2Yr'!W44+'State Appropriations-2Yr'!W44+'Local Appropriations-2Yr'!W44+'Fed Contracts Grnts-2Yr'!W44+'Other Contracts Grnts-2Yr'!W44+'Investment Income-2Yr'!W44+'All Other E&amp;G-2Yr'!W44</f>
        <v>1545507.7250000001</v>
      </c>
      <c r="X44" s="163">
        <f>+'Tuition-2Yr'!X44+'State Appropriations-2Yr'!X44+'Local Appropriations-2Yr'!X44+'Fed Contracts Grnts-2Yr'!X44+'Other Contracts Grnts-2Yr'!X44+'Investment Income-2Yr'!X44+'All Other E&amp;G-2Yr'!X44</f>
        <v>1512311.4400000002</v>
      </c>
      <c r="Y44" s="163">
        <f>+'Tuition-2Yr'!Y44+'State Appropriations-2Yr'!Y44+'Local Appropriations-2Yr'!Y44+'Fed Contracts Grnts-2Yr'!Y44+'Other Contracts Grnts-2Yr'!Y44+'Investment Income-2Yr'!Y44+'All Other E&amp;G-2Yr'!Y44</f>
        <v>1595886.2489999998</v>
      </c>
      <c r="Z44" s="163">
        <f>+'Tuition-2Yr'!Z44+'State Appropriations-2Yr'!Z44+'Local Appropriations-2Yr'!Z44+'Fed Contracts Grnts-2Yr'!Z44+'Other Contracts Grnts-2Yr'!Z44+'Investment Income-2Yr'!Z44+'All Other E&amp;G-2Yr'!Z44</f>
        <v>1694176.4310000001</v>
      </c>
      <c r="AA44" s="163">
        <f>+'Tuition-2Yr'!AA44+'State Appropriations-2Yr'!AA44+'Local Appropriations-2Yr'!AA44+'Fed Contracts Grnts-2Yr'!AA44+'Other Contracts Grnts-2Yr'!AA44+'Investment Income-2Yr'!AA44+'All Other E&amp;G-2Yr'!AA44</f>
        <v>1928722.726</v>
      </c>
      <c r="AB44" s="163">
        <f>+'Tuition-2Yr'!AB44+'State Appropriations-2Yr'!AB44+'Local Appropriations-2Yr'!AB44+'Fed Contracts Grnts-2Yr'!AB44+'Other Contracts Grnts-2Yr'!AB44+'Investment Income-2Yr'!AB44+'All Other E&amp;G-2Yr'!AB44</f>
        <v>2209374.7290000003</v>
      </c>
      <c r="AC44" s="163">
        <f>+'Tuition-2Yr'!AC44+'State Appropriations-2Yr'!AC44+'Local Appropriations-2Yr'!AC44+'Fed Contracts Grnts-2Yr'!AC44+'Other Contracts Grnts-2Yr'!AC44+'Investment Income-2Yr'!AC44+'All Other E&amp;G-2Yr'!AC44</f>
        <v>2279467</v>
      </c>
      <c r="AD44" s="163">
        <f>+'Tuition-2Yr'!AD44+'State Appropriations-2Yr'!AD44+'Local Appropriations-2Yr'!AD44+'Fed Contracts Grnts-2Yr'!AD44+'Other Contracts Grnts-2Yr'!AD44+'Investment Income-2Yr'!AD44+'All Other E&amp;G-2Yr'!AD44</f>
        <v>2186921.8110000002</v>
      </c>
      <c r="AE44" s="163">
        <f>+'Tuition-2Yr'!AE44+'State Appropriations-2Yr'!AE44+'Local Appropriations-2Yr'!AE44+'Fed Contracts Grnts-2Yr'!AE44+'Other Contracts Grnts-2Yr'!AE44+'Investment Income-2Yr'!AE44+'All Other E&amp;G-2Yr'!AE44</f>
        <v>2083977.1390000002</v>
      </c>
      <c r="AF44" s="163">
        <f>+'Tuition-2Yr'!AF44+'State Appropriations-2Yr'!AF44+'Local Appropriations-2Yr'!AF44+'Fed Contracts Grnts-2Yr'!AF44+'Other Contracts Grnts-2Yr'!AF44+'Investment Income-2Yr'!AF44+'All Other E&amp;G-2Yr'!AF44</f>
        <v>1959749.1770000001</v>
      </c>
      <c r="AG44" s="163">
        <f>+'Tuition-2Yr'!AG44+'State Appropriations-2Yr'!AG44+'Local Appropriations-2Yr'!AG44+'Fed Contracts Grnts-2Yr'!AG44+'Other Contracts Grnts-2Yr'!AG44+'Investment Income-2Yr'!AG44+'All Other E&amp;G-2Yr'!AG44</f>
        <v>1969579.0880000002</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c r="HC44" s="20"/>
      <c r="HD44" s="20"/>
      <c r="HE44" s="20"/>
      <c r="HF44" s="20"/>
    </row>
    <row r="45" spans="1:214" s="65" customFormat="1" ht="12.75" customHeight="1">
      <c r="A45" s="23" t="s">
        <v>123</v>
      </c>
      <c r="B45" s="163">
        <f>+'Tuition-2Yr'!B45+'State Appropriations-2Yr'!B45+'Local Appropriations-2Yr'!B45+'Fed Contracts Grnts-2Yr'!B45+'Other Contracts Grnts-2Yr'!B45+'Investment Income-2Yr'!B45+'All Other E&amp;G-2Yr'!B45</f>
        <v>0</v>
      </c>
      <c r="C45" s="163">
        <f>+'Tuition-2Yr'!C45+'State Appropriations-2Yr'!C45+'Local Appropriations-2Yr'!C45+'Fed Contracts Grnts-2Yr'!C45+'Other Contracts Grnts-2Yr'!C45+'Investment Income-2Yr'!C45+'All Other E&amp;G-2Yr'!C45</f>
        <v>0</v>
      </c>
      <c r="D45" s="163">
        <f>+'Tuition-2Yr'!D45+'State Appropriations-2Yr'!D45+'Local Appropriations-2Yr'!D45+'Fed Contracts Grnts-2Yr'!D45+'Other Contracts Grnts-2Yr'!D45+'Investment Income-2Yr'!D45+'All Other E&amp;G-2Yr'!D45</f>
        <v>0</v>
      </c>
      <c r="E45" s="163">
        <f>+'Tuition-2Yr'!E45+'State Appropriations-2Yr'!E45+'Local Appropriations-2Yr'!E45+'Fed Contracts Grnts-2Yr'!E45+'Other Contracts Grnts-2Yr'!E45+'Investment Income-2Yr'!E45+'All Other E&amp;G-2Yr'!E45</f>
        <v>0</v>
      </c>
      <c r="F45" s="163">
        <f>+'Tuition-2Yr'!F45+'State Appropriations-2Yr'!F45+'Local Appropriations-2Yr'!F45+'Fed Contracts Grnts-2Yr'!F45+'Other Contracts Grnts-2Yr'!F45+'Investment Income-2Yr'!F45+'All Other E&amp;G-2Yr'!F45</f>
        <v>0</v>
      </c>
      <c r="G45" s="163">
        <f>+'Tuition-2Yr'!G45+'State Appropriations-2Yr'!G45+'Local Appropriations-2Yr'!G45+'Fed Contracts Grnts-2Yr'!G45+'Other Contracts Grnts-2Yr'!G45+'Investment Income-2Yr'!G45+'All Other E&amp;G-2Yr'!G45</f>
        <v>0</v>
      </c>
      <c r="H45" s="163">
        <f>+'Tuition-2Yr'!H45+'State Appropriations-2Yr'!H45+'Local Appropriations-2Yr'!H45+'Fed Contracts Grnts-2Yr'!H45+'Other Contracts Grnts-2Yr'!H45+'Investment Income-2Yr'!H45+'All Other E&amp;G-2Yr'!H45</f>
        <v>0</v>
      </c>
      <c r="I45" s="163">
        <f>+'Tuition-2Yr'!I45+'State Appropriations-2Yr'!I45+'Local Appropriations-2Yr'!I45+'Fed Contracts Grnts-2Yr'!I45+'Other Contracts Grnts-2Yr'!I45+'Investment Income-2Yr'!I45+'All Other E&amp;G-2Yr'!I45</f>
        <v>0</v>
      </c>
      <c r="J45" s="163">
        <f>+'Tuition-2Yr'!J45+'State Appropriations-2Yr'!J45+'Local Appropriations-2Yr'!J45+'Fed Contracts Grnts-2Yr'!J45+'Other Contracts Grnts-2Yr'!J45+'Investment Income-2Yr'!J45+'All Other E&amp;G-2Yr'!J45</f>
        <v>396356.20599999995</v>
      </c>
      <c r="K45" s="163">
        <f>+'Tuition-2Yr'!K45+'State Appropriations-2Yr'!K45+'Local Appropriations-2Yr'!K45+'Fed Contracts Grnts-2Yr'!K45+'Other Contracts Grnts-2Yr'!K45+'Investment Income-2Yr'!K45+'All Other E&amp;G-2Yr'!K45</f>
        <v>0</v>
      </c>
      <c r="L45" s="163">
        <f>+'Tuition-2Yr'!L45+'State Appropriations-2Yr'!L45+'Local Appropriations-2Yr'!L45+'Fed Contracts Grnts-2Yr'!L45+'Other Contracts Grnts-2Yr'!L45+'Investment Income-2Yr'!L45+'All Other E&amp;G-2Yr'!L45</f>
        <v>0</v>
      </c>
      <c r="M45" s="163">
        <f>+'Tuition-2Yr'!M45+'State Appropriations-2Yr'!M45+'Local Appropriations-2Yr'!M45+'Fed Contracts Grnts-2Yr'!M45+'Other Contracts Grnts-2Yr'!M45+'Investment Income-2Yr'!M45+'All Other E&amp;G-2Yr'!M45</f>
        <v>526900.69899999991</v>
      </c>
      <c r="N45" s="163">
        <f>+'Tuition-2Yr'!N45+'State Appropriations-2Yr'!N45+'Local Appropriations-2Yr'!N45+'Fed Contracts Grnts-2Yr'!N45+'Other Contracts Grnts-2Yr'!N45+'Investment Income-2Yr'!N45+'All Other E&amp;G-2Yr'!N45</f>
        <v>0</v>
      </c>
      <c r="O45" s="163">
        <f>+'Tuition-2Yr'!O45+'State Appropriations-2Yr'!O45+'Local Appropriations-2Yr'!O45+'Fed Contracts Grnts-2Yr'!O45+'Other Contracts Grnts-2Yr'!O45+'Investment Income-2Yr'!O45+'All Other E&amp;G-2Yr'!O45</f>
        <v>620266.87120000005</v>
      </c>
      <c r="P45" s="163">
        <f>+'Tuition-2Yr'!P45+'State Appropriations-2Yr'!P45+'Local Appropriations-2Yr'!P45+'Fed Contracts Grnts-2Yr'!P45+'Other Contracts Grnts-2Yr'!P45+'Investment Income-2Yr'!P45+'All Other E&amp;G-2Yr'!P45</f>
        <v>0</v>
      </c>
      <c r="Q45" s="163">
        <f>+'Tuition-2Yr'!Q45+'State Appropriations-2Yr'!Q45+'Local Appropriations-2Yr'!Q45+'Fed Contracts Grnts-2Yr'!Q45+'Other Contracts Grnts-2Yr'!Q45+'Investment Income-2Yr'!Q45+'All Other E&amp;G-2Yr'!Q45</f>
        <v>0</v>
      </c>
      <c r="R45" s="163">
        <f>+'Tuition-2Yr'!R45+'State Appropriations-2Yr'!R45+'Local Appropriations-2Yr'!R45+'Fed Contracts Grnts-2Yr'!R45+'Other Contracts Grnts-2Yr'!R45+'Investment Income-2Yr'!R45+'All Other E&amp;G-2Yr'!R45</f>
        <v>627084.90100000007</v>
      </c>
      <c r="S45" s="163">
        <f>+'Tuition-2Yr'!S45+'State Appropriations-2Yr'!S45+'Local Appropriations-2Yr'!S45+'Fed Contracts Grnts-2Yr'!S45+'Other Contracts Grnts-2Yr'!S45+'Investment Income-2Yr'!S45+'All Other E&amp;G-2Yr'!S45</f>
        <v>691273.98300000012</v>
      </c>
      <c r="T45" s="163">
        <f>+'Tuition-2Yr'!T45+'State Appropriations-2Yr'!T45+'Local Appropriations-2Yr'!T45+'Fed Contracts Grnts-2Yr'!T45+'Other Contracts Grnts-2Yr'!T45+'Investment Income-2Yr'!T45+'All Other E&amp;G-2Yr'!T45</f>
        <v>728131.4879999999</v>
      </c>
      <c r="U45" s="163">
        <f>+'Tuition-2Yr'!U45+'State Appropriations-2Yr'!U45+'Local Appropriations-2Yr'!U45+'Fed Contracts Grnts-2Yr'!U45+'Other Contracts Grnts-2Yr'!U45+'Investment Income-2Yr'!U45+'All Other E&amp;G-2Yr'!U45</f>
        <v>724435.03600000008</v>
      </c>
      <c r="V45" s="163">
        <f>+'Tuition-2Yr'!V45+'State Appropriations-2Yr'!V45+'Local Appropriations-2Yr'!V45+'Fed Contracts Grnts-2Yr'!V45+'Other Contracts Grnts-2Yr'!V45+'Investment Income-2Yr'!V45+'All Other E&amp;G-2Yr'!V45</f>
        <v>725373.55900000001</v>
      </c>
      <c r="W45" s="163">
        <f>+'Tuition-2Yr'!W45+'State Appropriations-2Yr'!W45+'Local Appropriations-2Yr'!W45+'Fed Contracts Grnts-2Yr'!W45+'Other Contracts Grnts-2Yr'!W45+'Investment Income-2Yr'!W45+'All Other E&amp;G-2Yr'!W45</f>
        <v>808413.23499999999</v>
      </c>
      <c r="X45" s="163">
        <f>+'Tuition-2Yr'!X45+'State Appropriations-2Yr'!X45+'Local Appropriations-2Yr'!X45+'Fed Contracts Grnts-2Yr'!X45+'Other Contracts Grnts-2Yr'!X45+'Investment Income-2Yr'!X45+'All Other E&amp;G-2Yr'!X45</f>
        <v>758915.92</v>
      </c>
      <c r="Y45" s="163">
        <f>+'Tuition-2Yr'!Y45+'State Appropriations-2Yr'!Y45+'Local Appropriations-2Yr'!Y45+'Fed Contracts Grnts-2Yr'!Y45+'Other Contracts Grnts-2Yr'!Y45+'Investment Income-2Yr'!Y45+'All Other E&amp;G-2Yr'!Y45</f>
        <v>812967.56699999992</v>
      </c>
      <c r="Z45" s="163">
        <f>+'Tuition-2Yr'!Z45+'State Appropriations-2Yr'!Z45+'Local Appropriations-2Yr'!Z45+'Fed Contracts Grnts-2Yr'!Z45+'Other Contracts Grnts-2Yr'!Z45+'Investment Income-2Yr'!Z45+'All Other E&amp;G-2Yr'!Z45</f>
        <v>885906.64899999998</v>
      </c>
      <c r="AA45" s="163">
        <f>+'Tuition-2Yr'!AA45+'State Appropriations-2Yr'!AA45+'Local Appropriations-2Yr'!AA45+'Fed Contracts Grnts-2Yr'!AA45+'Other Contracts Grnts-2Yr'!AA45+'Investment Income-2Yr'!AA45+'All Other E&amp;G-2Yr'!AA45</f>
        <v>1059820.7779999999</v>
      </c>
      <c r="AB45" s="163">
        <f>+'Tuition-2Yr'!AB45+'State Appropriations-2Yr'!AB45+'Local Appropriations-2Yr'!AB45+'Fed Contracts Grnts-2Yr'!AB45+'Other Contracts Grnts-2Yr'!AB45+'Investment Income-2Yr'!AB45+'All Other E&amp;G-2Yr'!AB45</f>
        <v>1163045.7590000001</v>
      </c>
      <c r="AC45" s="163">
        <f>+'Tuition-2Yr'!AC45+'State Appropriations-2Yr'!AC45+'Local Appropriations-2Yr'!AC45+'Fed Contracts Grnts-2Yr'!AC45+'Other Contracts Grnts-2Yr'!AC45+'Investment Income-2Yr'!AC45+'All Other E&amp;G-2Yr'!AC45</f>
        <v>1220871</v>
      </c>
      <c r="AD45" s="163">
        <f>+'Tuition-2Yr'!AD45+'State Appropriations-2Yr'!AD45+'Local Appropriations-2Yr'!AD45+'Fed Contracts Grnts-2Yr'!AD45+'Other Contracts Grnts-2Yr'!AD45+'Investment Income-2Yr'!AD45+'All Other E&amp;G-2Yr'!AD45</f>
        <v>1165489.237</v>
      </c>
      <c r="AE45" s="163">
        <f>+'Tuition-2Yr'!AE45+'State Appropriations-2Yr'!AE45+'Local Appropriations-2Yr'!AE45+'Fed Contracts Grnts-2Yr'!AE45+'Other Contracts Grnts-2Yr'!AE45+'Investment Income-2Yr'!AE45+'All Other E&amp;G-2Yr'!AE45</f>
        <v>1176411.2159999998</v>
      </c>
      <c r="AF45" s="163">
        <f>+'Tuition-2Yr'!AF45+'State Appropriations-2Yr'!AF45+'Local Appropriations-2Yr'!AF45+'Fed Contracts Grnts-2Yr'!AF45+'Other Contracts Grnts-2Yr'!AF45+'Investment Income-2Yr'!AF45+'All Other E&amp;G-2Yr'!AF45</f>
        <v>891970.77299999981</v>
      </c>
      <c r="AG45" s="163">
        <f>+'Tuition-2Yr'!AG45+'State Appropriations-2Yr'!AG45+'Local Appropriations-2Yr'!AG45+'Fed Contracts Grnts-2Yr'!AG45+'Other Contracts Grnts-2Yr'!AG45+'Investment Income-2Yr'!AG45+'All Other E&amp;G-2Yr'!AG45</f>
        <v>901095.13199999998</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c r="HC45" s="20"/>
      <c r="HD45" s="20"/>
      <c r="HE45" s="20"/>
      <c r="HF45" s="20"/>
    </row>
    <row r="46" spans="1:214" s="65" customFormat="1" ht="12.75" customHeight="1">
      <c r="A46" s="23" t="s">
        <v>67</v>
      </c>
      <c r="B46" s="163">
        <f>+'Tuition-2Yr'!B46+'State Appropriations-2Yr'!B46+'Local Appropriations-2Yr'!B46+'Fed Contracts Grnts-2Yr'!B46+'Other Contracts Grnts-2Yr'!B46+'Investment Income-2Yr'!B46+'All Other E&amp;G-2Yr'!B46</f>
        <v>0</v>
      </c>
      <c r="C46" s="163">
        <f>+'Tuition-2Yr'!C46+'State Appropriations-2Yr'!C46+'Local Appropriations-2Yr'!C46+'Fed Contracts Grnts-2Yr'!C46+'Other Contracts Grnts-2Yr'!C46+'Investment Income-2Yr'!C46+'All Other E&amp;G-2Yr'!C46</f>
        <v>0</v>
      </c>
      <c r="D46" s="163">
        <f>+'Tuition-2Yr'!D46+'State Appropriations-2Yr'!D46+'Local Appropriations-2Yr'!D46+'Fed Contracts Grnts-2Yr'!D46+'Other Contracts Grnts-2Yr'!D46+'Investment Income-2Yr'!D46+'All Other E&amp;G-2Yr'!D46</f>
        <v>0</v>
      </c>
      <c r="E46" s="163">
        <f>+'Tuition-2Yr'!E46+'State Appropriations-2Yr'!E46+'Local Appropriations-2Yr'!E46+'Fed Contracts Grnts-2Yr'!E46+'Other Contracts Grnts-2Yr'!E46+'Investment Income-2Yr'!E46+'All Other E&amp;G-2Yr'!E46</f>
        <v>0</v>
      </c>
      <c r="F46" s="163">
        <f>+'Tuition-2Yr'!F46+'State Appropriations-2Yr'!F46+'Local Appropriations-2Yr'!F46+'Fed Contracts Grnts-2Yr'!F46+'Other Contracts Grnts-2Yr'!F46+'Investment Income-2Yr'!F46+'All Other E&amp;G-2Yr'!F46</f>
        <v>0</v>
      </c>
      <c r="G46" s="163">
        <f>+'Tuition-2Yr'!G46+'State Appropriations-2Yr'!G46+'Local Appropriations-2Yr'!G46+'Fed Contracts Grnts-2Yr'!G46+'Other Contracts Grnts-2Yr'!G46+'Investment Income-2Yr'!G46+'All Other E&amp;G-2Yr'!G46</f>
        <v>0</v>
      </c>
      <c r="H46" s="163">
        <f>+'Tuition-2Yr'!H46+'State Appropriations-2Yr'!H46+'Local Appropriations-2Yr'!H46+'Fed Contracts Grnts-2Yr'!H46+'Other Contracts Grnts-2Yr'!H46+'Investment Income-2Yr'!H46+'All Other E&amp;G-2Yr'!H46</f>
        <v>0</v>
      </c>
      <c r="I46" s="163">
        <f>+'Tuition-2Yr'!I46+'State Appropriations-2Yr'!I46+'Local Appropriations-2Yr'!I46+'Fed Contracts Grnts-2Yr'!I46+'Other Contracts Grnts-2Yr'!I46+'Investment Income-2Yr'!I46+'All Other E&amp;G-2Yr'!I46</f>
        <v>0</v>
      </c>
      <c r="J46" s="163">
        <f>+'Tuition-2Yr'!J46+'State Appropriations-2Yr'!J46+'Local Appropriations-2Yr'!J46+'Fed Contracts Grnts-2Yr'!J46+'Other Contracts Grnts-2Yr'!J46+'Investment Income-2Yr'!J46+'All Other E&amp;G-2Yr'!J46</f>
        <v>220885.68699999998</v>
      </c>
      <c r="K46" s="163">
        <f>+'Tuition-2Yr'!K46+'State Appropriations-2Yr'!K46+'Local Appropriations-2Yr'!K46+'Fed Contracts Grnts-2Yr'!K46+'Other Contracts Grnts-2Yr'!K46+'Investment Income-2Yr'!K46+'All Other E&amp;G-2Yr'!K46</f>
        <v>0</v>
      </c>
      <c r="L46" s="163">
        <f>+'Tuition-2Yr'!L46+'State Appropriations-2Yr'!L46+'Local Appropriations-2Yr'!L46+'Fed Contracts Grnts-2Yr'!L46+'Other Contracts Grnts-2Yr'!L46+'Investment Income-2Yr'!L46+'All Other E&amp;G-2Yr'!L46</f>
        <v>0</v>
      </c>
      <c r="M46" s="163">
        <f>+'Tuition-2Yr'!M46+'State Appropriations-2Yr'!M46+'Local Appropriations-2Yr'!M46+'Fed Contracts Grnts-2Yr'!M46+'Other Contracts Grnts-2Yr'!M46+'Investment Income-2Yr'!M46+'All Other E&amp;G-2Yr'!M46</f>
        <v>107948.173</v>
      </c>
      <c r="N46" s="163">
        <f>+'Tuition-2Yr'!N46+'State Appropriations-2Yr'!N46+'Local Appropriations-2Yr'!N46+'Fed Contracts Grnts-2Yr'!N46+'Other Contracts Grnts-2Yr'!N46+'Investment Income-2Yr'!N46+'All Other E&amp;G-2Yr'!N46</f>
        <v>0</v>
      </c>
      <c r="O46" s="163">
        <f>+'Tuition-2Yr'!O46+'State Appropriations-2Yr'!O46+'Local Appropriations-2Yr'!O46+'Fed Contracts Grnts-2Yr'!O46+'Other Contracts Grnts-2Yr'!O46+'Investment Income-2Yr'!O46+'All Other E&amp;G-2Yr'!O46</f>
        <v>357601.859</v>
      </c>
      <c r="P46" s="163">
        <f>+'Tuition-2Yr'!P46+'State Appropriations-2Yr'!P46+'Local Appropriations-2Yr'!P46+'Fed Contracts Grnts-2Yr'!P46+'Other Contracts Grnts-2Yr'!P46+'Investment Income-2Yr'!P46+'All Other E&amp;G-2Yr'!P46</f>
        <v>0</v>
      </c>
      <c r="Q46" s="163">
        <f>+'Tuition-2Yr'!Q46+'State Appropriations-2Yr'!Q46+'Local Appropriations-2Yr'!Q46+'Fed Contracts Grnts-2Yr'!Q46+'Other Contracts Grnts-2Yr'!Q46+'Investment Income-2Yr'!Q46+'All Other E&amp;G-2Yr'!Q46</f>
        <v>0</v>
      </c>
      <c r="R46" s="163">
        <f>+'Tuition-2Yr'!R46+'State Appropriations-2Yr'!R46+'Local Appropriations-2Yr'!R46+'Fed Contracts Grnts-2Yr'!R46+'Other Contracts Grnts-2Yr'!R46+'Investment Income-2Yr'!R46+'All Other E&amp;G-2Yr'!R46</f>
        <v>195854.522</v>
      </c>
      <c r="S46" s="163">
        <f>+'Tuition-2Yr'!S46+'State Appropriations-2Yr'!S46+'Local Appropriations-2Yr'!S46+'Fed Contracts Grnts-2Yr'!S46+'Other Contracts Grnts-2Yr'!S46+'Investment Income-2Yr'!S46+'All Other E&amp;G-2Yr'!S46</f>
        <v>337639.06099999999</v>
      </c>
      <c r="T46" s="163">
        <f>+'Tuition-2Yr'!T46+'State Appropriations-2Yr'!T46+'Local Appropriations-2Yr'!T46+'Fed Contracts Grnts-2Yr'!T46+'Other Contracts Grnts-2Yr'!T46+'Investment Income-2Yr'!T46+'All Other E&amp;G-2Yr'!T46</f>
        <v>210694.277</v>
      </c>
      <c r="U46" s="163">
        <f>+'Tuition-2Yr'!U46+'State Appropriations-2Yr'!U46+'Local Appropriations-2Yr'!U46+'Fed Contracts Grnts-2Yr'!U46+'Other Contracts Grnts-2Yr'!U46+'Investment Income-2Yr'!U46+'All Other E&amp;G-2Yr'!U46</f>
        <v>227990.136</v>
      </c>
      <c r="V46" s="163">
        <f>+'Tuition-2Yr'!V46+'State Appropriations-2Yr'!V46+'Local Appropriations-2Yr'!V46+'Fed Contracts Grnts-2Yr'!V46+'Other Contracts Grnts-2Yr'!V46+'Investment Income-2Yr'!V46+'All Other E&amp;G-2Yr'!V46</f>
        <v>239196.42</v>
      </c>
      <c r="W46" s="163">
        <f>+'Tuition-2Yr'!W46+'State Appropriations-2Yr'!W46+'Local Appropriations-2Yr'!W46+'Fed Contracts Grnts-2Yr'!W46+'Other Contracts Grnts-2Yr'!W46+'Investment Income-2Yr'!W46+'All Other E&amp;G-2Yr'!W46</f>
        <v>279287.59899999999</v>
      </c>
      <c r="X46" s="163">
        <f>+'Tuition-2Yr'!X46+'State Appropriations-2Yr'!X46+'Local Appropriations-2Yr'!X46+'Fed Contracts Grnts-2Yr'!X46+'Other Contracts Grnts-2Yr'!X46+'Investment Income-2Yr'!X46+'All Other E&amp;G-2Yr'!X46</f>
        <v>259926.03400000001</v>
      </c>
      <c r="Y46" s="163">
        <f>+'Tuition-2Yr'!Y46+'State Appropriations-2Yr'!Y46+'Local Appropriations-2Yr'!Y46+'Fed Contracts Grnts-2Yr'!Y46+'Other Contracts Grnts-2Yr'!Y46+'Investment Income-2Yr'!Y46+'All Other E&amp;G-2Yr'!Y46</f>
        <v>279041.61399999994</v>
      </c>
      <c r="Z46" s="163">
        <f>+'Tuition-2Yr'!Z46+'State Appropriations-2Yr'!Z46+'Local Appropriations-2Yr'!Z46+'Fed Contracts Grnts-2Yr'!Z46+'Other Contracts Grnts-2Yr'!Z46+'Investment Income-2Yr'!Z46+'All Other E&amp;G-2Yr'!Z46</f>
        <v>329217.63699999999</v>
      </c>
      <c r="AA46" s="163">
        <f>+'Tuition-2Yr'!AA46+'State Appropriations-2Yr'!AA46+'Local Appropriations-2Yr'!AA46+'Fed Contracts Grnts-2Yr'!AA46+'Other Contracts Grnts-2Yr'!AA46+'Investment Income-2Yr'!AA46+'All Other E&amp;G-2Yr'!AA46</f>
        <v>368330.58999999997</v>
      </c>
      <c r="AB46" s="163">
        <f>+'Tuition-2Yr'!AB46+'State Appropriations-2Yr'!AB46+'Local Appropriations-2Yr'!AB46+'Fed Contracts Grnts-2Yr'!AB46+'Other Contracts Grnts-2Yr'!AB46+'Investment Income-2Yr'!AB46+'All Other E&amp;G-2Yr'!AB46</f>
        <v>461247.071</v>
      </c>
      <c r="AC46" s="163">
        <f>+'Tuition-2Yr'!AC46+'State Appropriations-2Yr'!AC46+'Local Appropriations-2Yr'!AC46+'Fed Contracts Grnts-2Yr'!AC46+'Other Contracts Grnts-2Yr'!AC46+'Investment Income-2Yr'!AC46+'All Other E&amp;G-2Yr'!AC46</f>
        <v>737450</v>
      </c>
      <c r="AD46" s="163">
        <f>+'Tuition-2Yr'!AD46+'State Appropriations-2Yr'!AD46+'Local Appropriations-2Yr'!AD46+'Fed Contracts Grnts-2Yr'!AD46+'Other Contracts Grnts-2Yr'!AD46+'Investment Income-2Yr'!AD46+'All Other E&amp;G-2Yr'!AD46</f>
        <v>764435.97400000005</v>
      </c>
      <c r="AE46" s="163">
        <f>+'Tuition-2Yr'!AE46+'State Appropriations-2Yr'!AE46+'Local Appropriations-2Yr'!AE46+'Fed Contracts Grnts-2Yr'!AE46+'Other Contracts Grnts-2Yr'!AE46+'Investment Income-2Yr'!AE46+'All Other E&amp;G-2Yr'!AE46</f>
        <v>723263.60200000007</v>
      </c>
      <c r="AF46" s="163">
        <f>+'Tuition-2Yr'!AF46+'State Appropriations-2Yr'!AF46+'Local Appropriations-2Yr'!AF46+'Fed Contracts Grnts-2Yr'!AF46+'Other Contracts Grnts-2Yr'!AF46+'Investment Income-2Yr'!AF46+'All Other E&amp;G-2Yr'!AF46</f>
        <v>881742.24499999988</v>
      </c>
      <c r="AG46" s="163">
        <f>+'Tuition-2Yr'!AG46+'State Appropriations-2Yr'!AG46+'Local Appropriations-2Yr'!AG46+'Fed Contracts Grnts-2Yr'!AG46+'Other Contracts Grnts-2Yr'!AG46+'Investment Income-2Yr'!AG46+'All Other E&amp;G-2Yr'!AG46</f>
        <v>851246.44800000009</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c r="HC46" s="20"/>
      <c r="HD46" s="20"/>
      <c r="HE46" s="20"/>
      <c r="HF46" s="20"/>
    </row>
    <row r="47" spans="1:214" s="65" customFormat="1" ht="12.75" customHeight="1">
      <c r="A47" s="23" t="s">
        <v>125</v>
      </c>
      <c r="B47" s="163">
        <f>+'Tuition-2Yr'!B47+'State Appropriations-2Yr'!B47+'Local Appropriations-2Yr'!B47+'Fed Contracts Grnts-2Yr'!B47+'Other Contracts Grnts-2Yr'!B47+'Investment Income-2Yr'!B47+'All Other E&amp;G-2Yr'!B47</f>
        <v>0</v>
      </c>
      <c r="C47" s="163">
        <f>+'Tuition-2Yr'!C47+'State Appropriations-2Yr'!C47+'Local Appropriations-2Yr'!C47+'Fed Contracts Grnts-2Yr'!C47+'Other Contracts Grnts-2Yr'!C47+'Investment Income-2Yr'!C47+'All Other E&amp;G-2Yr'!C47</f>
        <v>0</v>
      </c>
      <c r="D47" s="163">
        <f>+'Tuition-2Yr'!D47+'State Appropriations-2Yr'!D47+'Local Appropriations-2Yr'!D47+'Fed Contracts Grnts-2Yr'!D47+'Other Contracts Grnts-2Yr'!D47+'Investment Income-2Yr'!D47+'All Other E&amp;G-2Yr'!D47</f>
        <v>0</v>
      </c>
      <c r="E47" s="163">
        <f>+'Tuition-2Yr'!E47+'State Appropriations-2Yr'!E47+'Local Appropriations-2Yr'!E47+'Fed Contracts Grnts-2Yr'!E47+'Other Contracts Grnts-2Yr'!E47+'Investment Income-2Yr'!E47+'All Other E&amp;G-2Yr'!E47</f>
        <v>0</v>
      </c>
      <c r="F47" s="163">
        <f>+'Tuition-2Yr'!F47+'State Appropriations-2Yr'!F47+'Local Appropriations-2Yr'!F47+'Fed Contracts Grnts-2Yr'!F47+'Other Contracts Grnts-2Yr'!F47+'Investment Income-2Yr'!F47+'All Other E&amp;G-2Yr'!F47</f>
        <v>0</v>
      </c>
      <c r="G47" s="163">
        <f>+'Tuition-2Yr'!G47+'State Appropriations-2Yr'!G47+'Local Appropriations-2Yr'!G47+'Fed Contracts Grnts-2Yr'!G47+'Other Contracts Grnts-2Yr'!G47+'Investment Income-2Yr'!G47+'All Other E&amp;G-2Yr'!G47</f>
        <v>0</v>
      </c>
      <c r="H47" s="163">
        <f>+'Tuition-2Yr'!H47+'State Appropriations-2Yr'!H47+'Local Appropriations-2Yr'!H47+'Fed Contracts Grnts-2Yr'!H47+'Other Contracts Grnts-2Yr'!H47+'Investment Income-2Yr'!H47+'All Other E&amp;G-2Yr'!H47</f>
        <v>0</v>
      </c>
      <c r="I47" s="163">
        <f>+'Tuition-2Yr'!I47+'State Appropriations-2Yr'!I47+'Local Appropriations-2Yr'!I47+'Fed Contracts Grnts-2Yr'!I47+'Other Contracts Grnts-2Yr'!I47+'Investment Income-2Yr'!I47+'All Other E&amp;G-2Yr'!I47</f>
        <v>0</v>
      </c>
      <c r="J47" s="163">
        <f>+'Tuition-2Yr'!J47+'State Appropriations-2Yr'!J47+'Local Appropriations-2Yr'!J47+'Fed Contracts Grnts-2Yr'!J47+'Other Contracts Grnts-2Yr'!J47+'Investment Income-2Yr'!J47+'All Other E&amp;G-2Yr'!J47</f>
        <v>87811.060999999987</v>
      </c>
      <c r="K47" s="163">
        <f>+'Tuition-2Yr'!K47+'State Appropriations-2Yr'!K47+'Local Appropriations-2Yr'!K47+'Fed Contracts Grnts-2Yr'!K47+'Other Contracts Grnts-2Yr'!K47+'Investment Income-2Yr'!K47+'All Other E&amp;G-2Yr'!K47</f>
        <v>0</v>
      </c>
      <c r="L47" s="163">
        <f>+'Tuition-2Yr'!L47+'State Appropriations-2Yr'!L47+'Local Appropriations-2Yr'!L47+'Fed Contracts Grnts-2Yr'!L47+'Other Contracts Grnts-2Yr'!L47+'Investment Income-2Yr'!L47+'All Other E&amp;G-2Yr'!L47</f>
        <v>0</v>
      </c>
      <c r="M47" s="163">
        <f>+'Tuition-2Yr'!M47+'State Appropriations-2Yr'!M47+'Local Appropriations-2Yr'!M47+'Fed Contracts Grnts-2Yr'!M47+'Other Contracts Grnts-2Yr'!M47+'Investment Income-2Yr'!M47+'All Other E&amp;G-2Yr'!M47</f>
        <v>91634.83</v>
      </c>
      <c r="N47" s="163">
        <f>+'Tuition-2Yr'!N47+'State Appropriations-2Yr'!N47+'Local Appropriations-2Yr'!N47+'Fed Contracts Grnts-2Yr'!N47+'Other Contracts Grnts-2Yr'!N47+'Investment Income-2Yr'!N47+'All Other E&amp;G-2Yr'!N47</f>
        <v>0</v>
      </c>
      <c r="O47" s="163">
        <f>+'Tuition-2Yr'!O47+'State Appropriations-2Yr'!O47+'Local Appropriations-2Yr'!O47+'Fed Contracts Grnts-2Yr'!O47+'Other Contracts Grnts-2Yr'!O47+'Investment Income-2Yr'!O47+'All Other E&amp;G-2Yr'!O47</f>
        <v>155058.859</v>
      </c>
      <c r="P47" s="163">
        <f>+'Tuition-2Yr'!P47+'State Appropriations-2Yr'!P47+'Local Appropriations-2Yr'!P47+'Fed Contracts Grnts-2Yr'!P47+'Other Contracts Grnts-2Yr'!P47+'Investment Income-2Yr'!P47+'All Other E&amp;G-2Yr'!P47</f>
        <v>0</v>
      </c>
      <c r="Q47" s="163">
        <f>+'Tuition-2Yr'!Q47+'State Appropriations-2Yr'!Q47+'Local Appropriations-2Yr'!Q47+'Fed Contracts Grnts-2Yr'!Q47+'Other Contracts Grnts-2Yr'!Q47+'Investment Income-2Yr'!Q47+'All Other E&amp;G-2Yr'!Q47</f>
        <v>0</v>
      </c>
      <c r="R47" s="163">
        <f>+'Tuition-2Yr'!R47+'State Appropriations-2Yr'!R47+'Local Appropriations-2Yr'!R47+'Fed Contracts Grnts-2Yr'!R47+'Other Contracts Grnts-2Yr'!R47+'Investment Income-2Yr'!R47+'All Other E&amp;G-2Yr'!R47</f>
        <v>184158.95199999999</v>
      </c>
      <c r="S47" s="163">
        <f>+'Tuition-2Yr'!S47+'State Appropriations-2Yr'!S47+'Local Appropriations-2Yr'!S47+'Fed Contracts Grnts-2Yr'!S47+'Other Contracts Grnts-2Yr'!S47+'Investment Income-2Yr'!S47+'All Other E&amp;G-2Yr'!S47</f>
        <v>189843.42900000003</v>
      </c>
      <c r="T47" s="163">
        <f>+'Tuition-2Yr'!T47+'State Appropriations-2Yr'!T47+'Local Appropriations-2Yr'!T47+'Fed Contracts Grnts-2Yr'!T47+'Other Contracts Grnts-2Yr'!T47+'Investment Income-2Yr'!T47+'All Other E&amp;G-2Yr'!T47</f>
        <v>201027.77600000001</v>
      </c>
      <c r="U47" s="163">
        <f>+'Tuition-2Yr'!U47+'State Appropriations-2Yr'!U47+'Local Appropriations-2Yr'!U47+'Fed Contracts Grnts-2Yr'!U47+'Other Contracts Grnts-2Yr'!U47+'Investment Income-2Yr'!U47+'All Other E&amp;G-2Yr'!U47</f>
        <v>202646.56299999997</v>
      </c>
      <c r="V47" s="163">
        <f>+'Tuition-2Yr'!V47+'State Appropriations-2Yr'!V47+'Local Appropriations-2Yr'!V47+'Fed Contracts Grnts-2Yr'!V47+'Other Contracts Grnts-2Yr'!V47+'Investment Income-2Yr'!V47+'All Other E&amp;G-2Yr'!V47</f>
        <v>218105.40700000001</v>
      </c>
      <c r="W47" s="163">
        <f>+'Tuition-2Yr'!W47+'State Appropriations-2Yr'!W47+'Local Appropriations-2Yr'!W47+'Fed Contracts Grnts-2Yr'!W47+'Other Contracts Grnts-2Yr'!W47+'Investment Income-2Yr'!W47+'All Other E&amp;G-2Yr'!W47</f>
        <v>236315.84399999998</v>
      </c>
      <c r="X47" s="163">
        <f>+'Tuition-2Yr'!X47+'State Appropriations-2Yr'!X47+'Local Appropriations-2Yr'!X47+'Fed Contracts Grnts-2Yr'!X47+'Other Contracts Grnts-2Yr'!X47+'Investment Income-2Yr'!X47+'All Other E&amp;G-2Yr'!X47</f>
        <v>236141.67199999999</v>
      </c>
      <c r="Y47" s="163">
        <f>+'Tuition-2Yr'!Y47+'State Appropriations-2Yr'!Y47+'Local Appropriations-2Yr'!Y47+'Fed Contracts Grnts-2Yr'!Y47+'Other Contracts Grnts-2Yr'!Y47+'Investment Income-2Yr'!Y47+'All Other E&amp;G-2Yr'!Y47</f>
        <v>249807.96999999997</v>
      </c>
      <c r="Z47" s="163">
        <f>+'Tuition-2Yr'!Z47+'State Appropriations-2Yr'!Z47+'Local Appropriations-2Yr'!Z47+'Fed Contracts Grnts-2Yr'!Z47+'Other Contracts Grnts-2Yr'!Z47+'Investment Income-2Yr'!Z47+'All Other E&amp;G-2Yr'!Z47</f>
        <v>280351.53399999999</v>
      </c>
      <c r="AA47" s="163">
        <f>+'Tuition-2Yr'!AA47+'State Appropriations-2Yr'!AA47+'Local Appropriations-2Yr'!AA47+'Fed Contracts Grnts-2Yr'!AA47+'Other Contracts Grnts-2Yr'!AA47+'Investment Income-2Yr'!AA47+'All Other E&amp;G-2Yr'!AA47</f>
        <v>322979.859</v>
      </c>
      <c r="AB47" s="163">
        <f>+'Tuition-2Yr'!AB47+'State Appropriations-2Yr'!AB47+'Local Appropriations-2Yr'!AB47+'Fed Contracts Grnts-2Yr'!AB47+'Other Contracts Grnts-2Yr'!AB47+'Investment Income-2Yr'!AB47+'All Other E&amp;G-2Yr'!AB47</f>
        <v>380343.81799999997</v>
      </c>
      <c r="AC47" s="163">
        <f>+'Tuition-2Yr'!AC47+'State Appropriations-2Yr'!AC47+'Local Appropriations-2Yr'!AC47+'Fed Contracts Grnts-2Yr'!AC47+'Other Contracts Grnts-2Yr'!AC47+'Investment Income-2Yr'!AC47+'All Other E&amp;G-2Yr'!AC47</f>
        <v>410738</v>
      </c>
      <c r="AD47" s="163">
        <f>+'Tuition-2Yr'!AD47+'State Appropriations-2Yr'!AD47+'Local Appropriations-2Yr'!AD47+'Fed Contracts Grnts-2Yr'!AD47+'Other Contracts Grnts-2Yr'!AD47+'Investment Income-2Yr'!AD47+'All Other E&amp;G-2Yr'!AD47</f>
        <v>419754.46</v>
      </c>
      <c r="AE47" s="163">
        <f>+'Tuition-2Yr'!AE47+'State Appropriations-2Yr'!AE47+'Local Appropriations-2Yr'!AE47+'Fed Contracts Grnts-2Yr'!AE47+'Other Contracts Grnts-2Yr'!AE47+'Investment Income-2Yr'!AE47+'All Other E&amp;G-2Yr'!AE47</f>
        <v>408806.35399999999</v>
      </c>
      <c r="AF47" s="163">
        <f>+'Tuition-2Yr'!AF47+'State Appropriations-2Yr'!AF47+'Local Appropriations-2Yr'!AF47+'Fed Contracts Grnts-2Yr'!AF47+'Other Contracts Grnts-2Yr'!AF47+'Investment Income-2Yr'!AF47+'All Other E&amp;G-2Yr'!AF47</f>
        <v>340669.12800000003</v>
      </c>
      <c r="AG47" s="163">
        <f>+'Tuition-2Yr'!AG47+'State Appropriations-2Yr'!AG47+'Local Appropriations-2Yr'!AG47+'Fed Contracts Grnts-2Yr'!AG47+'Other Contracts Grnts-2Yr'!AG47+'Investment Income-2Yr'!AG47+'All Other E&amp;G-2Yr'!AG47</f>
        <v>354963.24</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c r="HC47" s="20"/>
      <c r="HD47" s="20"/>
      <c r="HE47" s="20"/>
      <c r="HF47" s="20"/>
    </row>
    <row r="48" spans="1:214" s="65" customFormat="1" ht="12.75" customHeight="1">
      <c r="A48" s="23" t="s">
        <v>131</v>
      </c>
      <c r="B48" s="163">
        <f>+'Tuition-2Yr'!B48+'State Appropriations-2Yr'!B48+'Local Appropriations-2Yr'!B48+'Fed Contracts Grnts-2Yr'!B48+'Other Contracts Grnts-2Yr'!B48+'Investment Income-2Yr'!B48+'All Other E&amp;G-2Yr'!B48</f>
        <v>0</v>
      </c>
      <c r="C48" s="163">
        <f>+'Tuition-2Yr'!C48+'State Appropriations-2Yr'!C48+'Local Appropriations-2Yr'!C48+'Fed Contracts Grnts-2Yr'!C48+'Other Contracts Grnts-2Yr'!C48+'Investment Income-2Yr'!C48+'All Other E&amp;G-2Yr'!C48</f>
        <v>0</v>
      </c>
      <c r="D48" s="163">
        <f>+'Tuition-2Yr'!D48+'State Appropriations-2Yr'!D48+'Local Appropriations-2Yr'!D48+'Fed Contracts Grnts-2Yr'!D48+'Other Contracts Grnts-2Yr'!D48+'Investment Income-2Yr'!D48+'All Other E&amp;G-2Yr'!D48</f>
        <v>0</v>
      </c>
      <c r="E48" s="163">
        <f>+'Tuition-2Yr'!E48+'State Appropriations-2Yr'!E48+'Local Appropriations-2Yr'!E48+'Fed Contracts Grnts-2Yr'!E48+'Other Contracts Grnts-2Yr'!E48+'Investment Income-2Yr'!E48+'All Other E&amp;G-2Yr'!E48</f>
        <v>0</v>
      </c>
      <c r="F48" s="163">
        <f>+'Tuition-2Yr'!F48+'State Appropriations-2Yr'!F48+'Local Appropriations-2Yr'!F48+'Fed Contracts Grnts-2Yr'!F48+'Other Contracts Grnts-2Yr'!F48+'Investment Income-2Yr'!F48+'All Other E&amp;G-2Yr'!F48</f>
        <v>0</v>
      </c>
      <c r="G48" s="163">
        <f>+'Tuition-2Yr'!G48+'State Appropriations-2Yr'!G48+'Local Appropriations-2Yr'!G48+'Fed Contracts Grnts-2Yr'!G48+'Other Contracts Grnts-2Yr'!G48+'Investment Income-2Yr'!G48+'All Other E&amp;G-2Yr'!G48</f>
        <v>0</v>
      </c>
      <c r="H48" s="163">
        <f>+'Tuition-2Yr'!H48+'State Appropriations-2Yr'!H48+'Local Appropriations-2Yr'!H48+'Fed Contracts Grnts-2Yr'!H48+'Other Contracts Grnts-2Yr'!H48+'Investment Income-2Yr'!H48+'All Other E&amp;G-2Yr'!H48</f>
        <v>0</v>
      </c>
      <c r="I48" s="163">
        <f>+'Tuition-2Yr'!I48+'State Appropriations-2Yr'!I48+'Local Appropriations-2Yr'!I48+'Fed Contracts Grnts-2Yr'!I48+'Other Contracts Grnts-2Yr'!I48+'Investment Income-2Yr'!I48+'All Other E&amp;G-2Yr'!I48</f>
        <v>0</v>
      </c>
      <c r="J48" s="163">
        <f>+'Tuition-2Yr'!J48+'State Appropriations-2Yr'!J48+'Local Appropriations-2Yr'!J48+'Fed Contracts Grnts-2Yr'!J48+'Other Contracts Grnts-2Yr'!J48+'Investment Income-2Yr'!J48+'All Other E&amp;G-2Yr'!J48</f>
        <v>49327.462</v>
      </c>
      <c r="K48" s="163">
        <f>+'Tuition-2Yr'!K48+'State Appropriations-2Yr'!K48+'Local Appropriations-2Yr'!K48+'Fed Contracts Grnts-2Yr'!K48+'Other Contracts Grnts-2Yr'!K48+'Investment Income-2Yr'!K48+'All Other E&amp;G-2Yr'!K48</f>
        <v>0</v>
      </c>
      <c r="L48" s="163">
        <f>+'Tuition-2Yr'!L48+'State Appropriations-2Yr'!L48+'Local Appropriations-2Yr'!L48+'Fed Contracts Grnts-2Yr'!L48+'Other Contracts Grnts-2Yr'!L48+'Investment Income-2Yr'!L48+'All Other E&amp;G-2Yr'!L48</f>
        <v>0</v>
      </c>
      <c r="M48" s="163">
        <f>+'Tuition-2Yr'!M48+'State Appropriations-2Yr'!M48+'Local Appropriations-2Yr'!M48+'Fed Contracts Grnts-2Yr'!M48+'Other Contracts Grnts-2Yr'!M48+'Investment Income-2Yr'!M48+'All Other E&amp;G-2Yr'!M48</f>
        <v>51217.106999999989</v>
      </c>
      <c r="N48" s="163">
        <f>+'Tuition-2Yr'!N48+'State Appropriations-2Yr'!N48+'Local Appropriations-2Yr'!N48+'Fed Contracts Grnts-2Yr'!N48+'Other Contracts Grnts-2Yr'!N48+'Investment Income-2Yr'!N48+'All Other E&amp;G-2Yr'!N48</f>
        <v>0</v>
      </c>
      <c r="O48" s="163">
        <f>+'Tuition-2Yr'!O48+'State Appropriations-2Yr'!O48+'Local Appropriations-2Yr'!O48+'Fed Contracts Grnts-2Yr'!O48+'Other Contracts Grnts-2Yr'!O48+'Investment Income-2Yr'!O48+'All Other E&amp;G-2Yr'!O48</f>
        <v>58961.737649999995</v>
      </c>
      <c r="P48" s="163">
        <f>+'Tuition-2Yr'!P48+'State Appropriations-2Yr'!P48+'Local Appropriations-2Yr'!P48+'Fed Contracts Grnts-2Yr'!P48+'Other Contracts Grnts-2Yr'!P48+'Investment Income-2Yr'!P48+'All Other E&amp;G-2Yr'!P48</f>
        <v>0</v>
      </c>
      <c r="Q48" s="163">
        <f>+'Tuition-2Yr'!Q48+'State Appropriations-2Yr'!Q48+'Local Appropriations-2Yr'!Q48+'Fed Contracts Grnts-2Yr'!Q48+'Other Contracts Grnts-2Yr'!Q48+'Investment Income-2Yr'!Q48+'All Other E&amp;G-2Yr'!Q48</f>
        <v>0</v>
      </c>
      <c r="R48" s="163">
        <f>+'Tuition-2Yr'!R48+'State Appropriations-2Yr'!R48+'Local Appropriations-2Yr'!R48+'Fed Contracts Grnts-2Yr'!R48+'Other Contracts Grnts-2Yr'!R48+'Investment Income-2Yr'!R48+'All Other E&amp;G-2Yr'!R48</f>
        <v>79759.768000000011</v>
      </c>
      <c r="S48" s="163">
        <f>+'Tuition-2Yr'!S48+'State Appropriations-2Yr'!S48+'Local Appropriations-2Yr'!S48+'Fed Contracts Grnts-2Yr'!S48+'Other Contracts Grnts-2Yr'!S48+'Investment Income-2Yr'!S48+'All Other E&amp;G-2Yr'!S48</f>
        <v>81930.537000000011</v>
      </c>
      <c r="T48" s="163">
        <f>+'Tuition-2Yr'!T48+'State Appropriations-2Yr'!T48+'Local Appropriations-2Yr'!T48+'Fed Contracts Grnts-2Yr'!T48+'Other Contracts Grnts-2Yr'!T48+'Investment Income-2Yr'!T48+'All Other E&amp;G-2Yr'!T48</f>
        <v>75330.561999999991</v>
      </c>
      <c r="U48" s="163">
        <f>+'Tuition-2Yr'!U48+'State Appropriations-2Yr'!U48+'Local Appropriations-2Yr'!U48+'Fed Contracts Grnts-2Yr'!U48+'Other Contracts Grnts-2Yr'!U48+'Investment Income-2Yr'!U48+'All Other E&amp;G-2Yr'!U48</f>
        <v>72445.991000000009</v>
      </c>
      <c r="V48" s="163">
        <f>+'Tuition-2Yr'!V48+'State Appropriations-2Yr'!V48+'Local Appropriations-2Yr'!V48+'Fed Contracts Grnts-2Yr'!V48+'Other Contracts Grnts-2Yr'!V48+'Investment Income-2Yr'!V48+'All Other E&amp;G-2Yr'!V48</f>
        <v>67191.275999999998</v>
      </c>
      <c r="W48" s="163">
        <f>+'Tuition-2Yr'!W48+'State Appropriations-2Yr'!W48+'Local Appropriations-2Yr'!W48+'Fed Contracts Grnts-2Yr'!W48+'Other Contracts Grnts-2Yr'!W48+'Investment Income-2Yr'!W48+'All Other E&amp;G-2Yr'!W48</f>
        <v>86527.822</v>
      </c>
      <c r="X48" s="163">
        <f>+'Tuition-2Yr'!X48+'State Appropriations-2Yr'!X48+'Local Appropriations-2Yr'!X48+'Fed Contracts Grnts-2Yr'!X48+'Other Contracts Grnts-2Yr'!X48+'Investment Income-2Yr'!X48+'All Other E&amp;G-2Yr'!X48</f>
        <v>82595.781000000003</v>
      </c>
      <c r="Y48" s="163">
        <f>+'Tuition-2Yr'!Y48+'State Appropriations-2Yr'!Y48+'Local Appropriations-2Yr'!Y48+'Fed Contracts Grnts-2Yr'!Y48+'Other Contracts Grnts-2Yr'!Y48+'Investment Income-2Yr'!Y48+'All Other E&amp;G-2Yr'!Y48</f>
        <v>85904.838000000003</v>
      </c>
      <c r="Z48" s="163">
        <f>+'Tuition-2Yr'!Z48+'State Appropriations-2Yr'!Z48+'Local Appropriations-2Yr'!Z48+'Fed Contracts Grnts-2Yr'!Z48+'Other Contracts Grnts-2Yr'!Z48+'Investment Income-2Yr'!Z48+'All Other E&amp;G-2Yr'!Z48</f>
        <v>66076.07699999999</v>
      </c>
      <c r="AA48" s="163">
        <f>+'Tuition-2Yr'!AA48+'State Appropriations-2Yr'!AA48+'Local Appropriations-2Yr'!AA48+'Fed Contracts Grnts-2Yr'!AA48+'Other Contracts Grnts-2Yr'!AA48+'Investment Income-2Yr'!AA48+'All Other E&amp;G-2Yr'!AA48</f>
        <v>118586.908</v>
      </c>
      <c r="AB48" s="163">
        <f>+'Tuition-2Yr'!AB48+'State Appropriations-2Yr'!AB48+'Local Appropriations-2Yr'!AB48+'Fed Contracts Grnts-2Yr'!AB48+'Other Contracts Grnts-2Yr'!AB48+'Investment Income-2Yr'!AB48+'All Other E&amp;G-2Yr'!AB48</f>
        <v>144031.13699999999</v>
      </c>
      <c r="AC48" s="163">
        <f>+'Tuition-2Yr'!AC48+'State Appropriations-2Yr'!AC48+'Local Appropriations-2Yr'!AC48+'Fed Contracts Grnts-2Yr'!AC48+'Other Contracts Grnts-2Yr'!AC48+'Investment Income-2Yr'!AC48+'All Other E&amp;G-2Yr'!AC48</f>
        <v>148375</v>
      </c>
      <c r="AD48" s="163">
        <f>+'Tuition-2Yr'!AD48+'State Appropriations-2Yr'!AD48+'Local Appropriations-2Yr'!AD48+'Fed Contracts Grnts-2Yr'!AD48+'Other Contracts Grnts-2Yr'!AD48+'Investment Income-2Yr'!AD48+'All Other E&amp;G-2Yr'!AD48</f>
        <v>154522.78699999998</v>
      </c>
      <c r="AE48" s="163">
        <f>+'Tuition-2Yr'!AE48+'State Appropriations-2Yr'!AE48+'Local Appropriations-2Yr'!AE48+'Fed Contracts Grnts-2Yr'!AE48+'Other Contracts Grnts-2Yr'!AE48+'Investment Income-2Yr'!AE48+'All Other E&amp;G-2Yr'!AE48</f>
        <v>147821.81100000002</v>
      </c>
      <c r="AF48" s="163">
        <f>+'Tuition-2Yr'!AF48+'State Appropriations-2Yr'!AF48+'Local Appropriations-2Yr'!AF48+'Fed Contracts Grnts-2Yr'!AF48+'Other Contracts Grnts-2Yr'!AF48+'Investment Income-2Yr'!AF48+'All Other E&amp;G-2Yr'!AF48</f>
        <v>164417.95699999999</v>
      </c>
      <c r="AG48" s="163">
        <f>+'Tuition-2Yr'!AG48+'State Appropriations-2Yr'!AG48+'Local Appropriations-2Yr'!AG48+'Fed Contracts Grnts-2Yr'!AG48+'Other Contracts Grnts-2Yr'!AG48+'Investment Income-2Yr'!AG48+'All Other E&amp;G-2Yr'!AG48</f>
        <v>174864.99000000002</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c r="HC48" s="20"/>
      <c r="HD48" s="20"/>
      <c r="HE48" s="20"/>
      <c r="HF48" s="20"/>
    </row>
    <row r="49" spans="1:214" s="65" customFormat="1" ht="12.75" customHeight="1">
      <c r="A49" s="23" t="s">
        <v>132</v>
      </c>
      <c r="B49" s="163">
        <f>+'Tuition-2Yr'!B49+'State Appropriations-2Yr'!B49+'Local Appropriations-2Yr'!B49+'Fed Contracts Grnts-2Yr'!B49+'Other Contracts Grnts-2Yr'!B49+'Investment Income-2Yr'!B49+'All Other E&amp;G-2Yr'!B49</f>
        <v>0</v>
      </c>
      <c r="C49" s="163">
        <f>+'Tuition-2Yr'!C49+'State Appropriations-2Yr'!C49+'Local Appropriations-2Yr'!C49+'Fed Contracts Grnts-2Yr'!C49+'Other Contracts Grnts-2Yr'!C49+'Investment Income-2Yr'!C49+'All Other E&amp;G-2Yr'!C49</f>
        <v>0</v>
      </c>
      <c r="D49" s="163">
        <f>+'Tuition-2Yr'!D49+'State Appropriations-2Yr'!D49+'Local Appropriations-2Yr'!D49+'Fed Contracts Grnts-2Yr'!D49+'Other Contracts Grnts-2Yr'!D49+'Investment Income-2Yr'!D49+'All Other E&amp;G-2Yr'!D49</f>
        <v>0</v>
      </c>
      <c r="E49" s="163">
        <f>+'Tuition-2Yr'!E49+'State Appropriations-2Yr'!E49+'Local Appropriations-2Yr'!E49+'Fed Contracts Grnts-2Yr'!E49+'Other Contracts Grnts-2Yr'!E49+'Investment Income-2Yr'!E49+'All Other E&amp;G-2Yr'!E49</f>
        <v>0</v>
      </c>
      <c r="F49" s="163">
        <f>+'Tuition-2Yr'!F49+'State Appropriations-2Yr'!F49+'Local Appropriations-2Yr'!F49+'Fed Contracts Grnts-2Yr'!F49+'Other Contracts Grnts-2Yr'!F49+'Investment Income-2Yr'!F49+'All Other E&amp;G-2Yr'!F49</f>
        <v>0</v>
      </c>
      <c r="G49" s="163">
        <f>+'Tuition-2Yr'!G49+'State Appropriations-2Yr'!G49+'Local Appropriations-2Yr'!G49+'Fed Contracts Grnts-2Yr'!G49+'Other Contracts Grnts-2Yr'!G49+'Investment Income-2Yr'!G49+'All Other E&amp;G-2Yr'!G49</f>
        <v>0</v>
      </c>
      <c r="H49" s="163">
        <f>+'Tuition-2Yr'!H49+'State Appropriations-2Yr'!H49+'Local Appropriations-2Yr'!H49+'Fed Contracts Grnts-2Yr'!H49+'Other Contracts Grnts-2Yr'!H49+'Investment Income-2Yr'!H49+'All Other E&amp;G-2Yr'!H49</f>
        <v>0</v>
      </c>
      <c r="I49" s="163">
        <f>+'Tuition-2Yr'!I49+'State Appropriations-2Yr'!I49+'Local Appropriations-2Yr'!I49+'Fed Contracts Grnts-2Yr'!I49+'Other Contracts Grnts-2Yr'!I49+'Investment Income-2Yr'!I49+'All Other E&amp;G-2Yr'!I49</f>
        <v>0</v>
      </c>
      <c r="J49" s="163">
        <f>+'Tuition-2Yr'!J49+'State Appropriations-2Yr'!J49+'Local Appropriations-2Yr'!J49+'Fed Contracts Grnts-2Yr'!J49+'Other Contracts Grnts-2Yr'!J49+'Investment Income-2Yr'!J49+'All Other E&amp;G-2Yr'!J49</f>
        <v>569298.18599999999</v>
      </c>
      <c r="K49" s="163">
        <f>+'Tuition-2Yr'!K49+'State Appropriations-2Yr'!K49+'Local Appropriations-2Yr'!K49+'Fed Contracts Grnts-2Yr'!K49+'Other Contracts Grnts-2Yr'!K49+'Investment Income-2Yr'!K49+'All Other E&amp;G-2Yr'!K49</f>
        <v>0</v>
      </c>
      <c r="L49" s="163">
        <f>+'Tuition-2Yr'!L49+'State Appropriations-2Yr'!L49+'Local Appropriations-2Yr'!L49+'Fed Contracts Grnts-2Yr'!L49+'Other Contracts Grnts-2Yr'!L49+'Investment Income-2Yr'!L49+'All Other E&amp;G-2Yr'!L49</f>
        <v>0</v>
      </c>
      <c r="M49" s="163">
        <f>+'Tuition-2Yr'!M49+'State Appropriations-2Yr'!M49+'Local Appropriations-2Yr'!M49+'Fed Contracts Grnts-2Yr'!M49+'Other Contracts Grnts-2Yr'!M49+'Investment Income-2Yr'!M49+'All Other E&amp;G-2Yr'!M49</f>
        <v>669873.37900000007</v>
      </c>
      <c r="N49" s="163">
        <f>+'Tuition-2Yr'!N49+'State Appropriations-2Yr'!N49+'Local Appropriations-2Yr'!N49+'Fed Contracts Grnts-2Yr'!N49+'Other Contracts Grnts-2Yr'!N49+'Investment Income-2Yr'!N49+'All Other E&amp;G-2Yr'!N49</f>
        <v>0</v>
      </c>
      <c r="O49" s="163">
        <f>+'Tuition-2Yr'!O49+'State Appropriations-2Yr'!O49+'Local Appropriations-2Yr'!O49+'Fed Contracts Grnts-2Yr'!O49+'Other Contracts Grnts-2Yr'!O49+'Investment Income-2Yr'!O49+'All Other E&amp;G-2Yr'!O49</f>
        <v>724660.79</v>
      </c>
      <c r="P49" s="163">
        <f>+'Tuition-2Yr'!P49+'State Appropriations-2Yr'!P49+'Local Appropriations-2Yr'!P49+'Fed Contracts Grnts-2Yr'!P49+'Other Contracts Grnts-2Yr'!P49+'Investment Income-2Yr'!P49+'All Other E&amp;G-2Yr'!P49</f>
        <v>0</v>
      </c>
      <c r="Q49" s="163">
        <f>+'Tuition-2Yr'!Q49+'State Appropriations-2Yr'!Q49+'Local Appropriations-2Yr'!Q49+'Fed Contracts Grnts-2Yr'!Q49+'Other Contracts Grnts-2Yr'!Q49+'Investment Income-2Yr'!Q49+'All Other E&amp;G-2Yr'!Q49</f>
        <v>0</v>
      </c>
      <c r="R49" s="163">
        <f>+'Tuition-2Yr'!R49+'State Appropriations-2Yr'!R49+'Local Appropriations-2Yr'!R49+'Fed Contracts Grnts-2Yr'!R49+'Other Contracts Grnts-2Yr'!R49+'Investment Income-2Yr'!R49+'All Other E&amp;G-2Yr'!R49</f>
        <v>917022.62599999981</v>
      </c>
      <c r="S49" s="163">
        <f>+'Tuition-2Yr'!S49+'State Appropriations-2Yr'!S49+'Local Appropriations-2Yr'!S49+'Fed Contracts Grnts-2Yr'!S49+'Other Contracts Grnts-2Yr'!S49+'Investment Income-2Yr'!S49+'All Other E&amp;G-2Yr'!S49</f>
        <v>989939.13099999994</v>
      </c>
      <c r="T49" s="163">
        <f>+'Tuition-2Yr'!T49+'State Appropriations-2Yr'!T49+'Local Appropriations-2Yr'!T49+'Fed Contracts Grnts-2Yr'!T49+'Other Contracts Grnts-2Yr'!T49+'Investment Income-2Yr'!T49+'All Other E&amp;G-2Yr'!T49</f>
        <v>946418.66199999989</v>
      </c>
      <c r="U49" s="163">
        <f>+'Tuition-2Yr'!U49+'State Appropriations-2Yr'!U49+'Local Appropriations-2Yr'!U49+'Fed Contracts Grnts-2Yr'!U49+'Other Contracts Grnts-2Yr'!U49+'Investment Income-2Yr'!U49+'All Other E&amp;G-2Yr'!U49</f>
        <v>990114.08200000017</v>
      </c>
      <c r="V49" s="163">
        <f>+'Tuition-2Yr'!V49+'State Appropriations-2Yr'!V49+'Local Appropriations-2Yr'!V49+'Fed Contracts Grnts-2Yr'!V49+'Other Contracts Grnts-2Yr'!V49+'Investment Income-2Yr'!V49+'All Other E&amp;G-2Yr'!V49</f>
        <v>1022225.706</v>
      </c>
      <c r="W49" s="163">
        <f>+'Tuition-2Yr'!W49+'State Appropriations-2Yr'!W49+'Local Appropriations-2Yr'!W49+'Fed Contracts Grnts-2Yr'!W49+'Other Contracts Grnts-2Yr'!W49+'Investment Income-2Yr'!W49+'All Other E&amp;G-2Yr'!W49</f>
        <v>1199351.7549999999</v>
      </c>
      <c r="X49" s="163">
        <f>+'Tuition-2Yr'!X49+'State Appropriations-2Yr'!X49+'Local Appropriations-2Yr'!X49+'Fed Contracts Grnts-2Yr'!X49+'Other Contracts Grnts-2Yr'!X49+'Investment Income-2Yr'!X49+'All Other E&amp;G-2Yr'!X49</f>
        <v>1159749.6840000001</v>
      </c>
      <c r="Y49" s="163">
        <f>+'Tuition-2Yr'!Y49+'State Appropriations-2Yr'!Y49+'Local Appropriations-2Yr'!Y49+'Fed Contracts Grnts-2Yr'!Y49+'Other Contracts Grnts-2Yr'!Y49+'Investment Income-2Yr'!Y49+'All Other E&amp;G-2Yr'!Y49</f>
        <v>1200543.5800000003</v>
      </c>
      <c r="Z49" s="163">
        <f>+'Tuition-2Yr'!Z49+'State Appropriations-2Yr'!Z49+'Local Appropriations-2Yr'!Z49+'Fed Contracts Grnts-2Yr'!Z49+'Other Contracts Grnts-2Yr'!Z49+'Investment Income-2Yr'!Z49+'All Other E&amp;G-2Yr'!Z49</f>
        <v>1267457.0829999999</v>
      </c>
      <c r="AA49" s="163">
        <f>+'Tuition-2Yr'!AA49+'State Appropriations-2Yr'!AA49+'Local Appropriations-2Yr'!AA49+'Fed Contracts Grnts-2Yr'!AA49+'Other Contracts Grnts-2Yr'!AA49+'Investment Income-2Yr'!AA49+'All Other E&amp;G-2Yr'!AA49</f>
        <v>1777704.1700000002</v>
      </c>
      <c r="AB49" s="163">
        <f>+'Tuition-2Yr'!AB49+'State Appropriations-2Yr'!AB49+'Local Appropriations-2Yr'!AB49+'Fed Contracts Grnts-2Yr'!AB49+'Other Contracts Grnts-2Yr'!AB49+'Investment Income-2Yr'!AB49+'All Other E&amp;G-2Yr'!AB49</f>
        <v>1937166.47</v>
      </c>
      <c r="AC49" s="163">
        <f>+'Tuition-2Yr'!AC49+'State Appropriations-2Yr'!AC49+'Local Appropriations-2Yr'!AC49+'Fed Contracts Grnts-2Yr'!AC49+'Other Contracts Grnts-2Yr'!AC49+'Investment Income-2Yr'!AC49+'All Other E&amp;G-2Yr'!AC49</f>
        <v>2086499</v>
      </c>
      <c r="AD49" s="163">
        <f>+'Tuition-2Yr'!AD49+'State Appropriations-2Yr'!AD49+'Local Appropriations-2Yr'!AD49+'Fed Contracts Grnts-2Yr'!AD49+'Other Contracts Grnts-2Yr'!AD49+'Investment Income-2Yr'!AD49+'All Other E&amp;G-2Yr'!AD49</f>
        <v>1986727.8089999999</v>
      </c>
      <c r="AE49" s="163">
        <f>+'Tuition-2Yr'!AE49+'State Appropriations-2Yr'!AE49+'Local Appropriations-2Yr'!AE49+'Fed Contracts Grnts-2Yr'!AE49+'Other Contracts Grnts-2Yr'!AE49+'Investment Income-2Yr'!AE49+'All Other E&amp;G-2Yr'!AE49</f>
        <v>1999762.7040000001</v>
      </c>
      <c r="AF49" s="163">
        <f>+'Tuition-2Yr'!AF49+'State Appropriations-2Yr'!AF49+'Local Appropriations-2Yr'!AF49+'Fed Contracts Grnts-2Yr'!AF49+'Other Contracts Grnts-2Yr'!AF49+'Investment Income-2Yr'!AF49+'All Other E&amp;G-2Yr'!AF49</f>
        <v>1809015.5570000003</v>
      </c>
      <c r="AG49" s="163">
        <f>+'Tuition-2Yr'!AG49+'State Appropriations-2Yr'!AG49+'Local Appropriations-2Yr'!AG49+'Fed Contracts Grnts-2Yr'!AG49+'Other Contracts Grnts-2Yr'!AG49+'Investment Income-2Yr'!AG49+'All Other E&amp;G-2Yr'!AG49</f>
        <v>1769645.2110000001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c r="HC49" s="20"/>
      <c r="HD49" s="20"/>
      <c r="HE49" s="20"/>
      <c r="HF49" s="20"/>
    </row>
    <row r="50" spans="1:214" s="65" customFormat="1" ht="12.75" customHeight="1">
      <c r="A50" s="23" t="s">
        <v>136</v>
      </c>
      <c r="B50" s="163">
        <f>+'Tuition-2Yr'!B50+'State Appropriations-2Yr'!B50+'Local Appropriations-2Yr'!B50+'Fed Contracts Grnts-2Yr'!B50+'Other Contracts Grnts-2Yr'!B50+'Investment Income-2Yr'!B50+'All Other E&amp;G-2Yr'!B50</f>
        <v>0</v>
      </c>
      <c r="C50" s="163">
        <f>+'Tuition-2Yr'!C50+'State Appropriations-2Yr'!C50+'Local Appropriations-2Yr'!C50+'Fed Contracts Grnts-2Yr'!C50+'Other Contracts Grnts-2Yr'!C50+'Investment Income-2Yr'!C50+'All Other E&amp;G-2Yr'!C50</f>
        <v>0</v>
      </c>
      <c r="D50" s="163">
        <f>+'Tuition-2Yr'!D50+'State Appropriations-2Yr'!D50+'Local Appropriations-2Yr'!D50+'Fed Contracts Grnts-2Yr'!D50+'Other Contracts Grnts-2Yr'!D50+'Investment Income-2Yr'!D50+'All Other E&amp;G-2Yr'!D50</f>
        <v>0</v>
      </c>
      <c r="E50" s="163">
        <f>+'Tuition-2Yr'!E50+'State Appropriations-2Yr'!E50+'Local Appropriations-2Yr'!E50+'Fed Contracts Grnts-2Yr'!E50+'Other Contracts Grnts-2Yr'!E50+'Investment Income-2Yr'!E50+'All Other E&amp;G-2Yr'!E50</f>
        <v>0</v>
      </c>
      <c r="F50" s="163">
        <f>+'Tuition-2Yr'!F50+'State Appropriations-2Yr'!F50+'Local Appropriations-2Yr'!F50+'Fed Contracts Grnts-2Yr'!F50+'Other Contracts Grnts-2Yr'!F50+'Investment Income-2Yr'!F50+'All Other E&amp;G-2Yr'!F50</f>
        <v>0</v>
      </c>
      <c r="G50" s="163">
        <f>+'Tuition-2Yr'!G50+'State Appropriations-2Yr'!G50+'Local Appropriations-2Yr'!G50+'Fed Contracts Grnts-2Yr'!G50+'Other Contracts Grnts-2Yr'!G50+'Investment Income-2Yr'!G50+'All Other E&amp;G-2Yr'!G50</f>
        <v>0</v>
      </c>
      <c r="H50" s="163">
        <f>+'Tuition-2Yr'!H50+'State Appropriations-2Yr'!H50+'Local Appropriations-2Yr'!H50+'Fed Contracts Grnts-2Yr'!H50+'Other Contracts Grnts-2Yr'!H50+'Investment Income-2Yr'!H50+'All Other E&amp;G-2Yr'!H50</f>
        <v>0</v>
      </c>
      <c r="I50" s="163">
        <f>+'Tuition-2Yr'!I50+'State Appropriations-2Yr'!I50+'Local Appropriations-2Yr'!I50+'Fed Contracts Grnts-2Yr'!I50+'Other Contracts Grnts-2Yr'!I50+'Investment Income-2Yr'!I50+'All Other E&amp;G-2Yr'!I50</f>
        <v>0</v>
      </c>
      <c r="J50" s="163">
        <f>+'Tuition-2Yr'!J50+'State Appropriations-2Yr'!J50+'Local Appropriations-2Yr'!J50+'Fed Contracts Grnts-2Yr'!J50+'Other Contracts Grnts-2Yr'!J50+'Investment Income-2Yr'!J50+'All Other E&amp;G-2Yr'!J50</f>
        <v>1405.7430000000002</v>
      </c>
      <c r="K50" s="163">
        <f>+'Tuition-2Yr'!K50+'State Appropriations-2Yr'!K50+'Local Appropriations-2Yr'!K50+'Fed Contracts Grnts-2Yr'!K50+'Other Contracts Grnts-2Yr'!K50+'Investment Income-2Yr'!K50+'All Other E&amp;G-2Yr'!K50</f>
        <v>0</v>
      </c>
      <c r="L50" s="163">
        <f>+'Tuition-2Yr'!L50+'State Appropriations-2Yr'!L50+'Local Appropriations-2Yr'!L50+'Fed Contracts Grnts-2Yr'!L50+'Other Contracts Grnts-2Yr'!L50+'Investment Income-2Yr'!L50+'All Other E&amp;G-2Yr'!L50</f>
        <v>0</v>
      </c>
      <c r="M50" s="163">
        <f>+'Tuition-2Yr'!M50+'State Appropriations-2Yr'!M50+'Local Appropriations-2Yr'!M50+'Fed Contracts Grnts-2Yr'!M50+'Other Contracts Grnts-2Yr'!M50+'Investment Income-2Yr'!M50+'All Other E&amp;G-2Yr'!M50</f>
        <v>1447.6419999999998</v>
      </c>
      <c r="N50" s="163">
        <f>+'Tuition-2Yr'!N50+'State Appropriations-2Yr'!N50+'Local Appropriations-2Yr'!N50+'Fed Contracts Grnts-2Yr'!N50+'Other Contracts Grnts-2Yr'!N50+'Investment Income-2Yr'!N50+'All Other E&amp;G-2Yr'!N50</f>
        <v>0</v>
      </c>
      <c r="O50" s="163">
        <f>+'Tuition-2Yr'!O50+'State Appropriations-2Yr'!O50+'Local Appropriations-2Yr'!O50+'Fed Contracts Grnts-2Yr'!O50+'Other Contracts Grnts-2Yr'!O50+'Investment Income-2Yr'!O50+'All Other E&amp;G-2Yr'!O50</f>
        <v>33224.153630000001</v>
      </c>
      <c r="P50" s="163">
        <f>+'Tuition-2Yr'!P50+'State Appropriations-2Yr'!P50+'Local Appropriations-2Yr'!P50+'Fed Contracts Grnts-2Yr'!P50+'Other Contracts Grnts-2Yr'!P50+'Investment Income-2Yr'!P50+'All Other E&amp;G-2Yr'!P50</f>
        <v>0</v>
      </c>
      <c r="Q50" s="163">
        <f>+'Tuition-2Yr'!Q50+'State Appropriations-2Yr'!Q50+'Local Appropriations-2Yr'!Q50+'Fed Contracts Grnts-2Yr'!Q50+'Other Contracts Grnts-2Yr'!Q50+'Investment Income-2Yr'!Q50+'All Other E&amp;G-2Yr'!Q50</f>
        <v>0</v>
      </c>
      <c r="R50" s="163">
        <f>+'Tuition-2Yr'!R50+'State Appropriations-2Yr'!R50+'Local Appropriations-2Yr'!R50+'Fed Contracts Grnts-2Yr'!R50+'Other Contracts Grnts-2Yr'!R50+'Investment Income-2Yr'!R50+'All Other E&amp;G-2Yr'!R50</f>
        <v>37996.345000000008</v>
      </c>
      <c r="S50" s="163">
        <f>+'Tuition-2Yr'!S50+'State Appropriations-2Yr'!S50+'Local Appropriations-2Yr'!S50+'Fed Contracts Grnts-2Yr'!S50+'Other Contracts Grnts-2Yr'!S50+'Investment Income-2Yr'!S50+'All Other E&amp;G-2Yr'!S50</f>
        <v>38893.712</v>
      </c>
      <c r="T50" s="163">
        <f>+'Tuition-2Yr'!T50+'State Appropriations-2Yr'!T50+'Local Appropriations-2Yr'!T50+'Fed Contracts Grnts-2Yr'!T50+'Other Contracts Grnts-2Yr'!T50+'Investment Income-2Yr'!T50+'All Other E&amp;G-2Yr'!T50</f>
        <v>41950.998000000007</v>
      </c>
      <c r="U50" s="163">
        <f>+'Tuition-2Yr'!U50+'State Appropriations-2Yr'!U50+'Local Appropriations-2Yr'!U50+'Fed Contracts Grnts-2Yr'!U50+'Other Contracts Grnts-2Yr'!U50+'Investment Income-2Yr'!U50+'All Other E&amp;G-2Yr'!U50</f>
        <v>40050.120999999999</v>
      </c>
      <c r="V50" s="163">
        <f>+'Tuition-2Yr'!V50+'State Appropriations-2Yr'!V50+'Local Appropriations-2Yr'!V50+'Fed Contracts Grnts-2Yr'!V50+'Other Contracts Grnts-2Yr'!V50+'Investment Income-2Yr'!V50+'All Other E&amp;G-2Yr'!V50</f>
        <v>44798.805999999997</v>
      </c>
      <c r="W50" s="163">
        <f>+'Tuition-2Yr'!W50+'State Appropriations-2Yr'!W50+'Local Appropriations-2Yr'!W50+'Fed Contracts Grnts-2Yr'!W50+'Other Contracts Grnts-2Yr'!W50+'Investment Income-2Yr'!W50+'All Other E&amp;G-2Yr'!W50</f>
        <v>46350.69400000001</v>
      </c>
      <c r="X50" s="163">
        <f>+'Tuition-2Yr'!X50+'State Appropriations-2Yr'!X50+'Local Appropriations-2Yr'!X50+'Fed Contracts Grnts-2Yr'!X50+'Other Contracts Grnts-2Yr'!X50+'Investment Income-2Yr'!X50+'All Other E&amp;G-2Yr'!X50</f>
        <v>41033.383999999998</v>
      </c>
      <c r="Y50" s="163">
        <f>+'Tuition-2Yr'!Y50+'State Appropriations-2Yr'!Y50+'Local Appropriations-2Yr'!Y50+'Fed Contracts Grnts-2Yr'!Y50+'Other Contracts Grnts-2Yr'!Y50+'Investment Income-2Yr'!Y50+'All Other E&amp;G-2Yr'!Y50</f>
        <v>50230.261999999995</v>
      </c>
      <c r="Z50" s="163">
        <f>+'Tuition-2Yr'!Z50+'State Appropriations-2Yr'!Z50+'Local Appropriations-2Yr'!Z50+'Fed Contracts Grnts-2Yr'!Z50+'Other Contracts Grnts-2Yr'!Z50+'Investment Income-2Yr'!Z50+'All Other E&amp;G-2Yr'!Z50</f>
        <v>56678.780999999995</v>
      </c>
      <c r="AA50" s="163">
        <f>+'Tuition-2Yr'!AA50+'State Appropriations-2Yr'!AA50+'Local Appropriations-2Yr'!AA50+'Fed Contracts Grnts-2Yr'!AA50+'Other Contracts Grnts-2Yr'!AA50+'Investment Income-2Yr'!AA50+'All Other E&amp;G-2Yr'!AA50</f>
        <v>104057.46400000001</v>
      </c>
      <c r="AB50" s="163">
        <f>+'Tuition-2Yr'!AB50+'State Appropriations-2Yr'!AB50+'Local Appropriations-2Yr'!AB50+'Fed Contracts Grnts-2Yr'!AB50+'Other Contracts Grnts-2Yr'!AB50+'Investment Income-2Yr'!AB50+'All Other E&amp;G-2Yr'!AB50</f>
        <v>86725.017000000007</v>
      </c>
      <c r="AC50" s="163">
        <f>+'Tuition-2Yr'!AC50+'State Appropriations-2Yr'!AC50+'Local Appropriations-2Yr'!AC50+'Fed Contracts Grnts-2Yr'!AC50+'Other Contracts Grnts-2Yr'!AC50+'Investment Income-2Yr'!AC50+'All Other E&amp;G-2Yr'!AC50</f>
        <v>88888</v>
      </c>
      <c r="AD50" s="163">
        <f>+'Tuition-2Yr'!AD50+'State Appropriations-2Yr'!AD50+'Local Appropriations-2Yr'!AD50+'Fed Contracts Grnts-2Yr'!AD50+'Other Contracts Grnts-2Yr'!AD50+'Investment Income-2Yr'!AD50+'All Other E&amp;G-2Yr'!AD50</f>
        <v>84069.793999999994</v>
      </c>
      <c r="AE50" s="163">
        <f>+'Tuition-2Yr'!AE50+'State Appropriations-2Yr'!AE50+'Local Appropriations-2Yr'!AE50+'Fed Contracts Grnts-2Yr'!AE50+'Other Contracts Grnts-2Yr'!AE50+'Investment Income-2Yr'!AE50+'All Other E&amp;G-2Yr'!AE50</f>
        <v>126549.098</v>
      </c>
      <c r="AF50" s="163">
        <f>+'Tuition-2Yr'!AF50+'State Appropriations-2Yr'!AF50+'Local Appropriations-2Yr'!AF50+'Fed Contracts Grnts-2Yr'!AF50+'Other Contracts Grnts-2Yr'!AF50+'Investment Income-2Yr'!AF50+'All Other E&amp;G-2Yr'!AF50</f>
        <v>130341.39300000001</v>
      </c>
      <c r="AG50" s="163">
        <f>+'Tuition-2Yr'!AG50+'State Appropriations-2Yr'!AG50+'Local Appropriations-2Yr'!AG50+'Fed Contracts Grnts-2Yr'!AG50+'Other Contracts Grnts-2Yr'!AG50+'Investment Income-2Yr'!AG50+'All Other E&amp;G-2Yr'!AG50</f>
        <v>124227.553</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c r="HC50" s="20"/>
      <c r="HD50" s="20"/>
      <c r="HE50" s="20"/>
      <c r="HF50" s="20"/>
    </row>
    <row r="51" spans="1:214" s="65" customFormat="1" ht="12.75" customHeight="1">
      <c r="A51" s="94" t="s">
        <v>140</v>
      </c>
      <c r="B51" s="164">
        <f>+'Tuition-2Yr'!B51+'State Appropriations-2Yr'!B51+'Local Appropriations-2Yr'!B51+'Fed Contracts Grnts-2Yr'!B51+'Other Contracts Grnts-2Yr'!B51+'Investment Income-2Yr'!B51+'All Other E&amp;G-2Yr'!B51</f>
        <v>0</v>
      </c>
      <c r="C51" s="164">
        <f>+'Tuition-2Yr'!C51+'State Appropriations-2Yr'!C51+'Local Appropriations-2Yr'!C51+'Fed Contracts Grnts-2Yr'!C51+'Other Contracts Grnts-2Yr'!C51+'Investment Income-2Yr'!C51+'All Other E&amp;G-2Yr'!C51</f>
        <v>0</v>
      </c>
      <c r="D51" s="164">
        <f>+'Tuition-2Yr'!D51+'State Appropriations-2Yr'!D51+'Local Appropriations-2Yr'!D51+'Fed Contracts Grnts-2Yr'!D51+'Other Contracts Grnts-2Yr'!D51+'Investment Income-2Yr'!D51+'All Other E&amp;G-2Yr'!D51</f>
        <v>0</v>
      </c>
      <c r="E51" s="164">
        <f>+'Tuition-2Yr'!E51+'State Appropriations-2Yr'!E51+'Local Appropriations-2Yr'!E51+'Fed Contracts Grnts-2Yr'!E51+'Other Contracts Grnts-2Yr'!E51+'Investment Income-2Yr'!E51+'All Other E&amp;G-2Yr'!E51</f>
        <v>0</v>
      </c>
      <c r="F51" s="164">
        <f>+'Tuition-2Yr'!F51+'State Appropriations-2Yr'!F51+'Local Appropriations-2Yr'!F51+'Fed Contracts Grnts-2Yr'!F51+'Other Contracts Grnts-2Yr'!F51+'Investment Income-2Yr'!F51+'All Other E&amp;G-2Yr'!F51</f>
        <v>0</v>
      </c>
      <c r="G51" s="164">
        <f>+'Tuition-2Yr'!G51+'State Appropriations-2Yr'!G51+'Local Appropriations-2Yr'!G51+'Fed Contracts Grnts-2Yr'!G51+'Other Contracts Grnts-2Yr'!G51+'Investment Income-2Yr'!G51+'All Other E&amp;G-2Yr'!G51</f>
        <v>0</v>
      </c>
      <c r="H51" s="164">
        <f>+'Tuition-2Yr'!H51+'State Appropriations-2Yr'!H51+'Local Appropriations-2Yr'!H51+'Fed Contracts Grnts-2Yr'!H51+'Other Contracts Grnts-2Yr'!H51+'Investment Income-2Yr'!H51+'All Other E&amp;G-2Yr'!H51</f>
        <v>0</v>
      </c>
      <c r="I51" s="164">
        <f>+'Tuition-2Yr'!I51+'State Appropriations-2Yr'!I51+'Local Appropriations-2Yr'!I51+'Fed Contracts Grnts-2Yr'!I51+'Other Contracts Grnts-2Yr'!I51+'Investment Income-2Yr'!I51+'All Other E&amp;G-2Yr'!I51</f>
        <v>0</v>
      </c>
      <c r="J51" s="164">
        <f>+'Tuition-2Yr'!J51+'State Appropriations-2Yr'!J51+'Local Appropriations-2Yr'!J51+'Fed Contracts Grnts-2Yr'!J51+'Other Contracts Grnts-2Yr'!J51+'Investment Income-2Yr'!J51+'All Other E&amp;G-2Yr'!J51</f>
        <v>512165.40099999995</v>
      </c>
      <c r="K51" s="164">
        <f>+'Tuition-2Yr'!K51+'State Appropriations-2Yr'!K51+'Local Appropriations-2Yr'!K51+'Fed Contracts Grnts-2Yr'!K51+'Other Contracts Grnts-2Yr'!K51+'Investment Income-2Yr'!K51+'All Other E&amp;G-2Yr'!K51</f>
        <v>0</v>
      </c>
      <c r="L51" s="164">
        <f>+'Tuition-2Yr'!L51+'State Appropriations-2Yr'!L51+'Local Appropriations-2Yr'!L51+'Fed Contracts Grnts-2Yr'!L51+'Other Contracts Grnts-2Yr'!L51+'Investment Income-2Yr'!L51+'All Other E&amp;G-2Yr'!L51</f>
        <v>0</v>
      </c>
      <c r="M51" s="164">
        <f>+'Tuition-2Yr'!M51+'State Appropriations-2Yr'!M51+'Local Appropriations-2Yr'!M51+'Fed Contracts Grnts-2Yr'!M51+'Other Contracts Grnts-2Yr'!M51+'Investment Income-2Yr'!M51+'All Other E&amp;G-2Yr'!M51</f>
        <v>608228.70199999993</v>
      </c>
      <c r="N51" s="164">
        <f>+'Tuition-2Yr'!N51+'State Appropriations-2Yr'!N51+'Local Appropriations-2Yr'!N51+'Fed Contracts Grnts-2Yr'!N51+'Other Contracts Grnts-2Yr'!N51+'Investment Income-2Yr'!N51+'All Other E&amp;G-2Yr'!N51</f>
        <v>0</v>
      </c>
      <c r="O51" s="164">
        <f>+'Tuition-2Yr'!O51+'State Appropriations-2Yr'!O51+'Local Appropriations-2Yr'!O51+'Fed Contracts Grnts-2Yr'!O51+'Other Contracts Grnts-2Yr'!O51+'Investment Income-2Yr'!O51+'All Other E&amp;G-2Yr'!O51</f>
        <v>649977.31699999981</v>
      </c>
      <c r="P51" s="164">
        <f>+'Tuition-2Yr'!P51+'State Appropriations-2Yr'!P51+'Local Appropriations-2Yr'!P51+'Fed Contracts Grnts-2Yr'!P51+'Other Contracts Grnts-2Yr'!P51+'Investment Income-2Yr'!P51+'All Other E&amp;G-2Yr'!P51</f>
        <v>0</v>
      </c>
      <c r="Q51" s="164">
        <f>+'Tuition-2Yr'!Q51+'State Appropriations-2Yr'!Q51+'Local Appropriations-2Yr'!Q51+'Fed Contracts Grnts-2Yr'!Q51+'Other Contracts Grnts-2Yr'!Q51+'Investment Income-2Yr'!Q51+'All Other E&amp;G-2Yr'!Q51</f>
        <v>0</v>
      </c>
      <c r="R51" s="164">
        <f>+'Tuition-2Yr'!R51+'State Appropriations-2Yr'!R51+'Local Appropriations-2Yr'!R51+'Fed Contracts Grnts-2Yr'!R51+'Other Contracts Grnts-2Yr'!R51+'Investment Income-2Yr'!R51+'All Other E&amp;G-2Yr'!R51</f>
        <v>763632.26900000009</v>
      </c>
      <c r="S51" s="164">
        <f>+'Tuition-2Yr'!S51+'State Appropriations-2Yr'!S51+'Local Appropriations-2Yr'!S51+'Fed Contracts Grnts-2Yr'!S51+'Other Contracts Grnts-2Yr'!S51+'Investment Income-2Yr'!S51+'All Other E&amp;G-2Yr'!S51</f>
        <v>832722.11600000015</v>
      </c>
      <c r="T51" s="164">
        <f>+'Tuition-2Yr'!T51+'State Appropriations-2Yr'!T51+'Local Appropriations-2Yr'!T51+'Fed Contracts Grnts-2Yr'!T51+'Other Contracts Grnts-2Yr'!T51+'Investment Income-2Yr'!T51+'All Other E&amp;G-2Yr'!T51</f>
        <v>933358.46400000004</v>
      </c>
      <c r="U51" s="164">
        <f>+'Tuition-2Yr'!U51+'State Appropriations-2Yr'!U51+'Local Appropriations-2Yr'!U51+'Fed Contracts Grnts-2Yr'!U51+'Other Contracts Grnts-2Yr'!U51+'Investment Income-2Yr'!U51+'All Other E&amp;G-2Yr'!U51</f>
        <v>1024853.1619999999</v>
      </c>
      <c r="V51" s="164">
        <f>+'Tuition-2Yr'!V51+'State Appropriations-2Yr'!V51+'Local Appropriations-2Yr'!V51+'Fed Contracts Grnts-2Yr'!V51+'Other Contracts Grnts-2Yr'!V51+'Investment Income-2Yr'!V51+'All Other E&amp;G-2Yr'!V51</f>
        <v>1091909.811</v>
      </c>
      <c r="W51" s="164">
        <f>+'Tuition-2Yr'!W51+'State Appropriations-2Yr'!W51+'Local Appropriations-2Yr'!W51+'Fed Contracts Grnts-2Yr'!W51+'Other Contracts Grnts-2Yr'!W51+'Investment Income-2Yr'!W51+'All Other E&amp;G-2Yr'!W51</f>
        <v>1175455.4259999997</v>
      </c>
      <c r="X51" s="164">
        <f>+'Tuition-2Yr'!X51+'State Appropriations-2Yr'!X51+'Local Appropriations-2Yr'!X51+'Fed Contracts Grnts-2Yr'!X51+'Other Contracts Grnts-2Yr'!X51+'Investment Income-2Yr'!X51+'All Other E&amp;G-2Yr'!X51</f>
        <v>1177251.422</v>
      </c>
      <c r="Y51" s="164">
        <f>+'Tuition-2Yr'!Y51+'State Appropriations-2Yr'!Y51+'Local Appropriations-2Yr'!Y51+'Fed Contracts Grnts-2Yr'!Y51+'Other Contracts Grnts-2Yr'!Y51+'Investment Income-2Yr'!Y51+'All Other E&amp;G-2Yr'!Y51</f>
        <v>1109264.453</v>
      </c>
      <c r="Z51" s="164">
        <f>+'Tuition-2Yr'!Z51+'State Appropriations-2Yr'!Z51+'Local Appropriations-2Yr'!Z51+'Fed Contracts Grnts-2Yr'!Z51+'Other Contracts Grnts-2Yr'!Z51+'Investment Income-2Yr'!Z51+'All Other E&amp;G-2Yr'!Z51</f>
        <v>1150017.017</v>
      </c>
      <c r="AA51" s="164">
        <f>+'Tuition-2Yr'!AA51+'State Appropriations-2Yr'!AA51+'Local Appropriations-2Yr'!AA51+'Fed Contracts Grnts-2Yr'!AA51+'Other Contracts Grnts-2Yr'!AA51+'Investment Income-2Yr'!AA51+'All Other E&amp;G-2Yr'!AA51</f>
        <v>1247284.3229999999</v>
      </c>
      <c r="AB51" s="164">
        <f>+'Tuition-2Yr'!AB51+'State Appropriations-2Yr'!AB51+'Local Appropriations-2Yr'!AB51+'Fed Contracts Grnts-2Yr'!AB51+'Other Contracts Grnts-2Yr'!AB51+'Investment Income-2Yr'!AB51+'All Other E&amp;G-2Yr'!AB51</f>
        <v>1561013.8570000001</v>
      </c>
      <c r="AC51" s="164">
        <f>+'Tuition-2Yr'!AC51+'State Appropriations-2Yr'!AC51+'Local Appropriations-2Yr'!AC51+'Fed Contracts Grnts-2Yr'!AC51+'Other Contracts Grnts-2Yr'!AC51+'Investment Income-2Yr'!AC51+'All Other E&amp;G-2Yr'!AC51</f>
        <v>1669441</v>
      </c>
      <c r="AD51" s="164">
        <f>+'Tuition-2Yr'!AD51+'State Appropriations-2Yr'!AD51+'Local Appropriations-2Yr'!AD51+'Fed Contracts Grnts-2Yr'!AD51+'Other Contracts Grnts-2Yr'!AD51+'Investment Income-2Yr'!AD51+'All Other E&amp;G-2Yr'!AD51</f>
        <v>1597800.976</v>
      </c>
      <c r="AE51" s="164">
        <f>+'Tuition-2Yr'!AE51+'State Appropriations-2Yr'!AE51+'Local Appropriations-2Yr'!AE51+'Fed Contracts Grnts-2Yr'!AE51+'Other Contracts Grnts-2Yr'!AE51+'Investment Income-2Yr'!AE51+'All Other E&amp;G-2Yr'!AE51</f>
        <v>1623187.39</v>
      </c>
      <c r="AF51" s="164">
        <f>+'Tuition-2Yr'!AF51+'State Appropriations-2Yr'!AF51+'Local Appropriations-2Yr'!AF51+'Fed Contracts Grnts-2Yr'!AF51+'Other Contracts Grnts-2Yr'!AF51+'Investment Income-2Yr'!AF51+'All Other E&amp;G-2Yr'!AF51</f>
        <v>393741.01399999997</v>
      </c>
      <c r="AG51" s="164">
        <f>+'Tuition-2Yr'!AG51+'State Appropriations-2Yr'!AG51+'Local Appropriations-2Yr'!AG51+'Fed Contracts Grnts-2Yr'!AG51+'Other Contracts Grnts-2Yr'!AG51+'Investment Income-2Yr'!AG51+'All Other E&amp;G-2Yr'!AG51</f>
        <v>394067.82399999991</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c r="HC51" s="20"/>
      <c r="HD51" s="20"/>
      <c r="HE51" s="20"/>
      <c r="HF51" s="20"/>
    </row>
    <row r="52" spans="1:214" s="65" customFormat="1" ht="12.75" customHeight="1">
      <c r="A52" s="84" t="s">
        <v>146</v>
      </c>
      <c r="B52" s="161">
        <f>+'Tuition-2Yr'!B52+'State Appropriations-2Yr'!B52+'Local Appropriations-2Yr'!B52+'Fed Contracts Grnts-2Yr'!B52+'Other Contracts Grnts-2Yr'!B52+'Investment Income-2Yr'!B52+'All Other E&amp;G-2Yr'!B52</f>
        <v>0</v>
      </c>
      <c r="C52" s="161">
        <f>+'Tuition-2Yr'!C52+'State Appropriations-2Yr'!C52+'Local Appropriations-2Yr'!C52+'Fed Contracts Grnts-2Yr'!C52+'Other Contracts Grnts-2Yr'!C52+'Investment Income-2Yr'!C52+'All Other E&amp;G-2Yr'!C52</f>
        <v>0</v>
      </c>
      <c r="D52" s="161">
        <f>+'Tuition-2Yr'!D52+'State Appropriations-2Yr'!D52+'Local Appropriations-2Yr'!D52+'Fed Contracts Grnts-2Yr'!D52+'Other Contracts Grnts-2Yr'!D52+'Investment Income-2Yr'!D52+'All Other E&amp;G-2Yr'!D52</f>
        <v>0</v>
      </c>
      <c r="E52" s="161">
        <f>+'Tuition-2Yr'!E52+'State Appropriations-2Yr'!E52+'Local Appropriations-2Yr'!E52+'Fed Contracts Grnts-2Yr'!E52+'Other Contracts Grnts-2Yr'!E52+'Investment Income-2Yr'!E52+'All Other E&amp;G-2Yr'!E52</f>
        <v>0</v>
      </c>
      <c r="F52" s="161">
        <f>+'Tuition-2Yr'!F52+'State Appropriations-2Yr'!F52+'Local Appropriations-2Yr'!F52+'Fed Contracts Grnts-2Yr'!F52+'Other Contracts Grnts-2Yr'!F52+'Investment Income-2Yr'!F52+'All Other E&amp;G-2Yr'!F52</f>
        <v>0</v>
      </c>
      <c r="G52" s="161">
        <f>+'Tuition-2Yr'!G52+'State Appropriations-2Yr'!G52+'Local Appropriations-2Yr'!G52+'Fed Contracts Grnts-2Yr'!G52+'Other Contracts Grnts-2Yr'!G52+'Investment Income-2Yr'!G52+'All Other E&amp;G-2Yr'!G52</f>
        <v>0</v>
      </c>
      <c r="H52" s="161">
        <f>+'Tuition-2Yr'!H52+'State Appropriations-2Yr'!H52+'Local Appropriations-2Yr'!H52+'Fed Contracts Grnts-2Yr'!H52+'Other Contracts Grnts-2Yr'!H52+'Investment Income-2Yr'!H52+'All Other E&amp;G-2Yr'!H52</f>
        <v>0</v>
      </c>
      <c r="I52" s="161">
        <f>+'Tuition-2Yr'!I52+'State Appropriations-2Yr'!I52+'Local Appropriations-2Yr'!I52+'Fed Contracts Grnts-2Yr'!I52+'Other Contracts Grnts-2Yr'!I52+'Investment Income-2Yr'!I52+'All Other E&amp;G-2Yr'!I52</f>
        <v>0</v>
      </c>
      <c r="J52" s="161">
        <f>+'Tuition-2Yr'!J52+'State Appropriations-2Yr'!J52+'Local Appropriations-2Yr'!J52+'Fed Contracts Grnts-2Yr'!J52+'Other Contracts Grnts-2Yr'!J52+'Investment Income-2Yr'!J52+'All Other E&amp;G-2Yr'!J52</f>
        <v>2543015.1159999999</v>
      </c>
      <c r="K52" s="161">
        <f>+'Tuition-2Yr'!K52+'State Appropriations-2Yr'!K52+'Local Appropriations-2Yr'!K52+'Fed Contracts Grnts-2Yr'!K52+'Other Contracts Grnts-2Yr'!K52+'Investment Income-2Yr'!K52+'All Other E&amp;G-2Yr'!K52</f>
        <v>0</v>
      </c>
      <c r="L52" s="161">
        <f>+'Tuition-2Yr'!L52+'State Appropriations-2Yr'!L52+'Local Appropriations-2Yr'!L52+'Fed Contracts Grnts-2Yr'!L52+'Other Contracts Grnts-2Yr'!L52+'Investment Income-2Yr'!L52+'All Other E&amp;G-2Yr'!L52</f>
        <v>0</v>
      </c>
      <c r="M52" s="161">
        <f>+'Tuition-2Yr'!M52+'State Appropriations-2Yr'!M52+'Local Appropriations-2Yr'!M52+'Fed Contracts Grnts-2Yr'!M52+'Other Contracts Grnts-2Yr'!M52+'Investment Income-2Yr'!M52+'All Other E&amp;G-2Yr'!M52</f>
        <v>3069441.7249999996</v>
      </c>
      <c r="N52" s="161">
        <f>+'Tuition-2Yr'!N52+'State Appropriations-2Yr'!N52+'Local Appropriations-2Yr'!N52+'Fed Contracts Grnts-2Yr'!N52+'Other Contracts Grnts-2Yr'!N52+'Investment Income-2Yr'!N52+'All Other E&amp;G-2Yr'!N52</f>
        <v>0</v>
      </c>
      <c r="O52" s="161">
        <f>+'Tuition-2Yr'!O52+'State Appropriations-2Yr'!O52+'Local Appropriations-2Yr'!O52+'Fed Contracts Grnts-2Yr'!O52+'Other Contracts Grnts-2Yr'!O52+'Investment Income-2Yr'!O52+'All Other E&amp;G-2Yr'!O52</f>
        <v>3380806.2283799993</v>
      </c>
      <c r="P52" s="161">
        <f>+'Tuition-2Yr'!P52+'State Appropriations-2Yr'!P52+'Local Appropriations-2Yr'!P52+'Fed Contracts Grnts-2Yr'!P52+'Other Contracts Grnts-2Yr'!P52+'Investment Income-2Yr'!P52+'All Other E&amp;G-2Yr'!P52</f>
        <v>0</v>
      </c>
      <c r="Q52" s="161">
        <f>+'Tuition-2Yr'!Q52+'State Appropriations-2Yr'!Q52+'Local Appropriations-2Yr'!Q52+'Fed Contracts Grnts-2Yr'!Q52+'Other Contracts Grnts-2Yr'!Q52+'Investment Income-2Yr'!Q52+'All Other E&amp;G-2Yr'!Q52</f>
        <v>0</v>
      </c>
      <c r="R52" s="161">
        <f>+'Tuition-2Yr'!R52+'State Appropriations-2Yr'!R52+'Local Appropriations-2Yr'!R52+'Fed Contracts Grnts-2Yr'!R52+'Other Contracts Grnts-2Yr'!R52+'Investment Income-2Yr'!R52+'All Other E&amp;G-2Yr'!R52</f>
        <v>3539228.469</v>
      </c>
      <c r="S52" s="161">
        <f>+'Tuition-2Yr'!S52+'State Appropriations-2Yr'!S52+'Local Appropriations-2Yr'!S52+'Fed Contracts Grnts-2Yr'!S52+'Other Contracts Grnts-2Yr'!S52+'Investment Income-2Yr'!S52+'All Other E&amp;G-2Yr'!S52</f>
        <v>4008441.5580000002</v>
      </c>
      <c r="T52" s="161">
        <f>+'Tuition-2Yr'!T52+'State Appropriations-2Yr'!T52+'Local Appropriations-2Yr'!T52+'Fed Contracts Grnts-2Yr'!T52+'Other Contracts Grnts-2Yr'!T52+'Investment Income-2Yr'!T52+'All Other E&amp;G-2Yr'!T52</f>
        <v>4470366.0080000004</v>
      </c>
      <c r="U52" s="161">
        <f>+'Tuition-2Yr'!U52+'State Appropriations-2Yr'!U52+'Local Appropriations-2Yr'!U52+'Fed Contracts Grnts-2Yr'!U52+'Other Contracts Grnts-2Yr'!U52+'Investment Income-2Yr'!U52+'All Other E&amp;G-2Yr'!U52</f>
        <v>4351651.6179999998</v>
      </c>
      <c r="V52" s="161">
        <f>+'Tuition-2Yr'!V52+'State Appropriations-2Yr'!V52+'Local Appropriations-2Yr'!V52+'Fed Contracts Grnts-2Yr'!V52+'Other Contracts Grnts-2Yr'!V52+'Investment Income-2Yr'!V52+'All Other E&amp;G-2Yr'!V52</f>
        <v>4585745.9480000008</v>
      </c>
      <c r="W52" s="161">
        <f>+'Tuition-2Yr'!W52+'State Appropriations-2Yr'!W52+'Local Appropriations-2Yr'!W52+'Fed Contracts Grnts-2Yr'!W52+'Other Contracts Grnts-2Yr'!W52+'Investment Income-2Yr'!W52+'All Other E&amp;G-2Yr'!W52</f>
        <v>5297115.0130000003</v>
      </c>
      <c r="X52" s="161">
        <f>+'Tuition-2Yr'!X52+'State Appropriations-2Yr'!X52+'Local Appropriations-2Yr'!X52+'Fed Contracts Grnts-2Yr'!X52+'Other Contracts Grnts-2Yr'!X52+'Investment Income-2Yr'!X52+'All Other E&amp;G-2Yr'!X52</f>
        <v>5048333.1519999998</v>
      </c>
      <c r="Y52" s="161">
        <f>+'Tuition-2Yr'!Y52+'State Appropriations-2Yr'!Y52+'Local Appropriations-2Yr'!Y52+'Fed Contracts Grnts-2Yr'!Y52+'Other Contracts Grnts-2Yr'!Y52+'Investment Income-2Yr'!Y52+'All Other E&amp;G-2Yr'!Y52</f>
        <v>5309837.9899999993</v>
      </c>
      <c r="Z52" s="161">
        <f>+'Tuition-2Yr'!Z52+'State Appropriations-2Yr'!Z52+'Local Appropriations-2Yr'!Z52+'Fed Contracts Grnts-2Yr'!Z52+'Other Contracts Grnts-2Yr'!Z52+'Investment Income-2Yr'!Z52+'All Other E&amp;G-2Yr'!Z52</f>
        <v>5731227.4660000009</v>
      </c>
      <c r="AA52" s="161">
        <f>+'Tuition-2Yr'!AA52+'State Appropriations-2Yr'!AA52+'Local Appropriations-2Yr'!AA52+'Fed Contracts Grnts-2Yr'!AA52+'Other Contracts Grnts-2Yr'!AA52+'Investment Income-2Yr'!AA52+'All Other E&amp;G-2Yr'!AA52</f>
        <v>6780967.6339999996</v>
      </c>
      <c r="AB52" s="161">
        <f>+'Tuition-2Yr'!AB52+'State Appropriations-2Yr'!AB52+'Local Appropriations-2Yr'!AB52+'Fed Contracts Grnts-2Yr'!AB52+'Other Contracts Grnts-2Yr'!AB52+'Investment Income-2Yr'!AB52+'All Other E&amp;G-2Yr'!AB52</f>
        <v>7629103.1689999988</v>
      </c>
      <c r="AC52" s="161">
        <f>+'Tuition-2Yr'!AC52+'State Appropriations-2Yr'!AC52+'Local Appropriations-2Yr'!AC52+'Fed Contracts Grnts-2Yr'!AC52+'Other Contracts Grnts-2Yr'!AC52+'Investment Income-2Yr'!AC52+'All Other E&amp;G-2Yr'!AC52</f>
        <v>8014177</v>
      </c>
      <c r="AD52" s="161">
        <f>+'Tuition-2Yr'!AD52+'State Appropriations-2Yr'!AD52+'Local Appropriations-2Yr'!AD52+'Fed Contracts Grnts-2Yr'!AD52+'Other Contracts Grnts-2Yr'!AD52+'Investment Income-2Yr'!AD52+'All Other E&amp;G-2Yr'!AD52</f>
        <v>8231091.9860000005</v>
      </c>
      <c r="AE52" s="161">
        <f>+'Tuition-2Yr'!AE52+'State Appropriations-2Yr'!AE52+'Local Appropriations-2Yr'!AE52+'Fed Contracts Grnts-2Yr'!AE52+'Other Contracts Grnts-2Yr'!AE52+'Investment Income-2Yr'!AE52+'All Other E&amp;G-2Yr'!AE52</f>
        <v>8422786.9469999988</v>
      </c>
      <c r="AF52" s="161">
        <f>+'Tuition-2Yr'!AF52+'State Appropriations-2Yr'!AF52+'Local Appropriations-2Yr'!AF52+'Fed Contracts Grnts-2Yr'!AF52+'Other Contracts Grnts-2Yr'!AF52+'Investment Income-2Yr'!AF52+'All Other E&amp;G-2Yr'!AF52</f>
        <v>8535715.818</v>
      </c>
      <c r="AG52" s="161">
        <f>+'Tuition-2Yr'!AG52+'State Appropriations-2Yr'!AG52+'Local Appropriations-2Yr'!AG52+'Fed Contracts Grnts-2Yr'!AG52+'Other Contracts Grnts-2Yr'!AG52+'Investment Income-2Yr'!AG52+'All Other E&amp;G-2Yr'!AG52</f>
        <v>8620778.9110000003</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c r="HC52" s="20"/>
      <c r="HD52" s="20"/>
      <c r="HE52" s="20"/>
      <c r="HF52" s="20"/>
    </row>
    <row r="53" spans="1:214" s="65" customFormat="1" ht="12.75" customHeight="1">
      <c r="A53" s="84" t="s">
        <v>143</v>
      </c>
      <c r="B53" s="161">
        <f>+'Tuition-2Yr'!B53+'State Appropriations-2Yr'!B53+'Local Appropriations-2Yr'!B53+'Fed Contracts Grnts-2Yr'!B53+'Other Contracts Grnts-2Yr'!B53+'Investment Income-2Yr'!B53+'All Other E&amp;G-2Yr'!B53</f>
        <v>0</v>
      </c>
      <c r="C53" s="161">
        <f>+'Tuition-2Yr'!C53+'State Appropriations-2Yr'!C53+'Local Appropriations-2Yr'!C53+'Fed Contracts Grnts-2Yr'!C53+'Other Contracts Grnts-2Yr'!C53+'Investment Income-2Yr'!C53+'All Other E&amp;G-2Yr'!C53</f>
        <v>0</v>
      </c>
      <c r="D53" s="161">
        <f>+'Tuition-2Yr'!D53+'State Appropriations-2Yr'!D53+'Local Appropriations-2Yr'!D53+'Fed Contracts Grnts-2Yr'!D53+'Other Contracts Grnts-2Yr'!D53+'Investment Income-2Yr'!D53+'All Other E&amp;G-2Yr'!D53</f>
        <v>0</v>
      </c>
      <c r="E53" s="161">
        <f>+'Tuition-2Yr'!E53+'State Appropriations-2Yr'!E53+'Local Appropriations-2Yr'!E53+'Fed Contracts Grnts-2Yr'!E53+'Other Contracts Grnts-2Yr'!E53+'Investment Income-2Yr'!E53+'All Other E&amp;G-2Yr'!E53</f>
        <v>0</v>
      </c>
      <c r="F53" s="161">
        <f>+'Tuition-2Yr'!F53+'State Appropriations-2Yr'!F53+'Local Appropriations-2Yr'!F53+'Fed Contracts Grnts-2Yr'!F53+'Other Contracts Grnts-2Yr'!F53+'Investment Income-2Yr'!F53+'All Other E&amp;G-2Yr'!F53</f>
        <v>0</v>
      </c>
      <c r="G53" s="161">
        <f>+'Tuition-2Yr'!G53+'State Appropriations-2Yr'!G53+'Local Appropriations-2Yr'!G53+'Fed Contracts Grnts-2Yr'!G53+'Other Contracts Grnts-2Yr'!G53+'Investment Income-2Yr'!G53+'All Other E&amp;G-2Yr'!G53</f>
        <v>0</v>
      </c>
      <c r="H53" s="161">
        <f>+'Tuition-2Yr'!H53+'State Appropriations-2Yr'!H53+'Local Appropriations-2Yr'!H53+'Fed Contracts Grnts-2Yr'!H53+'Other Contracts Grnts-2Yr'!H53+'Investment Income-2Yr'!H53+'All Other E&amp;G-2Yr'!H53</f>
        <v>0</v>
      </c>
      <c r="I53" s="161">
        <f>+'Tuition-2Yr'!I53+'State Appropriations-2Yr'!I53+'Local Appropriations-2Yr'!I53+'Fed Contracts Grnts-2Yr'!I53+'Other Contracts Grnts-2Yr'!I53+'Investment Income-2Yr'!I53+'All Other E&amp;G-2Yr'!I53</f>
        <v>0</v>
      </c>
      <c r="J53" s="161">
        <f>+'Tuition-2Yr'!J53+'State Appropriations-2Yr'!J53+'Local Appropriations-2Yr'!J53+'Fed Contracts Grnts-2Yr'!J53+'Other Contracts Grnts-2Yr'!J53+'Investment Income-2Yr'!J53+'All Other E&amp;G-2Yr'!J53</f>
        <v>0</v>
      </c>
      <c r="K53" s="161">
        <f>+'Tuition-2Yr'!K53+'State Appropriations-2Yr'!K53+'Local Appropriations-2Yr'!K53+'Fed Contracts Grnts-2Yr'!K53+'Other Contracts Grnts-2Yr'!K53+'Investment Income-2Yr'!K53+'All Other E&amp;G-2Yr'!K53</f>
        <v>0</v>
      </c>
      <c r="L53" s="161">
        <f>+'Tuition-2Yr'!L53+'State Appropriations-2Yr'!L53+'Local Appropriations-2Yr'!L53+'Fed Contracts Grnts-2Yr'!L53+'Other Contracts Grnts-2Yr'!L53+'Investment Income-2Yr'!L53+'All Other E&amp;G-2Yr'!L53</f>
        <v>0</v>
      </c>
      <c r="M53" s="161">
        <f>+'Tuition-2Yr'!M53+'State Appropriations-2Yr'!M53+'Local Appropriations-2Yr'!M53+'Fed Contracts Grnts-2Yr'!M53+'Other Contracts Grnts-2Yr'!M53+'Investment Income-2Yr'!M53+'All Other E&amp;G-2Yr'!M53</f>
        <v>0</v>
      </c>
      <c r="N53" s="161">
        <f>+'Tuition-2Yr'!N53+'State Appropriations-2Yr'!N53+'Local Appropriations-2Yr'!N53+'Fed Contracts Grnts-2Yr'!N53+'Other Contracts Grnts-2Yr'!N53+'Investment Income-2Yr'!N53+'All Other E&amp;G-2Yr'!N53</f>
        <v>0</v>
      </c>
      <c r="O53" s="161">
        <f>+'Tuition-2Yr'!O53+'State Appropriations-2Yr'!O53+'Local Appropriations-2Yr'!O53+'Fed Contracts Grnts-2Yr'!O53+'Other Contracts Grnts-2Yr'!O53+'Investment Income-2Yr'!O53+'All Other E&amp;G-2Yr'!O53</f>
        <v>0</v>
      </c>
      <c r="P53" s="161">
        <f>+'Tuition-2Yr'!P53+'State Appropriations-2Yr'!P53+'Local Appropriations-2Yr'!P53+'Fed Contracts Grnts-2Yr'!P53+'Other Contracts Grnts-2Yr'!P53+'Investment Income-2Yr'!P53+'All Other E&amp;G-2Yr'!P53</f>
        <v>0</v>
      </c>
      <c r="Q53" s="161">
        <f>+'Tuition-2Yr'!Q53+'State Appropriations-2Yr'!Q53+'Local Appropriations-2Yr'!Q53+'Fed Contracts Grnts-2Yr'!Q53+'Other Contracts Grnts-2Yr'!Q53+'Investment Income-2Yr'!Q53+'All Other E&amp;G-2Yr'!Q53</f>
        <v>0</v>
      </c>
      <c r="R53" s="161">
        <f>+'Tuition-2Yr'!R53+'State Appropriations-2Yr'!R53+'Local Appropriations-2Yr'!R53+'Fed Contracts Grnts-2Yr'!R53+'Other Contracts Grnts-2Yr'!R53+'Investment Income-2Yr'!R53+'All Other E&amp;G-2Yr'!R53</f>
        <v>0</v>
      </c>
      <c r="S53" s="161">
        <f>+'Tuition-2Yr'!S53+'State Appropriations-2Yr'!S53+'Local Appropriations-2Yr'!S53+'Fed Contracts Grnts-2Yr'!S53+'Other Contracts Grnts-2Yr'!S53+'Investment Income-2Yr'!S53+'All Other E&amp;G-2Yr'!S53</f>
        <v>0</v>
      </c>
      <c r="T53" s="161">
        <f>+'Tuition-2Yr'!T53+'State Appropriations-2Yr'!T53+'Local Appropriations-2Yr'!T53+'Fed Contracts Grnts-2Yr'!T53+'Other Contracts Grnts-2Yr'!T53+'Investment Income-2Yr'!T53+'All Other E&amp;G-2Yr'!T53</f>
        <v>0</v>
      </c>
      <c r="U53" s="161">
        <f>+'Tuition-2Yr'!U53+'State Appropriations-2Yr'!U53+'Local Appropriations-2Yr'!U53+'Fed Contracts Grnts-2Yr'!U53+'Other Contracts Grnts-2Yr'!U53+'Investment Income-2Yr'!U53+'All Other E&amp;G-2Yr'!U53</f>
        <v>0</v>
      </c>
      <c r="V53" s="161">
        <f>+'Tuition-2Yr'!V53+'State Appropriations-2Yr'!V53+'Local Appropriations-2Yr'!V53+'Fed Contracts Grnts-2Yr'!V53+'Other Contracts Grnts-2Yr'!V53+'Investment Income-2Yr'!V53+'All Other E&amp;G-2Yr'!V53</f>
        <v>0</v>
      </c>
      <c r="W53" s="161">
        <f>+'Tuition-2Yr'!W53+'State Appropriations-2Yr'!W53+'Local Appropriations-2Yr'!W53+'Fed Contracts Grnts-2Yr'!W53+'Other Contracts Grnts-2Yr'!W53+'Investment Income-2Yr'!W53+'All Other E&amp;G-2Yr'!W53</f>
        <v>0</v>
      </c>
      <c r="X53" s="161">
        <f>+'Tuition-2Yr'!X53+'State Appropriations-2Yr'!X53+'Local Appropriations-2Yr'!X53+'Fed Contracts Grnts-2Yr'!X53+'Other Contracts Grnts-2Yr'!X53+'Investment Income-2Yr'!X53+'All Other E&amp;G-2Yr'!X53</f>
        <v>0</v>
      </c>
      <c r="Y53" s="161">
        <f>+'Tuition-2Yr'!Y53+'State Appropriations-2Yr'!Y53+'Local Appropriations-2Yr'!Y53+'Fed Contracts Grnts-2Yr'!Y53+'Other Contracts Grnts-2Yr'!Y53+'Investment Income-2Yr'!Y53+'All Other E&amp;G-2Yr'!Y53</f>
        <v>0</v>
      </c>
      <c r="Z53" s="161">
        <f>+'Tuition-2Yr'!Z53+'State Appropriations-2Yr'!Z53+'Local Appropriations-2Yr'!Z53+'Fed Contracts Grnts-2Yr'!Z53+'Other Contracts Grnts-2Yr'!Z53+'Investment Income-2Yr'!Z53+'All Other E&amp;G-2Yr'!Z53</f>
        <v>0</v>
      </c>
      <c r="AA53" s="161">
        <f>+'Tuition-2Yr'!AA53+'State Appropriations-2Yr'!AA53+'Local Appropriations-2Yr'!AA53+'Fed Contracts Grnts-2Yr'!AA53+'Other Contracts Grnts-2Yr'!AA53+'Investment Income-2Yr'!AA53+'All Other E&amp;G-2Yr'!AA53</f>
        <v>0</v>
      </c>
      <c r="AB53" s="161">
        <f>+'Tuition-2Yr'!AB53+'State Appropriations-2Yr'!AB53+'Local Appropriations-2Yr'!AB53+'Fed Contracts Grnts-2Yr'!AB53+'Other Contracts Grnts-2Yr'!AB53+'Investment Income-2Yr'!AB53+'All Other E&amp;G-2Yr'!AB53</f>
        <v>0</v>
      </c>
      <c r="AC53" s="161">
        <f>+'Tuition-2Yr'!AC53+'State Appropriations-2Yr'!AC53+'Local Appropriations-2Yr'!AC53+'Fed Contracts Grnts-2Yr'!AC53+'Other Contracts Grnts-2Yr'!AC53+'Investment Income-2Yr'!AC53+'All Other E&amp;G-2Yr'!AC53</f>
        <v>0</v>
      </c>
      <c r="AD53" s="161">
        <f>+'Tuition-2Yr'!AD53+'State Appropriations-2Yr'!AD53+'Local Appropriations-2Yr'!AD53+'Fed Contracts Grnts-2Yr'!AD53+'Other Contracts Grnts-2Yr'!AD53+'Investment Income-2Yr'!AD53+'All Other E&amp;G-2Yr'!AD53</f>
        <v>0</v>
      </c>
      <c r="AE53" s="161">
        <f>+'Tuition-2Yr'!AE53+'State Appropriations-2Yr'!AE53+'Local Appropriations-2Yr'!AE53+'Fed Contracts Grnts-2Yr'!AE53+'Other Contracts Grnts-2Yr'!AE53+'Investment Income-2Yr'!AE53+'All Other E&amp;G-2Yr'!AE53</f>
        <v>0</v>
      </c>
      <c r="AF53" s="161">
        <f>+'Tuition-2Yr'!AF53+'State Appropriations-2Yr'!AF53+'Local Appropriations-2Yr'!AF53+'Fed Contracts Grnts-2Yr'!AF53+'Other Contracts Grnts-2Yr'!AF53+'Investment Income-2Yr'!AF53+'All Other E&amp;G-2Yr'!AF53</f>
        <v>0</v>
      </c>
      <c r="AG53" s="161">
        <f>+'Tuition-2Yr'!AG53+'State Appropriations-2Yr'!AG53+'Local Appropriations-2Yr'!AG53+'Fed Contracts Grnts-2Yr'!AG53+'Other Contracts Grnts-2Yr'!AG53+'Investment Income-2Yr'!AG53+'All Other E&amp;G-2Yr'!AG53</f>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c r="HC53" s="20"/>
      <c r="HD53" s="20"/>
      <c r="HE53" s="20"/>
      <c r="HF53" s="20"/>
    </row>
    <row r="54" spans="1:214" s="65" customFormat="1" ht="12.75" customHeight="1">
      <c r="A54" s="23" t="s">
        <v>113</v>
      </c>
      <c r="B54" s="163">
        <f>+'Tuition-2Yr'!B54+'State Appropriations-2Yr'!B54+'Local Appropriations-2Yr'!B54+'Fed Contracts Grnts-2Yr'!B54+'Other Contracts Grnts-2Yr'!B54+'Investment Income-2Yr'!B54+'All Other E&amp;G-2Yr'!B54</f>
        <v>0</v>
      </c>
      <c r="C54" s="163">
        <f>+'Tuition-2Yr'!C54+'State Appropriations-2Yr'!C54+'Local Appropriations-2Yr'!C54+'Fed Contracts Grnts-2Yr'!C54+'Other Contracts Grnts-2Yr'!C54+'Investment Income-2Yr'!C54+'All Other E&amp;G-2Yr'!C54</f>
        <v>0</v>
      </c>
      <c r="D54" s="163">
        <f>+'Tuition-2Yr'!D54+'State Appropriations-2Yr'!D54+'Local Appropriations-2Yr'!D54+'Fed Contracts Grnts-2Yr'!D54+'Other Contracts Grnts-2Yr'!D54+'Investment Income-2Yr'!D54+'All Other E&amp;G-2Yr'!D54</f>
        <v>0</v>
      </c>
      <c r="E54" s="163">
        <f>+'Tuition-2Yr'!E54+'State Appropriations-2Yr'!E54+'Local Appropriations-2Yr'!E54+'Fed Contracts Grnts-2Yr'!E54+'Other Contracts Grnts-2Yr'!E54+'Investment Income-2Yr'!E54+'All Other E&amp;G-2Yr'!E54</f>
        <v>0</v>
      </c>
      <c r="F54" s="163">
        <f>+'Tuition-2Yr'!F54+'State Appropriations-2Yr'!F54+'Local Appropriations-2Yr'!F54+'Fed Contracts Grnts-2Yr'!F54+'Other Contracts Grnts-2Yr'!F54+'Investment Income-2Yr'!F54+'All Other E&amp;G-2Yr'!F54</f>
        <v>0</v>
      </c>
      <c r="G54" s="163">
        <f>+'Tuition-2Yr'!G54+'State Appropriations-2Yr'!G54+'Local Appropriations-2Yr'!G54+'Fed Contracts Grnts-2Yr'!G54+'Other Contracts Grnts-2Yr'!G54+'Investment Income-2Yr'!G54+'All Other E&amp;G-2Yr'!G54</f>
        <v>0</v>
      </c>
      <c r="H54" s="163">
        <f>+'Tuition-2Yr'!H54+'State Appropriations-2Yr'!H54+'Local Appropriations-2Yr'!H54+'Fed Contracts Grnts-2Yr'!H54+'Other Contracts Grnts-2Yr'!H54+'Investment Income-2Yr'!H54+'All Other E&amp;G-2Yr'!H54</f>
        <v>0</v>
      </c>
      <c r="I54" s="163">
        <f>+'Tuition-2Yr'!I54+'State Appropriations-2Yr'!I54+'Local Appropriations-2Yr'!I54+'Fed Contracts Grnts-2Yr'!I54+'Other Contracts Grnts-2Yr'!I54+'Investment Income-2Yr'!I54+'All Other E&amp;G-2Yr'!I54</f>
        <v>0</v>
      </c>
      <c r="J54" s="163">
        <f>+'Tuition-2Yr'!J54+'State Appropriations-2Yr'!J54+'Local Appropriations-2Yr'!J54+'Fed Contracts Grnts-2Yr'!J54+'Other Contracts Grnts-2Yr'!J54+'Investment Income-2Yr'!J54+'All Other E&amp;G-2Yr'!J54</f>
        <v>129748.56000000001</v>
      </c>
      <c r="K54" s="163">
        <f>+'Tuition-2Yr'!K54+'State Appropriations-2Yr'!K54+'Local Appropriations-2Yr'!K54+'Fed Contracts Grnts-2Yr'!K54+'Other Contracts Grnts-2Yr'!K54+'Investment Income-2Yr'!K54+'All Other E&amp;G-2Yr'!K54</f>
        <v>0</v>
      </c>
      <c r="L54" s="163">
        <f>+'Tuition-2Yr'!L54+'State Appropriations-2Yr'!L54+'Local Appropriations-2Yr'!L54+'Fed Contracts Grnts-2Yr'!L54+'Other Contracts Grnts-2Yr'!L54+'Investment Income-2Yr'!L54+'All Other E&amp;G-2Yr'!L54</f>
        <v>0</v>
      </c>
      <c r="M54" s="163">
        <f>+'Tuition-2Yr'!M54+'State Appropriations-2Yr'!M54+'Local Appropriations-2Yr'!M54+'Fed Contracts Grnts-2Yr'!M54+'Other Contracts Grnts-2Yr'!M54+'Investment Income-2Yr'!M54+'All Other E&amp;G-2Yr'!M54</f>
        <v>151822.14600000001</v>
      </c>
      <c r="N54" s="163">
        <f>+'Tuition-2Yr'!N54+'State Appropriations-2Yr'!N54+'Local Appropriations-2Yr'!N54+'Fed Contracts Grnts-2Yr'!N54+'Other Contracts Grnts-2Yr'!N54+'Investment Income-2Yr'!N54+'All Other E&amp;G-2Yr'!N54</f>
        <v>0</v>
      </c>
      <c r="O54" s="163">
        <f>+'Tuition-2Yr'!O54+'State Appropriations-2Yr'!O54+'Local Appropriations-2Yr'!O54+'Fed Contracts Grnts-2Yr'!O54+'Other Contracts Grnts-2Yr'!O54+'Investment Income-2Yr'!O54+'All Other E&amp;G-2Yr'!O54</f>
        <v>207197.01521000001</v>
      </c>
      <c r="P54" s="163">
        <f>+'Tuition-2Yr'!P54+'State Appropriations-2Yr'!P54+'Local Appropriations-2Yr'!P54+'Fed Contracts Grnts-2Yr'!P54+'Other Contracts Grnts-2Yr'!P54+'Investment Income-2Yr'!P54+'All Other E&amp;G-2Yr'!P54</f>
        <v>0</v>
      </c>
      <c r="Q54" s="163">
        <f>+'Tuition-2Yr'!Q54+'State Appropriations-2Yr'!Q54+'Local Appropriations-2Yr'!Q54+'Fed Contracts Grnts-2Yr'!Q54+'Other Contracts Grnts-2Yr'!Q54+'Investment Income-2Yr'!Q54+'All Other E&amp;G-2Yr'!Q54</f>
        <v>0</v>
      </c>
      <c r="R54" s="163">
        <f>+'Tuition-2Yr'!R54+'State Appropriations-2Yr'!R54+'Local Appropriations-2Yr'!R54+'Fed Contracts Grnts-2Yr'!R54+'Other Contracts Grnts-2Yr'!R54+'Investment Income-2Yr'!R54+'All Other E&amp;G-2Yr'!R54</f>
        <v>229966.80300000001</v>
      </c>
      <c r="S54" s="163">
        <f>+'Tuition-2Yr'!S54+'State Appropriations-2Yr'!S54+'Local Appropriations-2Yr'!S54+'Fed Contracts Grnts-2Yr'!S54+'Other Contracts Grnts-2Yr'!S54+'Investment Income-2Yr'!S54+'All Other E&amp;G-2Yr'!S54</f>
        <v>244351.212</v>
      </c>
      <c r="T54" s="163">
        <f>+'Tuition-2Yr'!T54+'State Appropriations-2Yr'!T54+'Local Appropriations-2Yr'!T54+'Fed Contracts Grnts-2Yr'!T54+'Other Contracts Grnts-2Yr'!T54+'Investment Income-2Yr'!T54+'All Other E&amp;G-2Yr'!T54</f>
        <v>303874.04400000005</v>
      </c>
      <c r="U54" s="163">
        <f>+'Tuition-2Yr'!U54+'State Appropriations-2Yr'!U54+'Local Appropriations-2Yr'!U54+'Fed Contracts Grnts-2Yr'!U54+'Other Contracts Grnts-2Yr'!U54+'Investment Income-2Yr'!U54+'All Other E&amp;G-2Yr'!U54</f>
        <v>275121.23699999996</v>
      </c>
      <c r="V54" s="163">
        <f>+'Tuition-2Yr'!V54+'State Appropriations-2Yr'!V54+'Local Appropriations-2Yr'!V54+'Fed Contracts Grnts-2Yr'!V54+'Other Contracts Grnts-2Yr'!V54+'Investment Income-2Yr'!V54+'All Other E&amp;G-2Yr'!V54</f>
        <v>292922.94199999998</v>
      </c>
      <c r="W54" s="163">
        <f>+'Tuition-2Yr'!W54+'State Appropriations-2Yr'!W54+'Local Appropriations-2Yr'!W54+'Fed Contracts Grnts-2Yr'!W54+'Other Contracts Grnts-2Yr'!W54+'Investment Income-2Yr'!W54+'All Other E&amp;G-2Yr'!W54</f>
        <v>326359.80999999994</v>
      </c>
      <c r="X54" s="163">
        <f>+'Tuition-2Yr'!X54+'State Appropriations-2Yr'!X54+'Local Appropriations-2Yr'!X54+'Fed Contracts Grnts-2Yr'!X54+'Other Contracts Grnts-2Yr'!X54+'Investment Income-2Yr'!X54+'All Other E&amp;G-2Yr'!X54</f>
        <v>319897.09999999998</v>
      </c>
      <c r="Y54" s="163">
        <f>+'Tuition-2Yr'!Y54+'State Appropriations-2Yr'!Y54+'Local Appropriations-2Yr'!Y54+'Fed Contracts Grnts-2Yr'!Y54+'Other Contracts Grnts-2Yr'!Y54+'Investment Income-2Yr'!Y54+'All Other E&amp;G-2Yr'!Y54</f>
        <v>351406.61100000003</v>
      </c>
      <c r="Z54" s="163">
        <f>+'Tuition-2Yr'!Z54+'State Appropriations-2Yr'!Z54+'Local Appropriations-2Yr'!Z54+'Fed Contracts Grnts-2Yr'!Z54+'Other Contracts Grnts-2Yr'!Z54+'Investment Income-2Yr'!Z54+'All Other E&amp;G-2Yr'!Z54</f>
        <v>375749.38199999993</v>
      </c>
      <c r="AA54" s="163">
        <f>+'Tuition-2Yr'!AA54+'State Appropriations-2Yr'!AA54+'Local Appropriations-2Yr'!AA54+'Fed Contracts Grnts-2Yr'!AA54+'Other Contracts Grnts-2Yr'!AA54+'Investment Income-2Yr'!AA54+'All Other E&amp;G-2Yr'!AA54</f>
        <v>438847.38999999996</v>
      </c>
      <c r="AB54" s="163">
        <f>+'Tuition-2Yr'!AB54+'State Appropriations-2Yr'!AB54+'Local Appropriations-2Yr'!AB54+'Fed Contracts Grnts-2Yr'!AB54+'Other Contracts Grnts-2Yr'!AB54+'Investment Income-2Yr'!AB54+'All Other E&amp;G-2Yr'!AB54</f>
        <v>480979.38199999998</v>
      </c>
      <c r="AC54" s="163">
        <f>+'Tuition-2Yr'!AC54+'State Appropriations-2Yr'!AC54+'Local Appropriations-2Yr'!AC54+'Fed Contracts Grnts-2Yr'!AC54+'Other Contracts Grnts-2Yr'!AC54+'Investment Income-2Yr'!AC54+'All Other E&amp;G-2Yr'!AC54</f>
        <v>508383</v>
      </c>
      <c r="AD54" s="163">
        <f>+'Tuition-2Yr'!AD54+'State Appropriations-2Yr'!AD54+'Local Appropriations-2Yr'!AD54+'Fed Contracts Grnts-2Yr'!AD54+'Other Contracts Grnts-2Yr'!AD54+'Investment Income-2Yr'!AD54+'All Other E&amp;G-2Yr'!AD54</f>
        <v>493797.37899999996</v>
      </c>
      <c r="AE54" s="163">
        <f>+'Tuition-2Yr'!AE54+'State Appropriations-2Yr'!AE54+'Local Appropriations-2Yr'!AE54+'Fed Contracts Grnts-2Yr'!AE54+'Other Contracts Grnts-2Yr'!AE54+'Investment Income-2Yr'!AE54+'All Other E&amp;G-2Yr'!AE54</f>
        <v>520755.34599999996</v>
      </c>
      <c r="AF54" s="163">
        <f>+'Tuition-2Yr'!AF54+'State Appropriations-2Yr'!AF54+'Local Appropriations-2Yr'!AF54+'Fed Contracts Grnts-2Yr'!AF54+'Other Contracts Grnts-2Yr'!AF54+'Investment Income-2Yr'!AF54+'All Other E&amp;G-2Yr'!AF54</f>
        <v>535661.86700000009</v>
      </c>
      <c r="AG54" s="163">
        <f>+'Tuition-2Yr'!AG54+'State Appropriations-2Yr'!AG54+'Local Appropriations-2Yr'!AG54+'Fed Contracts Grnts-2Yr'!AG54+'Other Contracts Grnts-2Yr'!AG54+'Investment Income-2Yr'!AG54+'All Other E&amp;G-2Yr'!AG54</f>
        <v>560042.73600000003</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c r="HC54" s="20"/>
      <c r="HD54" s="20"/>
      <c r="HE54" s="20"/>
      <c r="HF54" s="20"/>
    </row>
    <row r="55" spans="1:214" s="65" customFormat="1" ht="12.75" customHeight="1">
      <c r="A55" s="23" t="s">
        <v>120</v>
      </c>
      <c r="B55" s="163">
        <f>+'Tuition-2Yr'!B55+'State Appropriations-2Yr'!B55+'Local Appropriations-2Yr'!B55+'Fed Contracts Grnts-2Yr'!B55+'Other Contracts Grnts-2Yr'!B55+'Investment Income-2Yr'!B55+'All Other E&amp;G-2Yr'!B55</f>
        <v>0</v>
      </c>
      <c r="C55" s="163">
        <f>+'Tuition-2Yr'!C55+'State Appropriations-2Yr'!C55+'Local Appropriations-2Yr'!C55+'Fed Contracts Grnts-2Yr'!C55+'Other Contracts Grnts-2Yr'!C55+'Investment Income-2Yr'!C55+'All Other E&amp;G-2Yr'!C55</f>
        <v>0</v>
      </c>
      <c r="D55" s="163">
        <f>+'Tuition-2Yr'!D55+'State Appropriations-2Yr'!D55+'Local Appropriations-2Yr'!D55+'Fed Contracts Grnts-2Yr'!D55+'Other Contracts Grnts-2Yr'!D55+'Investment Income-2Yr'!D55+'All Other E&amp;G-2Yr'!D55</f>
        <v>0</v>
      </c>
      <c r="E55" s="163">
        <f>+'Tuition-2Yr'!E55+'State Appropriations-2Yr'!E55+'Local Appropriations-2Yr'!E55+'Fed Contracts Grnts-2Yr'!E55+'Other Contracts Grnts-2Yr'!E55+'Investment Income-2Yr'!E55+'All Other E&amp;G-2Yr'!E55</f>
        <v>0</v>
      </c>
      <c r="F55" s="163">
        <f>+'Tuition-2Yr'!F55+'State Appropriations-2Yr'!F55+'Local Appropriations-2Yr'!F55+'Fed Contracts Grnts-2Yr'!F55+'Other Contracts Grnts-2Yr'!F55+'Investment Income-2Yr'!F55+'All Other E&amp;G-2Yr'!F55</f>
        <v>0</v>
      </c>
      <c r="G55" s="163">
        <f>+'Tuition-2Yr'!G55+'State Appropriations-2Yr'!G55+'Local Appropriations-2Yr'!G55+'Fed Contracts Grnts-2Yr'!G55+'Other Contracts Grnts-2Yr'!G55+'Investment Income-2Yr'!G55+'All Other E&amp;G-2Yr'!G55</f>
        <v>0</v>
      </c>
      <c r="H55" s="163">
        <f>+'Tuition-2Yr'!H55+'State Appropriations-2Yr'!H55+'Local Appropriations-2Yr'!H55+'Fed Contracts Grnts-2Yr'!H55+'Other Contracts Grnts-2Yr'!H55+'Investment Income-2Yr'!H55+'All Other E&amp;G-2Yr'!H55</f>
        <v>0</v>
      </c>
      <c r="I55" s="163">
        <f>+'Tuition-2Yr'!I55+'State Appropriations-2Yr'!I55+'Local Appropriations-2Yr'!I55+'Fed Contracts Grnts-2Yr'!I55+'Other Contracts Grnts-2Yr'!I55+'Investment Income-2Yr'!I55+'All Other E&amp;G-2Yr'!I55</f>
        <v>0</v>
      </c>
      <c r="J55" s="163">
        <f>+'Tuition-2Yr'!J55+'State Appropriations-2Yr'!J55+'Local Appropriations-2Yr'!J55+'Fed Contracts Grnts-2Yr'!J55+'Other Contracts Grnts-2Yr'!J55+'Investment Income-2Yr'!J55+'All Other E&amp;G-2Yr'!J55</f>
        <v>38745.027999999998</v>
      </c>
      <c r="K55" s="163">
        <f>+'Tuition-2Yr'!K55+'State Appropriations-2Yr'!K55+'Local Appropriations-2Yr'!K55+'Fed Contracts Grnts-2Yr'!K55+'Other Contracts Grnts-2Yr'!K55+'Investment Income-2Yr'!K55+'All Other E&amp;G-2Yr'!K55</f>
        <v>0</v>
      </c>
      <c r="L55" s="163">
        <f>+'Tuition-2Yr'!L55+'State Appropriations-2Yr'!L55+'Local Appropriations-2Yr'!L55+'Fed Contracts Grnts-2Yr'!L55+'Other Contracts Grnts-2Yr'!L55+'Investment Income-2Yr'!L55+'All Other E&amp;G-2Yr'!L55</f>
        <v>0</v>
      </c>
      <c r="M55" s="163">
        <f>+'Tuition-2Yr'!M55+'State Appropriations-2Yr'!M55+'Local Appropriations-2Yr'!M55+'Fed Contracts Grnts-2Yr'!M55+'Other Contracts Grnts-2Yr'!M55+'Investment Income-2Yr'!M55+'All Other E&amp;G-2Yr'!M55</f>
        <v>43591.615000000005</v>
      </c>
      <c r="N55" s="163">
        <f>+'Tuition-2Yr'!N55+'State Appropriations-2Yr'!N55+'Local Appropriations-2Yr'!N55+'Fed Contracts Grnts-2Yr'!N55+'Other Contracts Grnts-2Yr'!N55+'Investment Income-2Yr'!N55+'All Other E&amp;G-2Yr'!N55</f>
        <v>0</v>
      </c>
      <c r="O55" s="163">
        <f>+'Tuition-2Yr'!O55+'State Appropriations-2Yr'!O55+'Local Appropriations-2Yr'!O55+'Fed Contracts Grnts-2Yr'!O55+'Other Contracts Grnts-2Yr'!O55+'Investment Income-2Yr'!O55+'All Other E&amp;G-2Yr'!O55</f>
        <v>48899.395000000004</v>
      </c>
      <c r="P55" s="163">
        <f>+'Tuition-2Yr'!P55+'State Appropriations-2Yr'!P55+'Local Appropriations-2Yr'!P55+'Fed Contracts Grnts-2Yr'!P55+'Other Contracts Grnts-2Yr'!P55+'Investment Income-2Yr'!P55+'All Other E&amp;G-2Yr'!P55</f>
        <v>0</v>
      </c>
      <c r="Q55" s="163">
        <f>+'Tuition-2Yr'!Q55+'State Appropriations-2Yr'!Q55+'Local Appropriations-2Yr'!Q55+'Fed Contracts Grnts-2Yr'!Q55+'Other Contracts Grnts-2Yr'!Q55+'Investment Income-2Yr'!Q55+'All Other E&amp;G-2Yr'!Q55</f>
        <v>0</v>
      </c>
      <c r="R55" s="163">
        <f>+'Tuition-2Yr'!R55+'State Appropriations-2Yr'!R55+'Local Appropriations-2Yr'!R55+'Fed Contracts Grnts-2Yr'!R55+'Other Contracts Grnts-2Yr'!R55+'Investment Income-2Yr'!R55+'All Other E&amp;G-2Yr'!R55</f>
        <v>60051.006999999991</v>
      </c>
      <c r="S55" s="163">
        <f>+'Tuition-2Yr'!S55+'State Appropriations-2Yr'!S55+'Local Appropriations-2Yr'!S55+'Fed Contracts Grnts-2Yr'!S55+'Other Contracts Grnts-2Yr'!S55+'Investment Income-2Yr'!S55+'All Other E&amp;G-2Yr'!S55</f>
        <v>65422.707000000002</v>
      </c>
      <c r="T55" s="163">
        <f>+'Tuition-2Yr'!T55+'State Appropriations-2Yr'!T55+'Local Appropriations-2Yr'!T55+'Fed Contracts Grnts-2Yr'!T55+'Other Contracts Grnts-2Yr'!T55+'Investment Income-2Yr'!T55+'All Other E&amp;G-2Yr'!T55</f>
        <v>85124.067999999999</v>
      </c>
      <c r="U55" s="163">
        <f>+'Tuition-2Yr'!U55+'State Appropriations-2Yr'!U55+'Local Appropriations-2Yr'!U55+'Fed Contracts Grnts-2Yr'!U55+'Other Contracts Grnts-2Yr'!U55+'Investment Income-2Yr'!U55+'All Other E&amp;G-2Yr'!U55</f>
        <v>76192.025000000009</v>
      </c>
      <c r="V55" s="163">
        <f>+'Tuition-2Yr'!V55+'State Appropriations-2Yr'!V55+'Local Appropriations-2Yr'!V55+'Fed Contracts Grnts-2Yr'!V55+'Other Contracts Grnts-2Yr'!V55+'Investment Income-2Yr'!V55+'All Other E&amp;G-2Yr'!V55</f>
        <v>83019.364999999991</v>
      </c>
      <c r="W55" s="163">
        <f>+'Tuition-2Yr'!W55+'State Appropriations-2Yr'!W55+'Local Appropriations-2Yr'!W55+'Fed Contracts Grnts-2Yr'!W55+'Other Contracts Grnts-2Yr'!W55+'Investment Income-2Yr'!W55+'All Other E&amp;G-2Yr'!W55</f>
        <v>96398.494000000006</v>
      </c>
      <c r="X55" s="163">
        <f>+'Tuition-2Yr'!X55+'State Appropriations-2Yr'!X55+'Local Appropriations-2Yr'!X55+'Fed Contracts Grnts-2Yr'!X55+'Other Contracts Grnts-2Yr'!X55+'Investment Income-2Yr'!X55+'All Other E&amp;G-2Yr'!X55</f>
        <v>87569.334000000017</v>
      </c>
      <c r="Y55" s="163">
        <f>+'Tuition-2Yr'!Y55+'State Appropriations-2Yr'!Y55+'Local Appropriations-2Yr'!Y55+'Fed Contracts Grnts-2Yr'!Y55+'Other Contracts Grnts-2Yr'!Y55+'Investment Income-2Yr'!Y55+'All Other E&amp;G-2Yr'!Y55</f>
        <v>89918.274000000005</v>
      </c>
      <c r="Z55" s="163">
        <f>+'Tuition-2Yr'!Z55+'State Appropriations-2Yr'!Z55+'Local Appropriations-2Yr'!Z55+'Fed Contracts Grnts-2Yr'!Z55+'Other Contracts Grnts-2Yr'!Z55+'Investment Income-2Yr'!Z55+'All Other E&amp;G-2Yr'!Z55</f>
        <v>99607.180999999997</v>
      </c>
      <c r="AA55" s="163">
        <f>+'Tuition-2Yr'!AA55+'State Appropriations-2Yr'!AA55+'Local Appropriations-2Yr'!AA55+'Fed Contracts Grnts-2Yr'!AA55+'Other Contracts Grnts-2Yr'!AA55+'Investment Income-2Yr'!AA55+'All Other E&amp;G-2Yr'!AA55</f>
        <v>115748.45299999999</v>
      </c>
      <c r="AB55" s="163">
        <f>+'Tuition-2Yr'!AB55+'State Appropriations-2Yr'!AB55+'Local Appropriations-2Yr'!AB55+'Fed Contracts Grnts-2Yr'!AB55+'Other Contracts Grnts-2Yr'!AB55+'Investment Income-2Yr'!AB55+'All Other E&amp;G-2Yr'!AB55</f>
        <v>136506.96299999996</v>
      </c>
      <c r="AC55" s="163">
        <f>+'Tuition-2Yr'!AC55+'State Appropriations-2Yr'!AC55+'Local Appropriations-2Yr'!AC55+'Fed Contracts Grnts-2Yr'!AC55+'Other Contracts Grnts-2Yr'!AC55+'Investment Income-2Yr'!AC55+'All Other E&amp;G-2Yr'!AC55</f>
        <v>147637</v>
      </c>
      <c r="AD55" s="163">
        <f>+'Tuition-2Yr'!AD55+'State Appropriations-2Yr'!AD55+'Local Appropriations-2Yr'!AD55+'Fed Contracts Grnts-2Yr'!AD55+'Other Contracts Grnts-2Yr'!AD55+'Investment Income-2Yr'!AD55+'All Other E&amp;G-2Yr'!AD55</f>
        <v>158900.723</v>
      </c>
      <c r="AE55" s="163">
        <f>+'Tuition-2Yr'!AE55+'State Appropriations-2Yr'!AE55+'Local Appropriations-2Yr'!AE55+'Fed Contracts Grnts-2Yr'!AE55+'Other Contracts Grnts-2Yr'!AE55+'Investment Income-2Yr'!AE55+'All Other E&amp;G-2Yr'!AE55</f>
        <v>163810.80299999999</v>
      </c>
      <c r="AF55" s="163">
        <f>+'Tuition-2Yr'!AF55+'State Appropriations-2Yr'!AF55+'Local Appropriations-2Yr'!AF55+'Fed Contracts Grnts-2Yr'!AF55+'Other Contracts Grnts-2Yr'!AF55+'Investment Income-2Yr'!AF55+'All Other E&amp;G-2Yr'!AF55</f>
        <v>156678.53900000002</v>
      </c>
      <c r="AG55" s="163">
        <f>+'Tuition-2Yr'!AG55+'State Appropriations-2Yr'!AG55+'Local Appropriations-2Yr'!AG55+'Fed Contracts Grnts-2Yr'!AG55+'Other Contracts Grnts-2Yr'!AG55+'Investment Income-2Yr'!AG55+'All Other E&amp;G-2Yr'!AG55</f>
        <v>160253.83899999998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c r="HC55" s="20"/>
      <c r="HD55" s="20"/>
      <c r="HE55" s="20"/>
      <c r="HF55" s="20"/>
    </row>
    <row r="56" spans="1:214" s="65" customFormat="1" ht="12.75" customHeight="1">
      <c r="A56" s="23" t="s">
        <v>121</v>
      </c>
      <c r="B56" s="163">
        <f>+'Tuition-2Yr'!B56+'State Appropriations-2Yr'!B56+'Local Appropriations-2Yr'!B56+'Fed Contracts Grnts-2Yr'!B56+'Other Contracts Grnts-2Yr'!B56+'Investment Income-2Yr'!B56+'All Other E&amp;G-2Yr'!B56</f>
        <v>0</v>
      </c>
      <c r="C56" s="163">
        <f>+'Tuition-2Yr'!C56+'State Appropriations-2Yr'!C56+'Local Appropriations-2Yr'!C56+'Fed Contracts Grnts-2Yr'!C56+'Other Contracts Grnts-2Yr'!C56+'Investment Income-2Yr'!C56+'All Other E&amp;G-2Yr'!C56</f>
        <v>0</v>
      </c>
      <c r="D56" s="163">
        <f>+'Tuition-2Yr'!D56+'State Appropriations-2Yr'!D56+'Local Appropriations-2Yr'!D56+'Fed Contracts Grnts-2Yr'!D56+'Other Contracts Grnts-2Yr'!D56+'Investment Income-2Yr'!D56+'All Other E&amp;G-2Yr'!D56</f>
        <v>0</v>
      </c>
      <c r="E56" s="163">
        <f>+'Tuition-2Yr'!E56+'State Appropriations-2Yr'!E56+'Local Appropriations-2Yr'!E56+'Fed Contracts Grnts-2Yr'!E56+'Other Contracts Grnts-2Yr'!E56+'Investment Income-2Yr'!E56+'All Other E&amp;G-2Yr'!E56</f>
        <v>0</v>
      </c>
      <c r="F56" s="163">
        <f>+'Tuition-2Yr'!F56+'State Appropriations-2Yr'!F56+'Local Appropriations-2Yr'!F56+'Fed Contracts Grnts-2Yr'!F56+'Other Contracts Grnts-2Yr'!F56+'Investment Income-2Yr'!F56+'All Other E&amp;G-2Yr'!F56</f>
        <v>0</v>
      </c>
      <c r="G56" s="163">
        <f>+'Tuition-2Yr'!G56+'State Appropriations-2Yr'!G56+'Local Appropriations-2Yr'!G56+'Fed Contracts Grnts-2Yr'!G56+'Other Contracts Grnts-2Yr'!G56+'Investment Income-2Yr'!G56+'All Other E&amp;G-2Yr'!G56</f>
        <v>0</v>
      </c>
      <c r="H56" s="163">
        <f>+'Tuition-2Yr'!H56+'State Appropriations-2Yr'!H56+'Local Appropriations-2Yr'!H56+'Fed Contracts Grnts-2Yr'!H56+'Other Contracts Grnts-2Yr'!H56+'Investment Income-2Yr'!H56+'All Other E&amp;G-2Yr'!H56</f>
        <v>0</v>
      </c>
      <c r="I56" s="163">
        <f>+'Tuition-2Yr'!I56+'State Appropriations-2Yr'!I56+'Local Appropriations-2Yr'!I56+'Fed Contracts Grnts-2Yr'!I56+'Other Contracts Grnts-2Yr'!I56+'Investment Income-2Yr'!I56+'All Other E&amp;G-2Yr'!I56</f>
        <v>0</v>
      </c>
      <c r="J56" s="163">
        <f>+'Tuition-2Yr'!J56+'State Appropriations-2Yr'!J56+'Local Appropriations-2Yr'!J56+'Fed Contracts Grnts-2Yr'!J56+'Other Contracts Grnts-2Yr'!J56+'Investment Income-2Yr'!J56+'All Other E&amp;G-2Yr'!J56</f>
        <v>258765.28</v>
      </c>
      <c r="K56" s="163">
        <f>+'Tuition-2Yr'!K56+'State Appropriations-2Yr'!K56+'Local Appropriations-2Yr'!K56+'Fed Contracts Grnts-2Yr'!K56+'Other Contracts Grnts-2Yr'!K56+'Investment Income-2Yr'!K56+'All Other E&amp;G-2Yr'!K56</f>
        <v>0</v>
      </c>
      <c r="L56" s="163">
        <f>+'Tuition-2Yr'!L56+'State Appropriations-2Yr'!L56+'Local Appropriations-2Yr'!L56+'Fed Contracts Grnts-2Yr'!L56+'Other Contracts Grnts-2Yr'!L56+'Investment Income-2Yr'!L56+'All Other E&amp;G-2Yr'!L56</f>
        <v>0</v>
      </c>
      <c r="M56" s="163">
        <f>+'Tuition-2Yr'!M56+'State Appropriations-2Yr'!M56+'Local Appropriations-2Yr'!M56+'Fed Contracts Grnts-2Yr'!M56+'Other Contracts Grnts-2Yr'!M56+'Investment Income-2Yr'!M56+'All Other E&amp;G-2Yr'!M56</f>
        <v>351889.31300000002</v>
      </c>
      <c r="N56" s="163">
        <f>+'Tuition-2Yr'!N56+'State Appropriations-2Yr'!N56+'Local Appropriations-2Yr'!N56+'Fed Contracts Grnts-2Yr'!N56+'Other Contracts Grnts-2Yr'!N56+'Investment Income-2Yr'!N56+'All Other E&amp;G-2Yr'!N56</f>
        <v>0</v>
      </c>
      <c r="O56" s="163">
        <f>+'Tuition-2Yr'!O56+'State Appropriations-2Yr'!O56+'Local Appropriations-2Yr'!O56+'Fed Contracts Grnts-2Yr'!O56+'Other Contracts Grnts-2Yr'!O56+'Investment Income-2Yr'!O56+'All Other E&amp;G-2Yr'!O56</f>
        <v>396819.44100000005</v>
      </c>
      <c r="P56" s="163">
        <f>+'Tuition-2Yr'!P56+'State Appropriations-2Yr'!P56+'Local Appropriations-2Yr'!P56+'Fed Contracts Grnts-2Yr'!P56+'Other Contracts Grnts-2Yr'!P56+'Investment Income-2Yr'!P56+'All Other E&amp;G-2Yr'!P56</f>
        <v>0</v>
      </c>
      <c r="Q56" s="163">
        <f>+'Tuition-2Yr'!Q56+'State Appropriations-2Yr'!Q56+'Local Appropriations-2Yr'!Q56+'Fed Contracts Grnts-2Yr'!Q56+'Other Contracts Grnts-2Yr'!Q56+'Investment Income-2Yr'!Q56+'All Other E&amp;G-2Yr'!Q56</f>
        <v>0</v>
      </c>
      <c r="R56" s="163">
        <f>+'Tuition-2Yr'!R56+'State Appropriations-2Yr'!R56+'Local Appropriations-2Yr'!R56+'Fed Contracts Grnts-2Yr'!R56+'Other Contracts Grnts-2Yr'!R56+'Investment Income-2Yr'!R56+'All Other E&amp;G-2Yr'!R56</f>
        <v>487176.34099999996</v>
      </c>
      <c r="S56" s="163">
        <f>+'Tuition-2Yr'!S56+'State Appropriations-2Yr'!S56+'Local Appropriations-2Yr'!S56+'Fed Contracts Grnts-2Yr'!S56+'Other Contracts Grnts-2Yr'!S56+'Investment Income-2Yr'!S56+'All Other E&amp;G-2Yr'!S56</f>
        <v>539753.67600000009</v>
      </c>
      <c r="T56" s="163">
        <f>+'Tuition-2Yr'!T56+'State Appropriations-2Yr'!T56+'Local Appropriations-2Yr'!T56+'Fed Contracts Grnts-2Yr'!T56+'Other Contracts Grnts-2Yr'!T56+'Investment Income-2Yr'!T56+'All Other E&amp;G-2Yr'!T56</f>
        <v>549726.59</v>
      </c>
      <c r="U56" s="163">
        <f>+'Tuition-2Yr'!U56+'State Appropriations-2Yr'!U56+'Local Appropriations-2Yr'!U56+'Fed Contracts Grnts-2Yr'!U56+'Other Contracts Grnts-2Yr'!U56+'Investment Income-2Yr'!U56+'All Other E&amp;G-2Yr'!U56</f>
        <v>521957.47899999999</v>
      </c>
      <c r="V56" s="163">
        <f>+'Tuition-2Yr'!V56+'State Appropriations-2Yr'!V56+'Local Appropriations-2Yr'!V56+'Fed Contracts Grnts-2Yr'!V56+'Other Contracts Grnts-2Yr'!V56+'Investment Income-2Yr'!V56+'All Other E&amp;G-2Yr'!V56</f>
        <v>516543.05799999996</v>
      </c>
      <c r="W56" s="163">
        <f>+'Tuition-2Yr'!W56+'State Appropriations-2Yr'!W56+'Local Appropriations-2Yr'!W56+'Fed Contracts Grnts-2Yr'!W56+'Other Contracts Grnts-2Yr'!W56+'Investment Income-2Yr'!W56+'All Other E&amp;G-2Yr'!W56</f>
        <v>597133.326</v>
      </c>
      <c r="X56" s="163">
        <f>+'Tuition-2Yr'!X56+'State Appropriations-2Yr'!X56+'Local Appropriations-2Yr'!X56+'Fed Contracts Grnts-2Yr'!X56+'Other Contracts Grnts-2Yr'!X56+'Investment Income-2Yr'!X56+'All Other E&amp;G-2Yr'!X56</f>
        <v>584324.60200000007</v>
      </c>
      <c r="Y56" s="163">
        <f>+'Tuition-2Yr'!Y56+'State Appropriations-2Yr'!Y56+'Local Appropriations-2Yr'!Y56+'Fed Contracts Grnts-2Yr'!Y56+'Other Contracts Grnts-2Yr'!Y56+'Investment Income-2Yr'!Y56+'All Other E&amp;G-2Yr'!Y56</f>
        <v>622943.14600000007</v>
      </c>
      <c r="Z56" s="163">
        <f>+'Tuition-2Yr'!Z56+'State Appropriations-2Yr'!Z56+'Local Appropriations-2Yr'!Z56+'Fed Contracts Grnts-2Yr'!Z56+'Other Contracts Grnts-2Yr'!Z56+'Investment Income-2Yr'!Z56+'All Other E&amp;G-2Yr'!Z56</f>
        <v>667297.33899999992</v>
      </c>
      <c r="AA56" s="163">
        <f>+'Tuition-2Yr'!AA56+'State Appropriations-2Yr'!AA56+'Local Appropriations-2Yr'!AA56+'Fed Contracts Grnts-2Yr'!AA56+'Other Contracts Grnts-2Yr'!AA56+'Investment Income-2Yr'!AA56+'All Other E&amp;G-2Yr'!AA56</f>
        <v>740952.23399999994</v>
      </c>
      <c r="AB56" s="163">
        <f>+'Tuition-2Yr'!AB56+'State Appropriations-2Yr'!AB56+'Local Appropriations-2Yr'!AB56+'Fed Contracts Grnts-2Yr'!AB56+'Other Contracts Grnts-2Yr'!AB56+'Investment Income-2Yr'!AB56+'All Other E&amp;G-2Yr'!AB56</f>
        <v>859489.53</v>
      </c>
      <c r="AC56" s="163">
        <f>+'Tuition-2Yr'!AC56+'State Appropriations-2Yr'!AC56+'Local Appropriations-2Yr'!AC56+'Fed Contracts Grnts-2Yr'!AC56+'Other Contracts Grnts-2Yr'!AC56+'Investment Income-2Yr'!AC56+'All Other E&amp;G-2Yr'!AC56</f>
        <v>918155</v>
      </c>
      <c r="AD56" s="163">
        <f>+'Tuition-2Yr'!AD56+'State Appropriations-2Yr'!AD56+'Local Appropriations-2Yr'!AD56+'Fed Contracts Grnts-2Yr'!AD56+'Other Contracts Grnts-2Yr'!AD56+'Investment Income-2Yr'!AD56+'All Other E&amp;G-2Yr'!AD56</f>
        <v>934710.33699999994</v>
      </c>
      <c r="AE56" s="163">
        <f>+'Tuition-2Yr'!AE56+'State Appropriations-2Yr'!AE56+'Local Appropriations-2Yr'!AE56+'Fed Contracts Grnts-2Yr'!AE56+'Other Contracts Grnts-2Yr'!AE56+'Investment Income-2Yr'!AE56+'All Other E&amp;G-2Yr'!AE56</f>
        <v>948090.054</v>
      </c>
      <c r="AF56" s="163">
        <f>+'Tuition-2Yr'!AF56+'State Appropriations-2Yr'!AF56+'Local Appropriations-2Yr'!AF56+'Fed Contracts Grnts-2Yr'!AF56+'Other Contracts Grnts-2Yr'!AF56+'Investment Income-2Yr'!AF56+'All Other E&amp;G-2Yr'!AF56</f>
        <v>996598.68299999996</v>
      </c>
      <c r="AG56" s="163">
        <f>+'Tuition-2Yr'!AG56+'State Appropriations-2Yr'!AG56+'Local Appropriations-2Yr'!AG56+'Fed Contracts Grnts-2Yr'!AG56+'Other Contracts Grnts-2Yr'!AG56+'Investment Income-2Yr'!AG56+'All Other E&amp;G-2Yr'!AG56</f>
        <v>998995.74699999997</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c r="HC56" s="20"/>
      <c r="HD56" s="20"/>
      <c r="HE56" s="20"/>
      <c r="HF56" s="20"/>
    </row>
    <row r="57" spans="1:214" s="65" customFormat="1" ht="12.75" customHeight="1">
      <c r="A57" s="23" t="s">
        <v>127</v>
      </c>
      <c r="B57" s="163">
        <f>+'Tuition-2Yr'!B57+'State Appropriations-2Yr'!B57+'Local Appropriations-2Yr'!B57+'Fed Contracts Grnts-2Yr'!B57+'Other Contracts Grnts-2Yr'!B57+'Investment Income-2Yr'!B57+'All Other E&amp;G-2Yr'!B57</f>
        <v>0</v>
      </c>
      <c r="C57" s="163">
        <f>+'Tuition-2Yr'!C57+'State Appropriations-2Yr'!C57+'Local Appropriations-2Yr'!C57+'Fed Contracts Grnts-2Yr'!C57+'Other Contracts Grnts-2Yr'!C57+'Investment Income-2Yr'!C57+'All Other E&amp;G-2Yr'!C57</f>
        <v>0</v>
      </c>
      <c r="D57" s="163">
        <f>+'Tuition-2Yr'!D57+'State Appropriations-2Yr'!D57+'Local Appropriations-2Yr'!D57+'Fed Contracts Grnts-2Yr'!D57+'Other Contracts Grnts-2Yr'!D57+'Investment Income-2Yr'!D57+'All Other E&amp;G-2Yr'!D57</f>
        <v>0</v>
      </c>
      <c r="E57" s="163">
        <f>+'Tuition-2Yr'!E57+'State Appropriations-2Yr'!E57+'Local Appropriations-2Yr'!E57+'Fed Contracts Grnts-2Yr'!E57+'Other Contracts Grnts-2Yr'!E57+'Investment Income-2Yr'!E57+'All Other E&amp;G-2Yr'!E57</f>
        <v>0</v>
      </c>
      <c r="F57" s="163">
        <f>+'Tuition-2Yr'!F57+'State Appropriations-2Yr'!F57+'Local Appropriations-2Yr'!F57+'Fed Contracts Grnts-2Yr'!F57+'Other Contracts Grnts-2Yr'!F57+'Investment Income-2Yr'!F57+'All Other E&amp;G-2Yr'!F57</f>
        <v>0</v>
      </c>
      <c r="G57" s="163">
        <f>+'Tuition-2Yr'!G57+'State Appropriations-2Yr'!G57+'Local Appropriations-2Yr'!G57+'Fed Contracts Grnts-2Yr'!G57+'Other Contracts Grnts-2Yr'!G57+'Investment Income-2Yr'!G57+'All Other E&amp;G-2Yr'!G57</f>
        <v>0</v>
      </c>
      <c r="H57" s="163">
        <f>+'Tuition-2Yr'!H57+'State Appropriations-2Yr'!H57+'Local Appropriations-2Yr'!H57+'Fed Contracts Grnts-2Yr'!H57+'Other Contracts Grnts-2Yr'!H57+'Investment Income-2Yr'!H57+'All Other E&amp;G-2Yr'!H57</f>
        <v>0</v>
      </c>
      <c r="I57" s="163">
        <f>+'Tuition-2Yr'!I57+'State Appropriations-2Yr'!I57+'Local Appropriations-2Yr'!I57+'Fed Contracts Grnts-2Yr'!I57+'Other Contracts Grnts-2Yr'!I57+'Investment Income-2Yr'!I57+'All Other E&amp;G-2Yr'!I57</f>
        <v>0</v>
      </c>
      <c r="J57" s="163">
        <f>+'Tuition-2Yr'!J57+'State Appropriations-2Yr'!J57+'Local Appropriations-2Yr'!J57+'Fed Contracts Grnts-2Yr'!J57+'Other Contracts Grnts-2Yr'!J57+'Investment Income-2Yr'!J57+'All Other E&amp;G-2Yr'!J57</f>
        <v>32847.193999999996</v>
      </c>
      <c r="K57" s="163">
        <f>+'Tuition-2Yr'!K57+'State Appropriations-2Yr'!K57+'Local Appropriations-2Yr'!K57+'Fed Contracts Grnts-2Yr'!K57+'Other Contracts Grnts-2Yr'!K57+'Investment Income-2Yr'!K57+'All Other E&amp;G-2Yr'!K57</f>
        <v>0</v>
      </c>
      <c r="L57" s="163">
        <f>+'Tuition-2Yr'!L57+'State Appropriations-2Yr'!L57+'Local Appropriations-2Yr'!L57+'Fed Contracts Grnts-2Yr'!L57+'Other Contracts Grnts-2Yr'!L57+'Investment Income-2Yr'!L57+'All Other E&amp;G-2Yr'!L57</f>
        <v>0</v>
      </c>
      <c r="M57" s="163">
        <f>+'Tuition-2Yr'!M57+'State Appropriations-2Yr'!M57+'Local Appropriations-2Yr'!M57+'Fed Contracts Grnts-2Yr'!M57+'Other Contracts Grnts-2Yr'!M57+'Investment Income-2Yr'!M57+'All Other E&amp;G-2Yr'!M57</f>
        <v>41022.446000000004</v>
      </c>
      <c r="N57" s="163">
        <f>+'Tuition-2Yr'!N57+'State Appropriations-2Yr'!N57+'Local Appropriations-2Yr'!N57+'Fed Contracts Grnts-2Yr'!N57+'Other Contracts Grnts-2Yr'!N57+'Investment Income-2Yr'!N57+'All Other E&amp;G-2Yr'!N57</f>
        <v>0</v>
      </c>
      <c r="O57" s="163">
        <f>+'Tuition-2Yr'!O57+'State Appropriations-2Yr'!O57+'Local Appropriations-2Yr'!O57+'Fed Contracts Grnts-2Yr'!O57+'Other Contracts Grnts-2Yr'!O57+'Investment Income-2Yr'!O57+'All Other E&amp;G-2Yr'!O57</f>
        <v>53657.03398</v>
      </c>
      <c r="P57" s="163">
        <f>+'Tuition-2Yr'!P57+'State Appropriations-2Yr'!P57+'Local Appropriations-2Yr'!P57+'Fed Contracts Grnts-2Yr'!P57+'Other Contracts Grnts-2Yr'!P57+'Investment Income-2Yr'!P57+'All Other E&amp;G-2Yr'!P57</f>
        <v>0</v>
      </c>
      <c r="Q57" s="163">
        <f>+'Tuition-2Yr'!Q57+'State Appropriations-2Yr'!Q57+'Local Appropriations-2Yr'!Q57+'Fed Contracts Grnts-2Yr'!Q57+'Other Contracts Grnts-2Yr'!Q57+'Investment Income-2Yr'!Q57+'All Other E&amp;G-2Yr'!Q57</f>
        <v>0</v>
      </c>
      <c r="R57" s="163">
        <f>+'Tuition-2Yr'!R57+'State Appropriations-2Yr'!R57+'Local Appropriations-2Yr'!R57+'Fed Contracts Grnts-2Yr'!R57+'Other Contracts Grnts-2Yr'!R57+'Investment Income-2Yr'!R57+'All Other E&amp;G-2Yr'!R57</f>
        <v>47907.748</v>
      </c>
      <c r="S57" s="163">
        <f>+'Tuition-2Yr'!S57+'State Appropriations-2Yr'!S57+'Local Appropriations-2Yr'!S57+'Fed Contracts Grnts-2Yr'!S57+'Other Contracts Grnts-2Yr'!S57+'Investment Income-2Yr'!S57+'All Other E&amp;G-2Yr'!S57</f>
        <v>50164.858999999997</v>
      </c>
      <c r="T57" s="163">
        <f>+'Tuition-2Yr'!T57+'State Appropriations-2Yr'!T57+'Local Appropriations-2Yr'!T57+'Fed Contracts Grnts-2Yr'!T57+'Other Contracts Grnts-2Yr'!T57+'Investment Income-2Yr'!T57+'All Other E&amp;G-2Yr'!T57</f>
        <v>55043.409999999996</v>
      </c>
      <c r="U57" s="163">
        <f>+'Tuition-2Yr'!U57+'State Appropriations-2Yr'!U57+'Local Appropriations-2Yr'!U57+'Fed Contracts Grnts-2Yr'!U57+'Other Contracts Grnts-2Yr'!U57+'Investment Income-2Yr'!U57+'All Other E&amp;G-2Yr'!U57</f>
        <v>60955.018000000004</v>
      </c>
      <c r="V57" s="163">
        <f>+'Tuition-2Yr'!V57+'State Appropriations-2Yr'!V57+'Local Appropriations-2Yr'!V57+'Fed Contracts Grnts-2Yr'!V57+'Other Contracts Grnts-2Yr'!V57+'Investment Income-2Yr'!V57+'All Other E&amp;G-2Yr'!V57</f>
        <v>64492.563000000002</v>
      </c>
      <c r="W57" s="163">
        <f>+'Tuition-2Yr'!W57+'State Appropriations-2Yr'!W57+'Local Appropriations-2Yr'!W57+'Fed Contracts Grnts-2Yr'!W57+'Other Contracts Grnts-2Yr'!W57+'Investment Income-2Yr'!W57+'All Other E&amp;G-2Yr'!W57</f>
        <v>70996.664999999994</v>
      </c>
      <c r="X57" s="163">
        <f>+'Tuition-2Yr'!X57+'State Appropriations-2Yr'!X57+'Local Appropriations-2Yr'!X57+'Fed Contracts Grnts-2Yr'!X57+'Other Contracts Grnts-2Yr'!X57+'Investment Income-2Yr'!X57+'All Other E&amp;G-2Yr'!X57</f>
        <v>60962.487999999998</v>
      </c>
      <c r="Y57" s="163">
        <f>+'Tuition-2Yr'!Y57+'State Appropriations-2Yr'!Y57+'Local Appropriations-2Yr'!Y57+'Fed Contracts Grnts-2Yr'!Y57+'Other Contracts Grnts-2Yr'!Y57+'Investment Income-2Yr'!Y57+'All Other E&amp;G-2Yr'!Y57</f>
        <v>85121.65400000001</v>
      </c>
      <c r="Z57" s="163">
        <f>+'Tuition-2Yr'!Z57+'State Appropriations-2Yr'!Z57+'Local Appropriations-2Yr'!Z57+'Fed Contracts Grnts-2Yr'!Z57+'Other Contracts Grnts-2Yr'!Z57+'Investment Income-2Yr'!Z57+'All Other E&amp;G-2Yr'!Z57</f>
        <v>85772.648000000001</v>
      </c>
      <c r="AA57" s="163">
        <f>+'Tuition-2Yr'!AA57+'State Appropriations-2Yr'!AA57+'Local Appropriations-2Yr'!AA57+'Fed Contracts Grnts-2Yr'!AA57+'Other Contracts Grnts-2Yr'!AA57+'Investment Income-2Yr'!AA57+'All Other E&amp;G-2Yr'!AA57</f>
        <v>98602.676999999981</v>
      </c>
      <c r="AB57" s="163">
        <f>+'Tuition-2Yr'!AB57+'State Appropriations-2Yr'!AB57+'Local Appropriations-2Yr'!AB57+'Fed Contracts Grnts-2Yr'!AB57+'Other Contracts Grnts-2Yr'!AB57+'Investment Income-2Yr'!AB57+'All Other E&amp;G-2Yr'!AB57</f>
        <v>110682.738</v>
      </c>
      <c r="AC57" s="163">
        <f>+'Tuition-2Yr'!AC57+'State Appropriations-2Yr'!AC57+'Local Appropriations-2Yr'!AC57+'Fed Contracts Grnts-2Yr'!AC57+'Other Contracts Grnts-2Yr'!AC57+'Investment Income-2Yr'!AC57+'All Other E&amp;G-2Yr'!AC57</f>
        <v>123268</v>
      </c>
      <c r="AD57" s="163">
        <f>+'Tuition-2Yr'!AD57+'State Appropriations-2Yr'!AD57+'Local Appropriations-2Yr'!AD57+'Fed Contracts Grnts-2Yr'!AD57+'Other Contracts Grnts-2Yr'!AD57+'Investment Income-2Yr'!AD57+'All Other E&amp;G-2Yr'!AD57</f>
        <v>118715.92200000001</v>
      </c>
      <c r="AE57" s="163">
        <f>+'Tuition-2Yr'!AE57+'State Appropriations-2Yr'!AE57+'Local Appropriations-2Yr'!AE57+'Fed Contracts Grnts-2Yr'!AE57+'Other Contracts Grnts-2Yr'!AE57+'Investment Income-2Yr'!AE57+'All Other E&amp;G-2Yr'!AE57</f>
        <v>150893.33100000001</v>
      </c>
      <c r="AF57" s="163">
        <f>+'Tuition-2Yr'!AF57+'State Appropriations-2Yr'!AF57+'Local Appropriations-2Yr'!AF57+'Fed Contracts Grnts-2Yr'!AF57+'Other Contracts Grnts-2Yr'!AF57+'Investment Income-2Yr'!AF57+'All Other E&amp;G-2Yr'!AF57</f>
        <v>139675.58300000001</v>
      </c>
      <c r="AG57" s="163">
        <f>+'Tuition-2Yr'!AG57+'State Appropriations-2Yr'!AG57+'Local Appropriations-2Yr'!AG57+'Fed Contracts Grnts-2Yr'!AG57+'Other Contracts Grnts-2Yr'!AG57+'Investment Income-2Yr'!AG57+'All Other E&amp;G-2Yr'!AG57</f>
        <v>126743.81300000002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c r="HC57" s="20"/>
      <c r="HD57" s="20"/>
      <c r="HE57" s="20"/>
      <c r="HF57" s="20"/>
    </row>
    <row r="58" spans="1:214" s="65" customFormat="1" ht="12.75" customHeight="1">
      <c r="A58" s="23" t="s">
        <v>128</v>
      </c>
      <c r="B58" s="163">
        <f>+'Tuition-2Yr'!B58+'State Appropriations-2Yr'!B58+'Local Appropriations-2Yr'!B58+'Fed Contracts Grnts-2Yr'!B58+'Other Contracts Grnts-2Yr'!B58+'Investment Income-2Yr'!B58+'All Other E&amp;G-2Yr'!B58</f>
        <v>0</v>
      </c>
      <c r="C58" s="163">
        <f>+'Tuition-2Yr'!C58+'State Appropriations-2Yr'!C58+'Local Appropriations-2Yr'!C58+'Fed Contracts Grnts-2Yr'!C58+'Other Contracts Grnts-2Yr'!C58+'Investment Income-2Yr'!C58+'All Other E&amp;G-2Yr'!C58</f>
        <v>0</v>
      </c>
      <c r="D58" s="163">
        <f>+'Tuition-2Yr'!D58+'State Appropriations-2Yr'!D58+'Local Appropriations-2Yr'!D58+'Fed Contracts Grnts-2Yr'!D58+'Other Contracts Grnts-2Yr'!D58+'Investment Income-2Yr'!D58+'All Other E&amp;G-2Yr'!D58</f>
        <v>0</v>
      </c>
      <c r="E58" s="163">
        <f>+'Tuition-2Yr'!E58+'State Appropriations-2Yr'!E58+'Local Appropriations-2Yr'!E58+'Fed Contracts Grnts-2Yr'!E58+'Other Contracts Grnts-2Yr'!E58+'Investment Income-2Yr'!E58+'All Other E&amp;G-2Yr'!E58</f>
        <v>0</v>
      </c>
      <c r="F58" s="163">
        <f>+'Tuition-2Yr'!F58+'State Appropriations-2Yr'!F58+'Local Appropriations-2Yr'!F58+'Fed Contracts Grnts-2Yr'!F58+'Other Contracts Grnts-2Yr'!F58+'Investment Income-2Yr'!F58+'All Other E&amp;G-2Yr'!F58</f>
        <v>0</v>
      </c>
      <c r="G58" s="163">
        <f>+'Tuition-2Yr'!G58+'State Appropriations-2Yr'!G58+'Local Appropriations-2Yr'!G58+'Fed Contracts Grnts-2Yr'!G58+'Other Contracts Grnts-2Yr'!G58+'Investment Income-2Yr'!G58+'All Other E&amp;G-2Yr'!G58</f>
        <v>0</v>
      </c>
      <c r="H58" s="163">
        <f>+'Tuition-2Yr'!H58+'State Appropriations-2Yr'!H58+'Local Appropriations-2Yr'!H58+'Fed Contracts Grnts-2Yr'!H58+'Other Contracts Grnts-2Yr'!H58+'Investment Income-2Yr'!H58+'All Other E&amp;G-2Yr'!H58</f>
        <v>0</v>
      </c>
      <c r="I58" s="163">
        <f>+'Tuition-2Yr'!I58+'State Appropriations-2Yr'!I58+'Local Appropriations-2Yr'!I58+'Fed Contracts Grnts-2Yr'!I58+'Other Contracts Grnts-2Yr'!I58+'Investment Income-2Yr'!I58+'All Other E&amp;G-2Yr'!I58</f>
        <v>0</v>
      </c>
      <c r="J58" s="163">
        <f>+'Tuition-2Yr'!J58+'State Appropriations-2Yr'!J58+'Local Appropriations-2Yr'!J58+'Fed Contracts Grnts-2Yr'!J58+'Other Contracts Grnts-2Yr'!J58+'Investment Income-2Yr'!J58+'All Other E&amp;G-2Yr'!J58</f>
        <v>484658.95500000007</v>
      </c>
      <c r="K58" s="163">
        <f>+'Tuition-2Yr'!K58+'State Appropriations-2Yr'!K58+'Local Appropriations-2Yr'!K58+'Fed Contracts Grnts-2Yr'!K58+'Other Contracts Grnts-2Yr'!K58+'Investment Income-2Yr'!K58+'All Other E&amp;G-2Yr'!K58</f>
        <v>0</v>
      </c>
      <c r="L58" s="163">
        <f>+'Tuition-2Yr'!L58+'State Appropriations-2Yr'!L58+'Local Appropriations-2Yr'!L58+'Fed Contracts Grnts-2Yr'!L58+'Other Contracts Grnts-2Yr'!L58+'Investment Income-2Yr'!L58+'All Other E&amp;G-2Yr'!L58</f>
        <v>0</v>
      </c>
      <c r="M58" s="163">
        <f>+'Tuition-2Yr'!M58+'State Appropriations-2Yr'!M58+'Local Appropriations-2Yr'!M58+'Fed Contracts Grnts-2Yr'!M58+'Other Contracts Grnts-2Yr'!M58+'Investment Income-2Yr'!M58+'All Other E&amp;G-2Yr'!M58</f>
        <v>570361.76100000006</v>
      </c>
      <c r="N58" s="163">
        <f>+'Tuition-2Yr'!N58+'State Appropriations-2Yr'!N58+'Local Appropriations-2Yr'!N58+'Fed Contracts Grnts-2Yr'!N58+'Other Contracts Grnts-2Yr'!N58+'Investment Income-2Yr'!N58+'All Other E&amp;G-2Yr'!N58</f>
        <v>0</v>
      </c>
      <c r="O58" s="163">
        <f>+'Tuition-2Yr'!O58+'State Appropriations-2Yr'!O58+'Local Appropriations-2Yr'!O58+'Fed Contracts Grnts-2Yr'!O58+'Other Contracts Grnts-2Yr'!O58+'Investment Income-2Yr'!O58+'All Other E&amp;G-2Yr'!O58</f>
        <v>600120.78200000001</v>
      </c>
      <c r="P58" s="163">
        <f>+'Tuition-2Yr'!P58+'State Appropriations-2Yr'!P58+'Local Appropriations-2Yr'!P58+'Fed Contracts Grnts-2Yr'!P58+'Other Contracts Grnts-2Yr'!P58+'Investment Income-2Yr'!P58+'All Other E&amp;G-2Yr'!P58</f>
        <v>0</v>
      </c>
      <c r="Q58" s="163">
        <f>+'Tuition-2Yr'!Q58+'State Appropriations-2Yr'!Q58+'Local Appropriations-2Yr'!Q58+'Fed Contracts Grnts-2Yr'!Q58+'Other Contracts Grnts-2Yr'!Q58+'Investment Income-2Yr'!Q58+'All Other E&amp;G-2Yr'!Q58</f>
        <v>0</v>
      </c>
      <c r="R58" s="163">
        <f>+'Tuition-2Yr'!R58+'State Appropriations-2Yr'!R58+'Local Appropriations-2Yr'!R58+'Fed Contracts Grnts-2Yr'!R58+'Other Contracts Grnts-2Yr'!R58+'Investment Income-2Yr'!R58+'All Other E&amp;G-2Yr'!R58</f>
        <v>666944.16799999995</v>
      </c>
      <c r="S58" s="163">
        <f>+'Tuition-2Yr'!S58+'State Appropriations-2Yr'!S58+'Local Appropriations-2Yr'!S58+'Fed Contracts Grnts-2Yr'!S58+'Other Contracts Grnts-2Yr'!S58+'Investment Income-2Yr'!S58+'All Other E&amp;G-2Yr'!S58</f>
        <v>725865.83100000012</v>
      </c>
      <c r="T58" s="163">
        <f>+'Tuition-2Yr'!T58+'State Appropriations-2Yr'!T58+'Local Appropriations-2Yr'!T58+'Fed Contracts Grnts-2Yr'!T58+'Other Contracts Grnts-2Yr'!T58+'Investment Income-2Yr'!T58+'All Other E&amp;G-2Yr'!T58</f>
        <v>799700.55499999993</v>
      </c>
      <c r="U58" s="163">
        <f>+'Tuition-2Yr'!U58+'State Appropriations-2Yr'!U58+'Local Appropriations-2Yr'!U58+'Fed Contracts Grnts-2Yr'!U58+'Other Contracts Grnts-2Yr'!U58+'Investment Income-2Yr'!U58+'All Other E&amp;G-2Yr'!U58</f>
        <v>779601.41399999987</v>
      </c>
      <c r="V58" s="163">
        <f>+'Tuition-2Yr'!V58+'State Appropriations-2Yr'!V58+'Local Appropriations-2Yr'!V58+'Fed Contracts Grnts-2Yr'!V58+'Other Contracts Grnts-2Yr'!V58+'Investment Income-2Yr'!V58+'All Other E&amp;G-2Yr'!V58</f>
        <v>848284.147</v>
      </c>
      <c r="W58" s="163">
        <f>+'Tuition-2Yr'!W58+'State Appropriations-2Yr'!W58+'Local Appropriations-2Yr'!W58+'Fed Contracts Grnts-2Yr'!W58+'Other Contracts Grnts-2Yr'!W58+'Investment Income-2Yr'!W58+'All Other E&amp;G-2Yr'!W58</f>
        <v>980830.98600000015</v>
      </c>
      <c r="X58" s="163">
        <f>+'Tuition-2Yr'!X58+'State Appropriations-2Yr'!X58+'Local Appropriations-2Yr'!X58+'Fed Contracts Grnts-2Yr'!X58+'Other Contracts Grnts-2Yr'!X58+'Investment Income-2Yr'!X58+'All Other E&amp;G-2Yr'!X58</f>
        <v>908313.18599999999</v>
      </c>
      <c r="Y58" s="163">
        <f>+'Tuition-2Yr'!Y58+'State Appropriations-2Yr'!Y58+'Local Appropriations-2Yr'!Y58+'Fed Contracts Grnts-2Yr'!Y58+'Other Contracts Grnts-2Yr'!Y58+'Investment Income-2Yr'!Y58+'All Other E&amp;G-2Yr'!Y58</f>
        <v>952799.17299999995</v>
      </c>
      <c r="Z58" s="163">
        <f>+'Tuition-2Yr'!Z58+'State Appropriations-2Yr'!Z58+'Local Appropriations-2Yr'!Z58+'Fed Contracts Grnts-2Yr'!Z58+'Other Contracts Grnts-2Yr'!Z58+'Investment Income-2Yr'!Z58+'All Other E&amp;G-2Yr'!Z58</f>
        <v>1047312.3189999999</v>
      </c>
      <c r="AA58" s="163">
        <f>+'Tuition-2Yr'!AA58+'State Appropriations-2Yr'!AA58+'Local Appropriations-2Yr'!AA58+'Fed Contracts Grnts-2Yr'!AA58+'Other Contracts Grnts-2Yr'!AA58+'Investment Income-2Yr'!AA58+'All Other E&amp;G-2Yr'!AA58</f>
        <v>1230692.7650000001</v>
      </c>
      <c r="AB58" s="163">
        <f>+'Tuition-2Yr'!AB58+'State Appropriations-2Yr'!AB58+'Local Appropriations-2Yr'!AB58+'Fed Contracts Grnts-2Yr'!AB58+'Other Contracts Grnts-2Yr'!AB58+'Investment Income-2Yr'!AB58+'All Other E&amp;G-2Yr'!AB58</f>
        <v>1447695.909</v>
      </c>
      <c r="AC58" s="163">
        <f>+'Tuition-2Yr'!AC58+'State Appropriations-2Yr'!AC58+'Local Appropriations-2Yr'!AC58+'Fed Contracts Grnts-2Yr'!AC58+'Other Contracts Grnts-2Yr'!AC58+'Investment Income-2Yr'!AC58+'All Other E&amp;G-2Yr'!AC58</f>
        <v>1468208</v>
      </c>
      <c r="AD58" s="163">
        <f>+'Tuition-2Yr'!AD58+'State Appropriations-2Yr'!AD58+'Local Appropriations-2Yr'!AD58+'Fed Contracts Grnts-2Yr'!AD58+'Other Contracts Grnts-2Yr'!AD58+'Investment Income-2Yr'!AD58+'All Other E&amp;G-2Yr'!AD58</f>
        <v>1528591.5149999999</v>
      </c>
      <c r="AE58" s="163">
        <f>+'Tuition-2Yr'!AE58+'State Appropriations-2Yr'!AE58+'Local Appropriations-2Yr'!AE58+'Fed Contracts Grnts-2Yr'!AE58+'Other Contracts Grnts-2Yr'!AE58+'Investment Income-2Yr'!AE58+'All Other E&amp;G-2Yr'!AE58</f>
        <v>1461900.51</v>
      </c>
      <c r="AF58" s="163">
        <f>+'Tuition-2Yr'!AF58+'State Appropriations-2Yr'!AF58+'Local Appropriations-2Yr'!AF58+'Fed Contracts Grnts-2Yr'!AF58+'Other Contracts Grnts-2Yr'!AF58+'Investment Income-2Yr'!AF58+'All Other E&amp;G-2Yr'!AF58</f>
        <v>1463157.9589999998</v>
      </c>
      <c r="AG58" s="163">
        <f>+'Tuition-2Yr'!AG58+'State Appropriations-2Yr'!AG58+'Local Appropriations-2Yr'!AG58+'Fed Contracts Grnts-2Yr'!AG58+'Other Contracts Grnts-2Yr'!AG58+'Investment Income-2Yr'!AG58+'All Other E&amp;G-2Yr'!AG58</f>
        <v>1449990.3979999998</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c r="HC58" s="20"/>
      <c r="HD58" s="20"/>
      <c r="HE58" s="20"/>
      <c r="HF58" s="20"/>
    </row>
    <row r="59" spans="1:214" s="65" customFormat="1" ht="12.75" customHeight="1">
      <c r="A59" s="23" t="s">
        <v>130</v>
      </c>
      <c r="B59" s="163">
        <f>+'Tuition-2Yr'!B59+'State Appropriations-2Yr'!B59+'Local Appropriations-2Yr'!B59+'Fed Contracts Grnts-2Yr'!B59+'Other Contracts Grnts-2Yr'!B59+'Investment Income-2Yr'!B59+'All Other E&amp;G-2Yr'!B59</f>
        <v>0</v>
      </c>
      <c r="C59" s="163">
        <f>+'Tuition-2Yr'!C59+'State Appropriations-2Yr'!C59+'Local Appropriations-2Yr'!C59+'Fed Contracts Grnts-2Yr'!C59+'Other Contracts Grnts-2Yr'!C59+'Investment Income-2Yr'!C59+'All Other E&amp;G-2Yr'!C59</f>
        <v>0</v>
      </c>
      <c r="D59" s="163">
        <f>+'Tuition-2Yr'!D59+'State Appropriations-2Yr'!D59+'Local Appropriations-2Yr'!D59+'Fed Contracts Grnts-2Yr'!D59+'Other Contracts Grnts-2Yr'!D59+'Investment Income-2Yr'!D59+'All Other E&amp;G-2Yr'!D59</f>
        <v>0</v>
      </c>
      <c r="E59" s="163">
        <f>+'Tuition-2Yr'!E59+'State Appropriations-2Yr'!E59+'Local Appropriations-2Yr'!E59+'Fed Contracts Grnts-2Yr'!E59+'Other Contracts Grnts-2Yr'!E59+'Investment Income-2Yr'!E59+'All Other E&amp;G-2Yr'!E59</f>
        <v>0</v>
      </c>
      <c r="F59" s="163">
        <f>+'Tuition-2Yr'!F59+'State Appropriations-2Yr'!F59+'Local Appropriations-2Yr'!F59+'Fed Contracts Grnts-2Yr'!F59+'Other Contracts Grnts-2Yr'!F59+'Investment Income-2Yr'!F59+'All Other E&amp;G-2Yr'!F59</f>
        <v>0</v>
      </c>
      <c r="G59" s="163">
        <f>+'Tuition-2Yr'!G59+'State Appropriations-2Yr'!G59+'Local Appropriations-2Yr'!G59+'Fed Contracts Grnts-2Yr'!G59+'Other Contracts Grnts-2Yr'!G59+'Investment Income-2Yr'!G59+'All Other E&amp;G-2Yr'!G59</f>
        <v>0</v>
      </c>
      <c r="H59" s="163">
        <f>+'Tuition-2Yr'!H59+'State Appropriations-2Yr'!H59+'Local Appropriations-2Yr'!H59+'Fed Contracts Grnts-2Yr'!H59+'Other Contracts Grnts-2Yr'!H59+'Investment Income-2Yr'!H59+'All Other E&amp;G-2Yr'!H59</f>
        <v>0</v>
      </c>
      <c r="I59" s="163">
        <f>+'Tuition-2Yr'!I59+'State Appropriations-2Yr'!I59+'Local Appropriations-2Yr'!I59+'Fed Contracts Grnts-2Yr'!I59+'Other Contracts Grnts-2Yr'!I59+'Investment Income-2Yr'!I59+'All Other E&amp;G-2Yr'!I59</f>
        <v>0</v>
      </c>
      <c r="J59" s="163">
        <f>+'Tuition-2Yr'!J59+'State Appropriations-2Yr'!J59+'Local Appropriations-2Yr'!J59+'Fed Contracts Grnts-2Yr'!J59+'Other Contracts Grnts-2Yr'!J59+'Investment Income-2Yr'!J59+'All Other E&amp;G-2Yr'!J59</f>
        <v>1125327.31</v>
      </c>
      <c r="K59" s="163">
        <f>+'Tuition-2Yr'!K59+'State Appropriations-2Yr'!K59+'Local Appropriations-2Yr'!K59+'Fed Contracts Grnts-2Yr'!K59+'Other Contracts Grnts-2Yr'!K59+'Investment Income-2Yr'!K59+'All Other E&amp;G-2Yr'!K59</f>
        <v>0</v>
      </c>
      <c r="L59" s="163">
        <f>+'Tuition-2Yr'!L59+'State Appropriations-2Yr'!L59+'Local Appropriations-2Yr'!L59+'Fed Contracts Grnts-2Yr'!L59+'Other Contracts Grnts-2Yr'!L59+'Investment Income-2Yr'!L59+'All Other E&amp;G-2Yr'!L59</f>
        <v>0</v>
      </c>
      <c r="M59" s="163">
        <f>+'Tuition-2Yr'!M59+'State Appropriations-2Yr'!M59+'Local Appropriations-2Yr'!M59+'Fed Contracts Grnts-2Yr'!M59+'Other Contracts Grnts-2Yr'!M59+'Investment Income-2Yr'!M59+'All Other E&amp;G-2Yr'!M59</f>
        <v>1379800.5880000002</v>
      </c>
      <c r="N59" s="163">
        <f>+'Tuition-2Yr'!N59+'State Appropriations-2Yr'!N59+'Local Appropriations-2Yr'!N59+'Fed Contracts Grnts-2Yr'!N59+'Other Contracts Grnts-2Yr'!N59+'Investment Income-2Yr'!N59+'All Other E&amp;G-2Yr'!N59</f>
        <v>0</v>
      </c>
      <c r="O59" s="163">
        <f>+'Tuition-2Yr'!O59+'State Appropriations-2Yr'!O59+'Local Appropriations-2Yr'!O59+'Fed Contracts Grnts-2Yr'!O59+'Other Contracts Grnts-2Yr'!O59+'Investment Income-2Yr'!O59+'All Other E&amp;G-2Yr'!O59</f>
        <v>1516697.23</v>
      </c>
      <c r="P59" s="163">
        <f>+'Tuition-2Yr'!P59+'State Appropriations-2Yr'!P59+'Local Appropriations-2Yr'!P59+'Fed Contracts Grnts-2Yr'!P59+'Other Contracts Grnts-2Yr'!P59+'Investment Income-2Yr'!P59+'All Other E&amp;G-2Yr'!P59</f>
        <v>0</v>
      </c>
      <c r="Q59" s="163">
        <f>+'Tuition-2Yr'!Q59+'State Appropriations-2Yr'!Q59+'Local Appropriations-2Yr'!Q59+'Fed Contracts Grnts-2Yr'!Q59+'Other Contracts Grnts-2Yr'!Q59+'Investment Income-2Yr'!Q59+'All Other E&amp;G-2Yr'!Q59</f>
        <v>0</v>
      </c>
      <c r="R59" s="163">
        <f>+'Tuition-2Yr'!R59+'State Appropriations-2Yr'!R59+'Local Appropriations-2Yr'!R59+'Fed Contracts Grnts-2Yr'!R59+'Other Contracts Grnts-2Yr'!R59+'Investment Income-2Yr'!R59+'All Other E&amp;G-2Yr'!R59</f>
        <v>1429187.3910000001</v>
      </c>
      <c r="S59" s="163">
        <f>+'Tuition-2Yr'!S59+'State Appropriations-2Yr'!S59+'Local Appropriations-2Yr'!S59+'Fed Contracts Grnts-2Yr'!S59+'Other Contracts Grnts-2Yr'!S59+'Investment Income-2Yr'!S59+'All Other E&amp;G-2Yr'!S59</f>
        <v>1723110.702</v>
      </c>
      <c r="T59" s="163">
        <f>+'Tuition-2Yr'!T59+'State Appropriations-2Yr'!T59+'Local Appropriations-2Yr'!T59+'Fed Contracts Grnts-2Yr'!T59+'Other Contracts Grnts-2Yr'!T59+'Investment Income-2Yr'!T59+'All Other E&amp;G-2Yr'!T59</f>
        <v>1930442.5499999998</v>
      </c>
      <c r="U59" s="163">
        <f>+'Tuition-2Yr'!U59+'State Appropriations-2Yr'!U59+'Local Appropriations-2Yr'!U59+'Fed Contracts Grnts-2Yr'!U59+'Other Contracts Grnts-2Yr'!U59+'Investment Income-2Yr'!U59+'All Other E&amp;G-2Yr'!U59</f>
        <v>1870543.7069999999</v>
      </c>
      <c r="V59" s="163">
        <f>+'Tuition-2Yr'!V59+'State Appropriations-2Yr'!V59+'Local Appropriations-2Yr'!V59+'Fed Contracts Grnts-2Yr'!V59+'Other Contracts Grnts-2Yr'!V59+'Investment Income-2Yr'!V59+'All Other E&amp;G-2Yr'!V59</f>
        <v>1957125.7519999999</v>
      </c>
      <c r="W59" s="163">
        <f>+'Tuition-2Yr'!W59+'State Appropriations-2Yr'!W59+'Local Appropriations-2Yr'!W59+'Fed Contracts Grnts-2Yr'!W59+'Other Contracts Grnts-2Yr'!W59+'Investment Income-2Yr'!W59+'All Other E&amp;G-2Yr'!W59</f>
        <v>2287353.0259999996</v>
      </c>
      <c r="X59" s="163">
        <f>+'Tuition-2Yr'!X59+'State Appropriations-2Yr'!X59+'Local Appropriations-2Yr'!X59+'Fed Contracts Grnts-2Yr'!X59+'Other Contracts Grnts-2Yr'!X59+'Investment Income-2Yr'!X59+'All Other E&amp;G-2Yr'!X59</f>
        <v>2152585.84</v>
      </c>
      <c r="Y59" s="163">
        <f>+'Tuition-2Yr'!Y59+'State Appropriations-2Yr'!Y59+'Local Appropriations-2Yr'!Y59+'Fed Contracts Grnts-2Yr'!Y59+'Other Contracts Grnts-2Yr'!Y59+'Investment Income-2Yr'!Y59+'All Other E&amp;G-2Yr'!Y59</f>
        <v>2226190.929</v>
      </c>
      <c r="Z59" s="163">
        <f>+'Tuition-2Yr'!Z59+'State Appropriations-2Yr'!Z59+'Local Appropriations-2Yr'!Z59+'Fed Contracts Grnts-2Yr'!Z59+'Other Contracts Grnts-2Yr'!Z59+'Investment Income-2Yr'!Z59+'All Other E&amp;G-2Yr'!Z59</f>
        <v>2420323.4169999999</v>
      </c>
      <c r="AA59" s="163">
        <f>+'Tuition-2Yr'!AA59+'State Appropriations-2Yr'!AA59+'Local Appropriations-2Yr'!AA59+'Fed Contracts Grnts-2Yr'!AA59+'Other Contracts Grnts-2Yr'!AA59+'Investment Income-2Yr'!AA59+'All Other E&amp;G-2Yr'!AA59</f>
        <v>2932649.8470000001</v>
      </c>
      <c r="AB59" s="163">
        <f>+'Tuition-2Yr'!AB59+'State Appropriations-2Yr'!AB59+'Local Appropriations-2Yr'!AB59+'Fed Contracts Grnts-2Yr'!AB59+'Other Contracts Grnts-2Yr'!AB59+'Investment Income-2Yr'!AB59+'All Other E&amp;G-2Yr'!AB59</f>
        <v>3249252.58</v>
      </c>
      <c r="AC59" s="163">
        <f>+'Tuition-2Yr'!AC59+'State Appropriations-2Yr'!AC59+'Local Appropriations-2Yr'!AC59+'Fed Contracts Grnts-2Yr'!AC59+'Other Contracts Grnts-2Yr'!AC59+'Investment Income-2Yr'!AC59+'All Other E&amp;G-2Yr'!AC59</f>
        <v>3402305</v>
      </c>
      <c r="AD59" s="163">
        <f>+'Tuition-2Yr'!AD59+'State Appropriations-2Yr'!AD59+'Local Appropriations-2Yr'!AD59+'Fed Contracts Grnts-2Yr'!AD59+'Other Contracts Grnts-2Yr'!AD59+'Investment Income-2Yr'!AD59+'All Other E&amp;G-2Yr'!AD59</f>
        <v>3553499.9960000003</v>
      </c>
      <c r="AE59" s="163">
        <f>+'Tuition-2Yr'!AE59+'State Appropriations-2Yr'!AE59+'Local Appropriations-2Yr'!AE59+'Fed Contracts Grnts-2Yr'!AE59+'Other Contracts Grnts-2Yr'!AE59+'Investment Income-2Yr'!AE59+'All Other E&amp;G-2Yr'!AE59</f>
        <v>3677872.9130000002</v>
      </c>
      <c r="AF59" s="163">
        <f>+'Tuition-2Yr'!AF59+'State Appropriations-2Yr'!AF59+'Local Appropriations-2Yr'!AF59+'Fed Contracts Grnts-2Yr'!AF59+'Other Contracts Grnts-2Yr'!AF59+'Investment Income-2Yr'!AF59+'All Other E&amp;G-2Yr'!AF59</f>
        <v>3768154.1700000004</v>
      </c>
      <c r="AG59" s="163">
        <f>+'Tuition-2Yr'!AG59+'State Appropriations-2Yr'!AG59+'Local Appropriations-2Yr'!AG59+'Fed Contracts Grnts-2Yr'!AG59+'Other Contracts Grnts-2Yr'!AG59+'Investment Income-2Yr'!AG59+'All Other E&amp;G-2Yr'!AG59</f>
        <v>3838865.2659999998</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c r="HC59" s="20"/>
      <c r="HD59" s="20"/>
      <c r="HE59" s="20"/>
      <c r="HF59" s="20"/>
    </row>
    <row r="60" spans="1:214" s="65" customFormat="1" ht="12.75" customHeight="1">
      <c r="A60" s="23" t="s">
        <v>134</v>
      </c>
      <c r="B60" s="163">
        <f>+'Tuition-2Yr'!B60+'State Appropriations-2Yr'!B60+'Local Appropriations-2Yr'!B60+'Fed Contracts Grnts-2Yr'!B60+'Other Contracts Grnts-2Yr'!B60+'Investment Income-2Yr'!B60+'All Other E&amp;G-2Yr'!B60</f>
        <v>0</v>
      </c>
      <c r="C60" s="163">
        <f>+'Tuition-2Yr'!C60+'State Appropriations-2Yr'!C60+'Local Appropriations-2Yr'!C60+'Fed Contracts Grnts-2Yr'!C60+'Other Contracts Grnts-2Yr'!C60+'Investment Income-2Yr'!C60+'All Other E&amp;G-2Yr'!C60</f>
        <v>0</v>
      </c>
      <c r="D60" s="163">
        <f>+'Tuition-2Yr'!D60+'State Appropriations-2Yr'!D60+'Local Appropriations-2Yr'!D60+'Fed Contracts Grnts-2Yr'!D60+'Other Contracts Grnts-2Yr'!D60+'Investment Income-2Yr'!D60+'All Other E&amp;G-2Yr'!D60</f>
        <v>0</v>
      </c>
      <c r="E60" s="163">
        <f>+'Tuition-2Yr'!E60+'State Appropriations-2Yr'!E60+'Local Appropriations-2Yr'!E60+'Fed Contracts Grnts-2Yr'!E60+'Other Contracts Grnts-2Yr'!E60+'Investment Income-2Yr'!E60+'All Other E&amp;G-2Yr'!E60</f>
        <v>0</v>
      </c>
      <c r="F60" s="163">
        <f>+'Tuition-2Yr'!F60+'State Appropriations-2Yr'!F60+'Local Appropriations-2Yr'!F60+'Fed Contracts Grnts-2Yr'!F60+'Other Contracts Grnts-2Yr'!F60+'Investment Income-2Yr'!F60+'All Other E&amp;G-2Yr'!F60</f>
        <v>0</v>
      </c>
      <c r="G60" s="163">
        <f>+'Tuition-2Yr'!G60+'State Appropriations-2Yr'!G60+'Local Appropriations-2Yr'!G60+'Fed Contracts Grnts-2Yr'!G60+'Other Contracts Grnts-2Yr'!G60+'Investment Income-2Yr'!G60+'All Other E&amp;G-2Yr'!G60</f>
        <v>0</v>
      </c>
      <c r="H60" s="163">
        <f>+'Tuition-2Yr'!H60+'State Appropriations-2Yr'!H60+'Local Appropriations-2Yr'!H60+'Fed Contracts Grnts-2Yr'!H60+'Other Contracts Grnts-2Yr'!H60+'Investment Income-2Yr'!H60+'All Other E&amp;G-2Yr'!H60</f>
        <v>0</v>
      </c>
      <c r="I60" s="163">
        <f>+'Tuition-2Yr'!I60+'State Appropriations-2Yr'!I60+'Local Appropriations-2Yr'!I60+'Fed Contracts Grnts-2Yr'!I60+'Other Contracts Grnts-2Yr'!I60+'Investment Income-2Yr'!I60+'All Other E&amp;G-2Yr'!I60</f>
        <v>0</v>
      </c>
      <c r="J60" s="163">
        <f>+'Tuition-2Yr'!J60+'State Appropriations-2Yr'!J60+'Local Appropriations-2Yr'!J60+'Fed Contracts Grnts-2Yr'!J60+'Other Contracts Grnts-2Yr'!J60+'Investment Income-2Yr'!J60+'All Other E&amp;G-2Yr'!J60</f>
        <v>401949.53399999999</v>
      </c>
      <c r="K60" s="163">
        <f>+'Tuition-2Yr'!K60+'State Appropriations-2Yr'!K60+'Local Appropriations-2Yr'!K60+'Fed Contracts Grnts-2Yr'!K60+'Other Contracts Grnts-2Yr'!K60+'Investment Income-2Yr'!K60+'All Other E&amp;G-2Yr'!K60</f>
        <v>0</v>
      </c>
      <c r="L60" s="163">
        <f>+'Tuition-2Yr'!L60+'State Appropriations-2Yr'!L60+'Local Appropriations-2Yr'!L60+'Fed Contracts Grnts-2Yr'!L60+'Other Contracts Grnts-2Yr'!L60+'Investment Income-2Yr'!L60+'All Other E&amp;G-2Yr'!L60</f>
        <v>0</v>
      </c>
      <c r="M60" s="163">
        <f>+'Tuition-2Yr'!M60+'State Appropriations-2Yr'!M60+'Local Appropriations-2Yr'!M60+'Fed Contracts Grnts-2Yr'!M60+'Other Contracts Grnts-2Yr'!M60+'Investment Income-2Yr'!M60+'All Other E&amp;G-2Yr'!M60</f>
        <v>461273.17800000007</v>
      </c>
      <c r="N60" s="163">
        <f>+'Tuition-2Yr'!N60+'State Appropriations-2Yr'!N60+'Local Appropriations-2Yr'!N60+'Fed Contracts Grnts-2Yr'!N60+'Other Contracts Grnts-2Yr'!N60+'Investment Income-2Yr'!N60+'All Other E&amp;G-2Yr'!N60</f>
        <v>0</v>
      </c>
      <c r="O60" s="163">
        <f>+'Tuition-2Yr'!O60+'State Appropriations-2Yr'!O60+'Local Appropriations-2Yr'!O60+'Fed Contracts Grnts-2Yr'!O60+'Other Contracts Grnts-2Yr'!O60+'Investment Income-2Yr'!O60+'All Other E&amp;G-2Yr'!O60</f>
        <v>485308.32619000005</v>
      </c>
      <c r="P60" s="163">
        <f>+'Tuition-2Yr'!P60+'State Appropriations-2Yr'!P60+'Local Appropriations-2Yr'!P60+'Fed Contracts Grnts-2Yr'!P60+'Other Contracts Grnts-2Yr'!P60+'Investment Income-2Yr'!P60+'All Other E&amp;G-2Yr'!P60</f>
        <v>0</v>
      </c>
      <c r="Q60" s="163">
        <f>+'Tuition-2Yr'!Q60+'State Appropriations-2Yr'!Q60+'Local Appropriations-2Yr'!Q60+'Fed Contracts Grnts-2Yr'!Q60+'Other Contracts Grnts-2Yr'!Q60+'Investment Income-2Yr'!Q60+'All Other E&amp;G-2Yr'!Q60</f>
        <v>0</v>
      </c>
      <c r="R60" s="163">
        <f>+'Tuition-2Yr'!R60+'State Appropriations-2Yr'!R60+'Local Appropriations-2Yr'!R60+'Fed Contracts Grnts-2Yr'!R60+'Other Contracts Grnts-2Yr'!R60+'Investment Income-2Yr'!R60+'All Other E&amp;G-2Yr'!R60</f>
        <v>537710.66500000004</v>
      </c>
      <c r="S60" s="163">
        <f>+'Tuition-2Yr'!S60+'State Appropriations-2Yr'!S60+'Local Appropriations-2Yr'!S60+'Fed Contracts Grnts-2Yr'!S60+'Other Contracts Grnts-2Yr'!S60+'Investment Income-2Yr'!S60+'All Other E&amp;G-2Yr'!S60</f>
        <v>574046.20100000012</v>
      </c>
      <c r="T60" s="163">
        <f>+'Tuition-2Yr'!T60+'State Appropriations-2Yr'!T60+'Local Appropriations-2Yr'!T60+'Fed Contracts Grnts-2Yr'!T60+'Other Contracts Grnts-2Yr'!T60+'Investment Income-2Yr'!T60+'All Other E&amp;G-2Yr'!T60</f>
        <v>651564.95499999996</v>
      </c>
      <c r="U60" s="163">
        <f>+'Tuition-2Yr'!U60+'State Appropriations-2Yr'!U60+'Local Appropriations-2Yr'!U60+'Fed Contracts Grnts-2Yr'!U60+'Other Contracts Grnts-2Yr'!U60+'Investment Income-2Yr'!U60+'All Other E&amp;G-2Yr'!U60</f>
        <v>675299.44299999997</v>
      </c>
      <c r="V60" s="163">
        <f>+'Tuition-2Yr'!V60+'State Appropriations-2Yr'!V60+'Local Appropriations-2Yr'!V60+'Fed Contracts Grnts-2Yr'!V60+'Other Contracts Grnts-2Yr'!V60+'Investment Income-2Yr'!V60+'All Other E&amp;G-2Yr'!V60</f>
        <v>723231.76400000008</v>
      </c>
      <c r="W60" s="163">
        <f>+'Tuition-2Yr'!W60+'State Appropriations-2Yr'!W60+'Local Appropriations-2Yr'!W60+'Fed Contracts Grnts-2Yr'!W60+'Other Contracts Grnts-2Yr'!W60+'Investment Income-2Yr'!W60+'All Other E&amp;G-2Yr'!W60</f>
        <v>823674.75399999996</v>
      </c>
      <c r="X60" s="163">
        <f>+'Tuition-2Yr'!X60+'State Appropriations-2Yr'!X60+'Local Appropriations-2Yr'!X60+'Fed Contracts Grnts-2Yr'!X60+'Other Contracts Grnts-2Yr'!X60+'Investment Income-2Yr'!X60+'All Other E&amp;G-2Yr'!X60</f>
        <v>825802.75499999989</v>
      </c>
      <c r="Y60" s="163">
        <f>+'Tuition-2Yr'!Y60+'State Appropriations-2Yr'!Y60+'Local Appropriations-2Yr'!Y60+'Fed Contracts Grnts-2Yr'!Y60+'Other Contracts Grnts-2Yr'!Y60+'Investment Income-2Yr'!Y60+'All Other E&amp;G-2Yr'!Y60</f>
        <v>865346.65299999993</v>
      </c>
      <c r="Z60" s="163">
        <f>+'Tuition-2Yr'!Z60+'State Appropriations-2Yr'!Z60+'Local Appropriations-2Yr'!Z60+'Fed Contracts Grnts-2Yr'!Z60+'Other Contracts Grnts-2Yr'!Z60+'Investment Income-2Yr'!Z60+'All Other E&amp;G-2Yr'!Z60</f>
        <v>910215.87899999996</v>
      </c>
      <c r="AA60" s="163">
        <f>+'Tuition-2Yr'!AA60+'State Appropriations-2Yr'!AA60+'Local Appropriations-2Yr'!AA60+'Fed Contracts Grnts-2Yr'!AA60+'Other Contracts Grnts-2Yr'!AA60+'Investment Income-2Yr'!AA60+'All Other E&amp;G-2Yr'!AA60</f>
        <v>1045864.769</v>
      </c>
      <c r="AB60" s="163">
        <f>+'Tuition-2Yr'!AB60+'State Appropriations-2Yr'!AB60+'Local Appropriations-2Yr'!AB60+'Fed Contracts Grnts-2Yr'!AB60+'Other Contracts Grnts-2Yr'!AB60+'Investment Income-2Yr'!AB60+'All Other E&amp;G-2Yr'!AB60</f>
        <v>1187414.8160000001</v>
      </c>
      <c r="AC60" s="163">
        <f>+'Tuition-2Yr'!AC60+'State Appropriations-2Yr'!AC60+'Local Appropriations-2Yr'!AC60+'Fed Contracts Grnts-2Yr'!AC60+'Other Contracts Grnts-2Yr'!AC60+'Investment Income-2Yr'!AC60+'All Other E&amp;G-2Yr'!AC60</f>
        <v>1272693</v>
      </c>
      <c r="AD60" s="163">
        <f>+'Tuition-2Yr'!AD60+'State Appropriations-2Yr'!AD60+'Local Appropriations-2Yr'!AD60+'Fed Contracts Grnts-2Yr'!AD60+'Other Contracts Grnts-2Yr'!AD60+'Investment Income-2Yr'!AD60+'All Other E&amp;G-2Yr'!AD60</f>
        <v>1261270.1470000001</v>
      </c>
      <c r="AE60" s="163">
        <f>+'Tuition-2Yr'!AE60+'State Appropriations-2Yr'!AE60+'Local Appropriations-2Yr'!AE60+'Fed Contracts Grnts-2Yr'!AE60+'Other Contracts Grnts-2Yr'!AE60+'Investment Income-2Yr'!AE60+'All Other E&amp;G-2Yr'!AE60</f>
        <v>1280437.1680000001</v>
      </c>
      <c r="AF60" s="163">
        <f>+'Tuition-2Yr'!AF60+'State Appropriations-2Yr'!AF60+'Local Appropriations-2Yr'!AF60+'Fed Contracts Grnts-2Yr'!AF60+'Other Contracts Grnts-2Yr'!AF60+'Investment Income-2Yr'!AF60+'All Other E&amp;G-2Yr'!AF60</f>
        <v>1258415.3469999998</v>
      </c>
      <c r="AG60" s="163">
        <f>+'Tuition-2Yr'!AG60+'State Appropriations-2Yr'!AG60+'Local Appropriations-2Yr'!AG60+'Fed Contracts Grnts-2Yr'!AG60+'Other Contracts Grnts-2Yr'!AG60+'Investment Income-2Yr'!AG60+'All Other E&amp;G-2Yr'!AG60</f>
        <v>1266849.9990000001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c r="HC60" s="20"/>
      <c r="HD60" s="20"/>
      <c r="HE60" s="20"/>
      <c r="HF60" s="20"/>
    </row>
    <row r="61" spans="1:214" s="65" customFormat="1" ht="12.75" customHeight="1">
      <c r="A61" s="23" t="s">
        <v>135</v>
      </c>
      <c r="B61" s="163">
        <f>+'Tuition-2Yr'!B61+'State Appropriations-2Yr'!B61+'Local Appropriations-2Yr'!B61+'Fed Contracts Grnts-2Yr'!B61+'Other Contracts Grnts-2Yr'!B61+'Investment Income-2Yr'!B61+'All Other E&amp;G-2Yr'!B61</f>
        <v>0</v>
      </c>
      <c r="C61" s="163">
        <f>+'Tuition-2Yr'!C61+'State Appropriations-2Yr'!C61+'Local Appropriations-2Yr'!C61+'Fed Contracts Grnts-2Yr'!C61+'Other Contracts Grnts-2Yr'!C61+'Investment Income-2Yr'!C61+'All Other E&amp;G-2Yr'!C61</f>
        <v>0</v>
      </c>
      <c r="D61" s="163">
        <f>+'Tuition-2Yr'!D61+'State Appropriations-2Yr'!D61+'Local Appropriations-2Yr'!D61+'Fed Contracts Grnts-2Yr'!D61+'Other Contracts Grnts-2Yr'!D61+'Investment Income-2Yr'!D61+'All Other E&amp;G-2Yr'!D61</f>
        <v>0</v>
      </c>
      <c r="E61" s="163">
        <f>+'Tuition-2Yr'!E61+'State Appropriations-2Yr'!E61+'Local Appropriations-2Yr'!E61+'Fed Contracts Grnts-2Yr'!E61+'Other Contracts Grnts-2Yr'!E61+'Investment Income-2Yr'!E61+'All Other E&amp;G-2Yr'!E61</f>
        <v>0</v>
      </c>
      <c r="F61" s="163">
        <f>+'Tuition-2Yr'!F61+'State Appropriations-2Yr'!F61+'Local Appropriations-2Yr'!F61+'Fed Contracts Grnts-2Yr'!F61+'Other Contracts Grnts-2Yr'!F61+'Investment Income-2Yr'!F61+'All Other E&amp;G-2Yr'!F61</f>
        <v>0</v>
      </c>
      <c r="G61" s="163">
        <f>+'Tuition-2Yr'!G61+'State Appropriations-2Yr'!G61+'Local Appropriations-2Yr'!G61+'Fed Contracts Grnts-2Yr'!G61+'Other Contracts Grnts-2Yr'!G61+'Investment Income-2Yr'!G61+'All Other E&amp;G-2Yr'!G61</f>
        <v>0</v>
      </c>
      <c r="H61" s="163">
        <f>+'Tuition-2Yr'!H61+'State Appropriations-2Yr'!H61+'Local Appropriations-2Yr'!H61+'Fed Contracts Grnts-2Yr'!H61+'Other Contracts Grnts-2Yr'!H61+'Investment Income-2Yr'!H61+'All Other E&amp;G-2Yr'!H61</f>
        <v>0</v>
      </c>
      <c r="I61" s="163">
        <f>+'Tuition-2Yr'!I61+'State Appropriations-2Yr'!I61+'Local Appropriations-2Yr'!I61+'Fed Contracts Grnts-2Yr'!I61+'Other Contracts Grnts-2Yr'!I61+'Investment Income-2Yr'!I61+'All Other E&amp;G-2Yr'!I61</f>
        <v>0</v>
      </c>
      <c r="J61" s="163">
        <f>+'Tuition-2Yr'!J61+'State Appropriations-2Yr'!J61+'Local Appropriations-2Yr'!J61+'Fed Contracts Grnts-2Yr'!J61+'Other Contracts Grnts-2Yr'!J61+'Investment Income-2Yr'!J61+'All Other E&amp;G-2Yr'!J61</f>
        <v>52629.353000000003</v>
      </c>
      <c r="K61" s="163">
        <f>+'Tuition-2Yr'!K61+'State Appropriations-2Yr'!K61+'Local Appropriations-2Yr'!K61+'Fed Contracts Grnts-2Yr'!K61+'Other Contracts Grnts-2Yr'!K61+'Investment Income-2Yr'!K61+'All Other E&amp;G-2Yr'!K61</f>
        <v>0</v>
      </c>
      <c r="L61" s="163">
        <f>+'Tuition-2Yr'!L61+'State Appropriations-2Yr'!L61+'Local Appropriations-2Yr'!L61+'Fed Contracts Grnts-2Yr'!L61+'Other Contracts Grnts-2Yr'!L61+'Investment Income-2Yr'!L61+'All Other E&amp;G-2Yr'!L61</f>
        <v>0</v>
      </c>
      <c r="M61" s="163">
        <f>+'Tuition-2Yr'!M61+'State Appropriations-2Yr'!M61+'Local Appropriations-2Yr'!M61+'Fed Contracts Grnts-2Yr'!M61+'Other Contracts Grnts-2Yr'!M61+'Investment Income-2Yr'!M61+'All Other E&amp;G-2Yr'!M61</f>
        <v>58053.100999999995</v>
      </c>
      <c r="N61" s="163">
        <f>+'Tuition-2Yr'!N61+'State Appropriations-2Yr'!N61+'Local Appropriations-2Yr'!N61+'Fed Contracts Grnts-2Yr'!N61+'Other Contracts Grnts-2Yr'!N61+'Investment Income-2Yr'!N61+'All Other E&amp;G-2Yr'!N61</f>
        <v>0</v>
      </c>
      <c r="O61" s="163">
        <f>+'Tuition-2Yr'!O61+'State Appropriations-2Yr'!O61+'Local Appropriations-2Yr'!O61+'Fed Contracts Grnts-2Yr'!O61+'Other Contracts Grnts-2Yr'!O61+'Investment Income-2Yr'!O61+'All Other E&amp;G-2Yr'!O61</f>
        <v>58993.1</v>
      </c>
      <c r="P61" s="163">
        <f>+'Tuition-2Yr'!P61+'State Appropriations-2Yr'!P61+'Local Appropriations-2Yr'!P61+'Fed Contracts Grnts-2Yr'!P61+'Other Contracts Grnts-2Yr'!P61+'Investment Income-2Yr'!P61+'All Other E&amp;G-2Yr'!P61</f>
        <v>0</v>
      </c>
      <c r="Q61" s="163">
        <f>+'Tuition-2Yr'!Q61+'State Appropriations-2Yr'!Q61+'Local Appropriations-2Yr'!Q61+'Fed Contracts Grnts-2Yr'!Q61+'Other Contracts Grnts-2Yr'!Q61+'Investment Income-2Yr'!Q61+'All Other E&amp;G-2Yr'!Q61</f>
        <v>0</v>
      </c>
      <c r="R61" s="163">
        <f>+'Tuition-2Yr'!R61+'State Appropriations-2Yr'!R61+'Local Appropriations-2Yr'!R61+'Fed Contracts Grnts-2Yr'!R61+'Other Contracts Grnts-2Yr'!R61+'Investment Income-2Yr'!R61+'All Other E&amp;G-2Yr'!R61</f>
        <v>65087.056000000011</v>
      </c>
      <c r="S61" s="163">
        <f>+'Tuition-2Yr'!S61+'State Appropriations-2Yr'!S61+'Local Appropriations-2Yr'!S61+'Fed Contracts Grnts-2Yr'!S61+'Other Contracts Grnts-2Yr'!S61+'Investment Income-2Yr'!S61+'All Other E&amp;G-2Yr'!S61</f>
        <v>68539.887000000002</v>
      </c>
      <c r="T61" s="163">
        <f>+'Tuition-2Yr'!T61+'State Appropriations-2Yr'!T61+'Local Appropriations-2Yr'!T61+'Fed Contracts Grnts-2Yr'!T61+'Other Contracts Grnts-2Yr'!T61+'Investment Income-2Yr'!T61+'All Other E&amp;G-2Yr'!T61</f>
        <v>74636.877000000008</v>
      </c>
      <c r="U61" s="163">
        <f>+'Tuition-2Yr'!U61+'State Appropriations-2Yr'!U61+'Local Appropriations-2Yr'!U61+'Fed Contracts Grnts-2Yr'!U61+'Other Contracts Grnts-2Yr'!U61+'Investment Income-2Yr'!U61+'All Other E&amp;G-2Yr'!U61</f>
        <v>72377.593999999997</v>
      </c>
      <c r="V61" s="163">
        <f>+'Tuition-2Yr'!V61+'State Appropriations-2Yr'!V61+'Local Appropriations-2Yr'!V61+'Fed Contracts Grnts-2Yr'!V61+'Other Contracts Grnts-2Yr'!V61+'Investment Income-2Yr'!V61+'All Other E&amp;G-2Yr'!V61</f>
        <v>76872.830999999991</v>
      </c>
      <c r="W61" s="163">
        <f>+'Tuition-2Yr'!W61+'State Appropriations-2Yr'!W61+'Local Appropriations-2Yr'!W61+'Fed Contracts Grnts-2Yr'!W61+'Other Contracts Grnts-2Yr'!W61+'Investment Income-2Yr'!W61+'All Other E&amp;G-2Yr'!W61</f>
        <v>86714.111000000004</v>
      </c>
      <c r="X61" s="163">
        <f>+'Tuition-2Yr'!X61+'State Appropriations-2Yr'!X61+'Local Appropriations-2Yr'!X61+'Fed Contracts Grnts-2Yr'!X61+'Other Contracts Grnts-2Yr'!X61+'Investment Income-2Yr'!X61+'All Other E&amp;G-2Yr'!X61</f>
        <v>85215.668999999994</v>
      </c>
      <c r="Y61" s="163">
        <f>+'Tuition-2Yr'!Y61+'State Appropriations-2Yr'!Y61+'Local Appropriations-2Yr'!Y61+'Fed Contracts Grnts-2Yr'!Y61+'Other Contracts Grnts-2Yr'!Y61+'Investment Income-2Yr'!Y61+'All Other E&amp;G-2Yr'!Y61</f>
        <v>90988.959000000003</v>
      </c>
      <c r="Z61" s="163">
        <f>+'Tuition-2Yr'!Z61+'State Appropriations-2Yr'!Z61+'Local Appropriations-2Yr'!Z61+'Fed Contracts Grnts-2Yr'!Z61+'Other Contracts Grnts-2Yr'!Z61+'Investment Income-2Yr'!Z61+'All Other E&amp;G-2Yr'!Z61</f>
        <v>98502.294999999998</v>
      </c>
      <c r="AA61" s="163">
        <f>+'Tuition-2Yr'!AA61+'State Appropriations-2Yr'!AA61+'Local Appropriations-2Yr'!AA61+'Fed Contracts Grnts-2Yr'!AA61+'Other Contracts Grnts-2Yr'!AA61+'Investment Income-2Yr'!AA61+'All Other E&amp;G-2Yr'!AA61</f>
        <v>111734.29800000001</v>
      </c>
      <c r="AB61" s="163">
        <f>+'Tuition-2Yr'!AB61+'State Appropriations-2Yr'!AB61+'Local Appropriations-2Yr'!AB61+'Fed Contracts Grnts-2Yr'!AB61+'Other Contracts Grnts-2Yr'!AB61+'Investment Income-2Yr'!AB61+'All Other E&amp;G-2Yr'!AB61</f>
        <v>116922.364</v>
      </c>
      <c r="AC61" s="163">
        <f>+'Tuition-2Yr'!AC61+'State Appropriations-2Yr'!AC61+'Local Appropriations-2Yr'!AC61+'Fed Contracts Grnts-2Yr'!AC61+'Other Contracts Grnts-2Yr'!AC61+'Investment Income-2Yr'!AC61+'All Other E&amp;G-2Yr'!AC61</f>
        <v>128954</v>
      </c>
      <c r="AD61" s="163">
        <f>+'Tuition-2Yr'!AD61+'State Appropriations-2Yr'!AD61+'Local Appropriations-2Yr'!AD61+'Fed Contracts Grnts-2Yr'!AD61+'Other Contracts Grnts-2Yr'!AD61+'Investment Income-2Yr'!AD61+'All Other E&amp;G-2Yr'!AD61</f>
        <v>138522.625</v>
      </c>
      <c r="AE61" s="163">
        <f>+'Tuition-2Yr'!AE61+'State Appropriations-2Yr'!AE61+'Local Appropriations-2Yr'!AE61+'Fed Contracts Grnts-2Yr'!AE61+'Other Contracts Grnts-2Yr'!AE61+'Investment Income-2Yr'!AE61+'All Other E&amp;G-2Yr'!AE61</f>
        <v>137348.83000000002</v>
      </c>
      <c r="AF61" s="163">
        <f>+'Tuition-2Yr'!AF61+'State Appropriations-2Yr'!AF61+'Local Appropriations-2Yr'!AF61+'Fed Contracts Grnts-2Yr'!AF61+'Other Contracts Grnts-2Yr'!AF61+'Investment Income-2Yr'!AF61+'All Other E&amp;G-2Yr'!AF61</f>
        <v>137500.23400000003</v>
      </c>
      <c r="AG61" s="163">
        <f>+'Tuition-2Yr'!AG61+'State Appropriations-2Yr'!AG61+'Local Appropriations-2Yr'!AG61+'Fed Contracts Grnts-2Yr'!AG61+'Other Contracts Grnts-2Yr'!AG61+'Investment Income-2Yr'!AG61+'All Other E&amp;G-2Yr'!AG61</f>
        <v>136159.93299999999</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c r="HC61" s="20"/>
      <c r="HD61" s="20"/>
      <c r="HE61" s="20"/>
      <c r="HF61" s="20"/>
    </row>
    <row r="62" spans="1:214" s="65" customFormat="1" ht="12.75" customHeight="1">
      <c r="A62" s="94" t="s">
        <v>138</v>
      </c>
      <c r="B62" s="164">
        <f>+'Tuition-2Yr'!B62+'State Appropriations-2Yr'!B62+'Local Appropriations-2Yr'!B62+'Fed Contracts Grnts-2Yr'!B62+'Other Contracts Grnts-2Yr'!B62+'Investment Income-2Yr'!B62+'All Other E&amp;G-2Yr'!B62</f>
        <v>0</v>
      </c>
      <c r="C62" s="164">
        <f>+'Tuition-2Yr'!C62+'State Appropriations-2Yr'!C62+'Local Appropriations-2Yr'!C62+'Fed Contracts Grnts-2Yr'!C62+'Other Contracts Grnts-2Yr'!C62+'Investment Income-2Yr'!C62+'All Other E&amp;G-2Yr'!C62</f>
        <v>0</v>
      </c>
      <c r="D62" s="164">
        <f>+'Tuition-2Yr'!D62+'State Appropriations-2Yr'!D62+'Local Appropriations-2Yr'!D62+'Fed Contracts Grnts-2Yr'!D62+'Other Contracts Grnts-2Yr'!D62+'Investment Income-2Yr'!D62+'All Other E&amp;G-2Yr'!D62</f>
        <v>0</v>
      </c>
      <c r="E62" s="164">
        <f>+'Tuition-2Yr'!E62+'State Appropriations-2Yr'!E62+'Local Appropriations-2Yr'!E62+'Fed Contracts Grnts-2Yr'!E62+'Other Contracts Grnts-2Yr'!E62+'Investment Income-2Yr'!E62+'All Other E&amp;G-2Yr'!E62</f>
        <v>0</v>
      </c>
      <c r="F62" s="164">
        <f>+'Tuition-2Yr'!F62+'State Appropriations-2Yr'!F62+'Local Appropriations-2Yr'!F62+'Fed Contracts Grnts-2Yr'!F62+'Other Contracts Grnts-2Yr'!F62+'Investment Income-2Yr'!F62+'All Other E&amp;G-2Yr'!F62</f>
        <v>0</v>
      </c>
      <c r="G62" s="164">
        <f>+'Tuition-2Yr'!G62+'State Appropriations-2Yr'!G62+'Local Appropriations-2Yr'!G62+'Fed Contracts Grnts-2Yr'!G62+'Other Contracts Grnts-2Yr'!G62+'Investment Income-2Yr'!G62+'All Other E&amp;G-2Yr'!G62</f>
        <v>0</v>
      </c>
      <c r="H62" s="164">
        <f>+'Tuition-2Yr'!H62+'State Appropriations-2Yr'!H62+'Local Appropriations-2Yr'!H62+'Fed Contracts Grnts-2Yr'!H62+'Other Contracts Grnts-2Yr'!H62+'Investment Income-2Yr'!H62+'All Other E&amp;G-2Yr'!H62</f>
        <v>0</v>
      </c>
      <c r="I62" s="164">
        <f>+'Tuition-2Yr'!I62+'State Appropriations-2Yr'!I62+'Local Appropriations-2Yr'!I62+'Fed Contracts Grnts-2Yr'!I62+'Other Contracts Grnts-2Yr'!I62+'Investment Income-2Yr'!I62+'All Other E&amp;G-2Yr'!I62</f>
        <v>0</v>
      </c>
      <c r="J62" s="164">
        <f>+'Tuition-2Yr'!J62+'State Appropriations-2Yr'!J62+'Local Appropriations-2Yr'!J62+'Fed Contracts Grnts-2Yr'!J62+'Other Contracts Grnts-2Yr'!J62+'Investment Income-2Yr'!J62+'All Other E&amp;G-2Yr'!J62</f>
        <v>18343.902000000002</v>
      </c>
      <c r="K62" s="164">
        <f>+'Tuition-2Yr'!K62+'State Appropriations-2Yr'!K62+'Local Appropriations-2Yr'!K62+'Fed Contracts Grnts-2Yr'!K62+'Other Contracts Grnts-2Yr'!K62+'Investment Income-2Yr'!K62+'All Other E&amp;G-2Yr'!K62</f>
        <v>0</v>
      </c>
      <c r="L62" s="164">
        <f>+'Tuition-2Yr'!L62+'State Appropriations-2Yr'!L62+'Local Appropriations-2Yr'!L62+'Fed Contracts Grnts-2Yr'!L62+'Other Contracts Grnts-2Yr'!L62+'Investment Income-2Yr'!L62+'All Other E&amp;G-2Yr'!L62</f>
        <v>0</v>
      </c>
      <c r="M62" s="164">
        <f>+'Tuition-2Yr'!M62+'State Appropriations-2Yr'!M62+'Local Appropriations-2Yr'!M62+'Fed Contracts Grnts-2Yr'!M62+'Other Contracts Grnts-2Yr'!M62+'Investment Income-2Yr'!M62+'All Other E&amp;G-2Yr'!M62</f>
        <v>11627.577000000001</v>
      </c>
      <c r="N62" s="164">
        <f>+'Tuition-2Yr'!N62+'State Appropriations-2Yr'!N62+'Local Appropriations-2Yr'!N62+'Fed Contracts Grnts-2Yr'!N62+'Other Contracts Grnts-2Yr'!N62+'Investment Income-2Yr'!N62+'All Other E&amp;G-2Yr'!N62</f>
        <v>0</v>
      </c>
      <c r="O62" s="164">
        <f>+'Tuition-2Yr'!O62+'State Appropriations-2Yr'!O62+'Local Appropriations-2Yr'!O62+'Fed Contracts Grnts-2Yr'!O62+'Other Contracts Grnts-2Yr'!O62+'Investment Income-2Yr'!O62+'All Other E&amp;G-2Yr'!O62</f>
        <v>13113.904999999999</v>
      </c>
      <c r="P62" s="164">
        <f>+'Tuition-2Yr'!P62+'State Appropriations-2Yr'!P62+'Local Appropriations-2Yr'!P62+'Fed Contracts Grnts-2Yr'!P62+'Other Contracts Grnts-2Yr'!P62+'Investment Income-2Yr'!P62+'All Other E&amp;G-2Yr'!P62</f>
        <v>0</v>
      </c>
      <c r="Q62" s="164">
        <f>+'Tuition-2Yr'!Q62+'State Appropriations-2Yr'!Q62+'Local Appropriations-2Yr'!Q62+'Fed Contracts Grnts-2Yr'!Q62+'Other Contracts Grnts-2Yr'!Q62+'Investment Income-2Yr'!Q62+'All Other E&amp;G-2Yr'!Q62</f>
        <v>0</v>
      </c>
      <c r="R62" s="164">
        <f>+'Tuition-2Yr'!R62+'State Appropriations-2Yr'!R62+'Local Appropriations-2Yr'!R62+'Fed Contracts Grnts-2Yr'!R62+'Other Contracts Grnts-2Yr'!R62+'Investment Income-2Yr'!R62+'All Other E&amp;G-2Yr'!R62</f>
        <v>15197.29</v>
      </c>
      <c r="S62" s="164">
        <f>+'Tuition-2Yr'!S62+'State Appropriations-2Yr'!S62+'Local Appropriations-2Yr'!S62+'Fed Contracts Grnts-2Yr'!S62+'Other Contracts Grnts-2Yr'!S62+'Investment Income-2Yr'!S62+'All Other E&amp;G-2Yr'!S62</f>
        <v>17186.483</v>
      </c>
      <c r="T62" s="164">
        <f>+'Tuition-2Yr'!T62+'State Appropriations-2Yr'!T62+'Local Appropriations-2Yr'!T62+'Fed Contracts Grnts-2Yr'!T62+'Other Contracts Grnts-2Yr'!T62+'Investment Income-2Yr'!T62+'All Other E&amp;G-2Yr'!T62</f>
        <v>20252.958999999999</v>
      </c>
      <c r="U62" s="164">
        <f>+'Tuition-2Yr'!U62+'State Appropriations-2Yr'!U62+'Local Appropriations-2Yr'!U62+'Fed Contracts Grnts-2Yr'!U62+'Other Contracts Grnts-2Yr'!U62+'Investment Income-2Yr'!U62+'All Other E&amp;G-2Yr'!U62</f>
        <v>19603.701000000001</v>
      </c>
      <c r="V62" s="164">
        <f>+'Tuition-2Yr'!V62+'State Appropriations-2Yr'!V62+'Local Appropriations-2Yr'!V62+'Fed Contracts Grnts-2Yr'!V62+'Other Contracts Grnts-2Yr'!V62+'Investment Income-2Yr'!V62+'All Other E&amp;G-2Yr'!V62</f>
        <v>23253.525999999998</v>
      </c>
      <c r="W62" s="164">
        <f>+'Tuition-2Yr'!W62+'State Appropriations-2Yr'!W62+'Local Appropriations-2Yr'!W62+'Fed Contracts Grnts-2Yr'!W62+'Other Contracts Grnts-2Yr'!W62+'Investment Income-2Yr'!W62+'All Other E&amp;G-2Yr'!W62</f>
        <v>27653.841</v>
      </c>
      <c r="X62" s="164">
        <f>+'Tuition-2Yr'!X62+'State Appropriations-2Yr'!X62+'Local Appropriations-2Yr'!X62+'Fed Contracts Grnts-2Yr'!X62+'Other Contracts Grnts-2Yr'!X62+'Investment Income-2Yr'!X62+'All Other E&amp;G-2Yr'!X62</f>
        <v>23662.178</v>
      </c>
      <c r="Y62" s="164">
        <f>+'Tuition-2Yr'!Y62+'State Appropriations-2Yr'!Y62+'Local Appropriations-2Yr'!Y62+'Fed Contracts Grnts-2Yr'!Y62+'Other Contracts Grnts-2Yr'!Y62+'Investment Income-2Yr'!Y62+'All Other E&amp;G-2Yr'!Y62</f>
        <v>25122.591</v>
      </c>
      <c r="Z62" s="164">
        <f>+'Tuition-2Yr'!Z62+'State Appropriations-2Yr'!Z62+'Local Appropriations-2Yr'!Z62+'Fed Contracts Grnts-2Yr'!Z62+'Other Contracts Grnts-2Yr'!Z62+'Investment Income-2Yr'!Z62+'All Other E&amp;G-2Yr'!Z62</f>
        <v>26447.005999999998</v>
      </c>
      <c r="AA62" s="164">
        <f>+'Tuition-2Yr'!AA62+'State Appropriations-2Yr'!AA62+'Local Appropriations-2Yr'!AA62+'Fed Contracts Grnts-2Yr'!AA62+'Other Contracts Grnts-2Yr'!AA62+'Investment Income-2Yr'!AA62+'All Other E&amp;G-2Yr'!AA62</f>
        <v>65875.201000000001</v>
      </c>
      <c r="AB62" s="164">
        <f>+'Tuition-2Yr'!AB62+'State Appropriations-2Yr'!AB62+'Local Appropriations-2Yr'!AB62+'Fed Contracts Grnts-2Yr'!AB62+'Other Contracts Grnts-2Yr'!AB62+'Investment Income-2Yr'!AB62+'All Other E&amp;G-2Yr'!AB62</f>
        <v>40158.886999999995</v>
      </c>
      <c r="AC62" s="164">
        <f>+'Tuition-2Yr'!AC62+'State Appropriations-2Yr'!AC62+'Local Appropriations-2Yr'!AC62+'Fed Contracts Grnts-2Yr'!AC62+'Other Contracts Grnts-2Yr'!AC62+'Investment Income-2Yr'!AC62+'All Other E&amp;G-2Yr'!AC62</f>
        <v>44574</v>
      </c>
      <c r="AD62" s="164">
        <f>+'Tuition-2Yr'!AD62+'State Appropriations-2Yr'!AD62+'Local Appropriations-2Yr'!AD62+'Fed Contracts Grnts-2Yr'!AD62+'Other Contracts Grnts-2Yr'!AD62+'Investment Income-2Yr'!AD62+'All Other E&amp;G-2Yr'!AD62</f>
        <v>43083.341999999997</v>
      </c>
      <c r="AE62" s="164">
        <f>+'Tuition-2Yr'!AE62+'State Appropriations-2Yr'!AE62+'Local Appropriations-2Yr'!AE62+'Fed Contracts Grnts-2Yr'!AE62+'Other Contracts Grnts-2Yr'!AE62+'Investment Income-2Yr'!AE62+'All Other E&amp;G-2Yr'!AE62</f>
        <v>81677.991999999998</v>
      </c>
      <c r="AF62" s="164">
        <f>+'Tuition-2Yr'!AF62+'State Appropriations-2Yr'!AF62+'Local Appropriations-2Yr'!AF62+'Fed Contracts Grnts-2Yr'!AF62+'Other Contracts Grnts-2Yr'!AF62+'Investment Income-2Yr'!AF62+'All Other E&amp;G-2Yr'!AF62</f>
        <v>79873.435999999987</v>
      </c>
      <c r="AG62" s="164">
        <f>+'Tuition-2Yr'!AG62+'State Appropriations-2Yr'!AG62+'Local Appropriations-2Yr'!AG62+'Fed Contracts Grnts-2Yr'!AG62+'Other Contracts Grnts-2Yr'!AG62+'Investment Income-2Yr'!AG62+'All Other E&amp;G-2Yr'!AG62</f>
        <v>82877.180000000008</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c r="HC62" s="20"/>
      <c r="HD62" s="20"/>
      <c r="HE62" s="20"/>
      <c r="HF62" s="20"/>
    </row>
    <row r="63" spans="1:214">
      <c r="A63" s="95" t="s">
        <v>114</v>
      </c>
      <c r="B63" s="165">
        <f>+'Tuition-2Yr'!B63+'State Appropriations-2Yr'!B63+'Local Appropriations-2Yr'!B63+'Fed Contracts Grnts-2Yr'!B63+'Other Contracts Grnts-2Yr'!B63+'Investment Income-2Yr'!B63+'All Other E&amp;G-2Yr'!B63</f>
        <v>0</v>
      </c>
      <c r="C63" s="165">
        <f>+'Tuition-2Yr'!C63+'State Appropriations-2Yr'!C63+'Local Appropriations-2Yr'!C63+'Fed Contracts Grnts-2Yr'!C63+'Other Contracts Grnts-2Yr'!C63+'Investment Income-2Yr'!C63+'All Other E&amp;G-2Yr'!C63</f>
        <v>0</v>
      </c>
      <c r="D63" s="165">
        <f>+'Tuition-2Yr'!D63+'State Appropriations-2Yr'!D63+'Local Appropriations-2Yr'!D63+'Fed Contracts Grnts-2Yr'!D63+'Other Contracts Grnts-2Yr'!D63+'Investment Income-2Yr'!D63+'All Other E&amp;G-2Yr'!D63</f>
        <v>0</v>
      </c>
      <c r="E63" s="165">
        <f>+'Tuition-2Yr'!E63+'State Appropriations-2Yr'!E63+'Local Appropriations-2Yr'!E63+'Fed Contracts Grnts-2Yr'!E63+'Other Contracts Grnts-2Yr'!E63+'Investment Income-2Yr'!E63+'All Other E&amp;G-2Yr'!E63</f>
        <v>0</v>
      </c>
      <c r="F63" s="165">
        <f>+'Tuition-2Yr'!F63+'State Appropriations-2Yr'!F63+'Local Appropriations-2Yr'!F63+'Fed Contracts Grnts-2Yr'!F63+'Other Contracts Grnts-2Yr'!F63+'Investment Income-2Yr'!F63+'All Other E&amp;G-2Yr'!F63</f>
        <v>0</v>
      </c>
      <c r="G63" s="165">
        <f>+'Tuition-2Yr'!G63+'State Appropriations-2Yr'!G63+'Local Appropriations-2Yr'!G63+'Fed Contracts Grnts-2Yr'!G63+'Other Contracts Grnts-2Yr'!G63+'Investment Income-2Yr'!G63+'All Other E&amp;G-2Yr'!G63</f>
        <v>0</v>
      </c>
      <c r="H63" s="165">
        <f>+'Tuition-2Yr'!H63+'State Appropriations-2Yr'!H63+'Local Appropriations-2Yr'!H63+'Fed Contracts Grnts-2Yr'!H63+'Other Contracts Grnts-2Yr'!H63+'Investment Income-2Yr'!H63+'All Other E&amp;G-2Yr'!H63</f>
        <v>0</v>
      </c>
      <c r="I63" s="165">
        <f>+'Tuition-2Yr'!I63+'State Appropriations-2Yr'!I63+'Local Appropriations-2Yr'!I63+'Fed Contracts Grnts-2Yr'!I63+'Other Contracts Grnts-2Yr'!I63+'Investment Income-2Yr'!I63+'All Other E&amp;G-2Yr'!I63</f>
        <v>0</v>
      </c>
      <c r="J63" s="165">
        <f>+'Tuition-2Yr'!J63+'State Appropriations-2Yr'!J63+'Local Appropriations-2Yr'!J63+'Fed Contracts Grnts-2Yr'!J63+'Other Contracts Grnts-2Yr'!J63+'Investment Income-2Yr'!J63+'All Other E&amp;G-2Yr'!J63</f>
        <v>0</v>
      </c>
      <c r="K63" s="165">
        <f>+'Tuition-2Yr'!K63+'State Appropriations-2Yr'!K63+'Local Appropriations-2Yr'!K63+'Fed Contracts Grnts-2Yr'!K63+'Other Contracts Grnts-2Yr'!K63+'Investment Income-2Yr'!K63+'All Other E&amp;G-2Yr'!K63</f>
        <v>0</v>
      </c>
      <c r="L63" s="165">
        <f>+'Tuition-2Yr'!L63+'State Appropriations-2Yr'!L63+'Local Appropriations-2Yr'!L63+'Fed Contracts Grnts-2Yr'!L63+'Other Contracts Grnts-2Yr'!L63+'Investment Income-2Yr'!L63+'All Other E&amp;G-2Yr'!L63</f>
        <v>0</v>
      </c>
      <c r="M63" s="165">
        <f>+'Tuition-2Yr'!M63+'State Appropriations-2Yr'!M63+'Local Appropriations-2Yr'!M63+'Fed Contracts Grnts-2Yr'!M63+'Other Contracts Grnts-2Yr'!M63+'Investment Income-2Yr'!M63+'All Other E&amp;G-2Yr'!M63</f>
        <v>0</v>
      </c>
      <c r="N63" s="165">
        <f>+'Tuition-2Yr'!N63+'State Appropriations-2Yr'!N63+'Local Appropriations-2Yr'!N63+'Fed Contracts Grnts-2Yr'!N63+'Other Contracts Grnts-2Yr'!N63+'Investment Income-2Yr'!N63+'All Other E&amp;G-2Yr'!N63</f>
        <v>0</v>
      </c>
      <c r="O63" s="165">
        <f>+'Tuition-2Yr'!O63+'State Appropriations-2Yr'!O63+'Local Appropriations-2Yr'!O63+'Fed Contracts Grnts-2Yr'!O63+'Other Contracts Grnts-2Yr'!O63+'Investment Income-2Yr'!O63+'All Other E&amp;G-2Yr'!O63</f>
        <v>0</v>
      </c>
      <c r="P63" s="165">
        <f>+'Tuition-2Yr'!P63+'State Appropriations-2Yr'!P63+'Local Appropriations-2Yr'!P63+'Fed Contracts Grnts-2Yr'!P63+'Other Contracts Grnts-2Yr'!P63+'Investment Income-2Yr'!P63+'All Other E&amp;G-2Yr'!P63</f>
        <v>0</v>
      </c>
      <c r="Q63" s="165">
        <f>+'Tuition-2Yr'!Q63+'State Appropriations-2Yr'!Q63+'Local Appropriations-2Yr'!Q63+'Fed Contracts Grnts-2Yr'!Q63+'Other Contracts Grnts-2Yr'!Q63+'Investment Income-2Yr'!Q63+'All Other E&amp;G-2Yr'!Q63</f>
        <v>0</v>
      </c>
      <c r="R63" s="165">
        <f>+'Tuition-2Yr'!R63+'State Appropriations-2Yr'!R63+'Local Appropriations-2Yr'!R63+'Fed Contracts Grnts-2Yr'!R63+'Other Contracts Grnts-2Yr'!R63+'Investment Income-2Yr'!R63+'All Other E&amp;G-2Yr'!R63</f>
        <v>0</v>
      </c>
      <c r="S63" s="165">
        <f>+'Tuition-2Yr'!S63+'State Appropriations-2Yr'!S63+'Local Appropriations-2Yr'!S63+'Fed Contracts Grnts-2Yr'!S63+'Other Contracts Grnts-2Yr'!S63+'Investment Income-2Yr'!S63+'All Other E&amp;G-2Yr'!S63</f>
        <v>0</v>
      </c>
      <c r="T63" s="165">
        <f>+'Tuition-2Yr'!T63+'State Appropriations-2Yr'!T63+'Local Appropriations-2Yr'!T63+'Fed Contracts Grnts-2Yr'!T63+'Other Contracts Grnts-2Yr'!T63+'Investment Income-2Yr'!T63+'All Other E&amp;G-2Yr'!T63</f>
        <v>0</v>
      </c>
      <c r="U63" s="165">
        <f>+'Tuition-2Yr'!U63+'State Appropriations-2Yr'!U63+'Local Appropriations-2Yr'!U63+'Fed Contracts Grnts-2Yr'!U63+'Other Contracts Grnts-2Yr'!U63+'Investment Income-2Yr'!U63+'All Other E&amp;G-2Yr'!U63</f>
        <v>0</v>
      </c>
      <c r="V63" s="165">
        <f>+'Tuition-2Yr'!V63+'State Appropriations-2Yr'!V63+'Local Appropriations-2Yr'!V63+'Fed Contracts Grnts-2Yr'!V63+'Other Contracts Grnts-2Yr'!V63+'Investment Income-2Yr'!V63+'All Other E&amp;G-2Yr'!V63</f>
        <v>0</v>
      </c>
      <c r="W63" s="165">
        <f>+'Tuition-2Yr'!W63+'State Appropriations-2Yr'!W63+'Local Appropriations-2Yr'!W63+'Fed Contracts Grnts-2Yr'!W63+'Other Contracts Grnts-2Yr'!W63+'Investment Income-2Yr'!W63+'All Other E&amp;G-2Yr'!W63</f>
        <v>0</v>
      </c>
      <c r="X63" s="165">
        <f>+'Tuition-2Yr'!X63+'State Appropriations-2Yr'!X63+'Local Appropriations-2Yr'!X63+'Fed Contracts Grnts-2Yr'!X63+'Other Contracts Grnts-2Yr'!X63+'Investment Income-2Yr'!X63+'All Other E&amp;G-2Yr'!X63</f>
        <v>0</v>
      </c>
      <c r="Y63" s="165">
        <f>+'Tuition-2Yr'!Y63+'State Appropriations-2Yr'!Y63+'Local Appropriations-2Yr'!Y63+'Fed Contracts Grnts-2Yr'!Y63+'Other Contracts Grnts-2Yr'!Y63+'Investment Income-2Yr'!Y63+'All Other E&amp;G-2Yr'!Y63</f>
        <v>0</v>
      </c>
      <c r="Z63" s="165">
        <f>+'Tuition-2Yr'!Z63+'State Appropriations-2Yr'!Z63+'Local Appropriations-2Yr'!Z63+'Fed Contracts Grnts-2Yr'!Z63+'Other Contracts Grnts-2Yr'!Z63+'Investment Income-2Yr'!Z63+'All Other E&amp;G-2Yr'!Z63</f>
        <v>0</v>
      </c>
      <c r="AA63" s="165">
        <f>+'Tuition-2Yr'!AA63+'State Appropriations-2Yr'!AA63+'Local Appropriations-2Yr'!AA63+'Fed Contracts Grnts-2Yr'!AA63+'Other Contracts Grnts-2Yr'!AA63+'Investment Income-2Yr'!AA63+'All Other E&amp;G-2Yr'!AA63</f>
        <v>0</v>
      </c>
      <c r="AB63" s="165">
        <f>+'Tuition-2Yr'!AB63+'State Appropriations-2Yr'!AB63+'Local Appropriations-2Yr'!AB63+'Fed Contracts Grnts-2Yr'!AB63+'Other Contracts Grnts-2Yr'!AB63+'Investment Income-2Yr'!AB63+'All Other E&amp;G-2Yr'!AB63</f>
        <v>0</v>
      </c>
      <c r="AC63" s="165">
        <f>+'Tuition-2Yr'!AC63+'State Appropriations-2Yr'!AC63+'Local Appropriations-2Yr'!AC63+'Fed Contracts Grnts-2Yr'!AC63+'Other Contracts Grnts-2Yr'!AC63+'Investment Income-2Yr'!AC63+'All Other E&amp;G-2Yr'!AC63</f>
        <v>0</v>
      </c>
      <c r="AD63" s="165">
        <f>+'Tuition-2Yr'!AD63+'State Appropriations-2Yr'!AD63+'Local Appropriations-2Yr'!AD63+'Fed Contracts Grnts-2Yr'!AD63+'Other Contracts Grnts-2Yr'!AD63+'Investment Income-2Yr'!AD63+'All Other E&amp;G-2Yr'!AD63</f>
        <v>0</v>
      </c>
      <c r="AE63" s="165">
        <f>+'Tuition-2Yr'!AE63+'State Appropriations-2Yr'!AE63+'Local Appropriations-2Yr'!AE63+'Fed Contracts Grnts-2Yr'!AE63+'Other Contracts Grnts-2Yr'!AE63+'Investment Income-2Yr'!AE63+'All Other E&amp;G-2Yr'!AE63</f>
        <v>0</v>
      </c>
      <c r="AF63" s="20"/>
      <c r="AG63" s="20"/>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c r="HC63" s="20"/>
      <c r="HD63" s="20"/>
      <c r="HE63" s="20"/>
      <c r="HF63" s="20"/>
    </row>
    <row r="64" spans="1:214"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c r="HC64" s="12"/>
      <c r="HD64" s="12"/>
      <c r="HE64" s="12"/>
      <c r="HF64" s="12"/>
    </row>
    <row r="65" spans="1:214" ht="12.75" customHeight="1">
      <c r="B65" s="5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c r="HC65" s="12"/>
      <c r="HD65" s="12"/>
      <c r="HE65" s="12"/>
      <c r="HF65" s="12"/>
    </row>
    <row r="66" spans="1:214" ht="12.75" customHeight="1">
      <c r="A66" s="12"/>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68"/>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c r="HC66" s="12"/>
      <c r="HD66" s="12"/>
      <c r="HE66" s="12"/>
      <c r="HF66" s="12"/>
    </row>
    <row r="67" spans="1:214" ht="12.75" customHeight="1">
      <c r="A67" s="12"/>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c r="HC67" s="12"/>
      <c r="HD67" s="12"/>
      <c r="HE67" s="12"/>
      <c r="HF67" s="12"/>
    </row>
    <row r="68" spans="1:214" ht="12.75" customHeight="1">
      <c r="A68" s="12"/>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c r="HC68" s="12"/>
      <c r="HD68" s="12"/>
      <c r="HE68" s="12"/>
      <c r="HF68" s="12"/>
    </row>
    <row r="69" spans="1:214" ht="12.75" customHeight="1">
      <c r="A69" s="12"/>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2"/>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c r="HC69" s="12"/>
      <c r="HD69" s="12"/>
      <c r="HE69" s="12"/>
      <c r="HF69" s="12"/>
    </row>
    <row r="70" spans="1:214" ht="12.75" customHeight="1">
      <c r="A70" s="12"/>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2"/>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c r="HC70" s="12"/>
      <c r="HD70" s="12"/>
      <c r="HE70" s="12"/>
      <c r="HF70" s="12"/>
    </row>
    <row r="71" spans="1:214" ht="12.75" customHeight="1">
      <c r="A71" s="12"/>
      <c r="B71" s="15"/>
      <c r="C71" s="15"/>
      <c r="D71" s="15"/>
      <c r="E71" s="15"/>
      <c r="F71" s="15"/>
      <c r="G71" s="15"/>
      <c r="H71" s="15"/>
      <c r="I71" s="15"/>
      <c r="J71" s="15"/>
      <c r="K71" s="15"/>
      <c r="L71" s="15"/>
      <c r="M71" s="15"/>
      <c r="N71" s="15"/>
      <c r="O71" s="15"/>
      <c r="P71" s="15"/>
      <c r="Q71" s="15"/>
      <c r="R71" s="15"/>
      <c r="S71" s="15"/>
      <c r="T71" s="15"/>
      <c r="U71" s="15"/>
      <c r="V71" s="15"/>
      <c r="W71" s="15"/>
      <c r="X71" s="15"/>
      <c r="Y71" s="15"/>
      <c r="Z71" s="15"/>
      <c r="AA71" s="15"/>
      <c r="AB71" s="15"/>
      <c r="AC71" s="12"/>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c r="HC71" s="12"/>
      <c r="HD71" s="12"/>
      <c r="HE71" s="12"/>
      <c r="HF71" s="12"/>
    </row>
    <row r="72" spans="1:214" ht="12.75" customHeight="1">
      <c r="A72" s="12"/>
      <c r="B72" s="15"/>
      <c r="C72" s="15"/>
      <c r="D72" s="15"/>
      <c r="E72" s="15"/>
      <c r="F72" s="15"/>
      <c r="G72" s="15"/>
      <c r="H72" s="15"/>
      <c r="I72" s="15"/>
      <c r="J72" s="15"/>
      <c r="K72" s="15"/>
      <c r="L72" s="15"/>
      <c r="M72" s="15"/>
      <c r="N72" s="15"/>
      <c r="O72" s="15"/>
      <c r="P72" s="15"/>
      <c r="Q72" s="15"/>
      <c r="R72" s="15"/>
      <c r="S72" s="15"/>
      <c r="T72" s="15"/>
      <c r="U72" s="15"/>
      <c r="V72" s="15"/>
      <c r="W72" s="15"/>
      <c r="X72" s="15"/>
      <c r="Y72" s="15"/>
      <c r="Z72" s="15"/>
      <c r="AA72" s="15"/>
      <c r="AB72" s="15"/>
      <c r="AC72" s="12"/>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c r="HC72" s="12"/>
      <c r="HD72" s="12"/>
      <c r="HE72" s="12"/>
      <c r="HF72" s="12"/>
    </row>
    <row r="73" spans="1:214" ht="12.75" customHeight="1">
      <c r="A73" s="12"/>
      <c r="B73" s="15"/>
      <c r="C73" s="15"/>
      <c r="D73" s="15"/>
      <c r="E73" s="15"/>
      <c r="F73" s="15"/>
      <c r="G73" s="15"/>
      <c r="H73" s="15"/>
      <c r="I73" s="15"/>
      <c r="J73" s="15"/>
      <c r="K73" s="15"/>
      <c r="L73" s="15"/>
      <c r="M73" s="15"/>
      <c r="N73" s="15"/>
      <c r="O73" s="15"/>
      <c r="P73" s="15"/>
      <c r="Q73" s="15"/>
      <c r="R73" s="15"/>
      <c r="S73" s="15"/>
      <c r="T73" s="15"/>
      <c r="U73" s="15"/>
      <c r="V73" s="15"/>
      <c r="W73" s="15"/>
      <c r="X73" s="15"/>
      <c r="Y73" s="15"/>
      <c r="Z73" s="15"/>
      <c r="AA73" s="15"/>
      <c r="AB73" s="15"/>
      <c r="AC73" s="12"/>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c r="HC73" s="12"/>
      <c r="HD73" s="12"/>
      <c r="HE73" s="12"/>
      <c r="HF73" s="12"/>
    </row>
    <row r="74" spans="1:214" ht="12.75" customHeight="1">
      <c r="A74" s="12"/>
      <c r="B74" s="15"/>
      <c r="C74" s="15"/>
      <c r="D74" s="15"/>
      <c r="E74" s="15"/>
      <c r="F74" s="15"/>
      <c r="G74" s="15"/>
      <c r="H74" s="15"/>
      <c r="I74" s="15"/>
      <c r="J74" s="15"/>
      <c r="K74" s="15"/>
      <c r="L74" s="15"/>
      <c r="M74" s="15"/>
      <c r="N74" s="15"/>
      <c r="O74" s="15"/>
      <c r="P74" s="15"/>
      <c r="Q74" s="15"/>
      <c r="R74" s="15"/>
      <c r="S74" s="15"/>
      <c r="T74" s="15"/>
      <c r="U74" s="15"/>
      <c r="V74" s="15"/>
      <c r="W74" s="15"/>
      <c r="X74" s="15"/>
      <c r="Y74" s="15"/>
      <c r="Z74" s="15"/>
      <c r="AA74" s="15"/>
      <c r="AB74" s="15"/>
      <c r="AC74" s="12"/>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c r="HC74" s="12"/>
      <c r="HD74" s="12"/>
      <c r="HE74" s="12"/>
      <c r="HF74" s="12"/>
    </row>
    <row r="75" spans="1:214" ht="12.75" customHeight="1">
      <c r="A75" s="12"/>
      <c r="B75" s="15"/>
      <c r="C75" s="15"/>
      <c r="D75" s="15"/>
      <c r="E75" s="15"/>
      <c r="F75" s="15"/>
      <c r="G75" s="15"/>
      <c r="H75" s="15"/>
      <c r="I75" s="15"/>
      <c r="J75" s="15"/>
      <c r="K75" s="15"/>
      <c r="L75" s="15"/>
      <c r="M75" s="15"/>
      <c r="N75" s="15"/>
      <c r="O75" s="15"/>
      <c r="P75" s="15"/>
      <c r="Q75" s="15"/>
      <c r="R75" s="15"/>
      <c r="S75" s="15"/>
      <c r="T75" s="15"/>
      <c r="U75" s="15"/>
      <c r="V75" s="15"/>
      <c r="W75" s="15"/>
      <c r="X75" s="15"/>
      <c r="Y75" s="15"/>
      <c r="Z75" s="15"/>
      <c r="AA75" s="15"/>
      <c r="AB75" s="15"/>
      <c r="AC75" s="12"/>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c r="HC75" s="12"/>
      <c r="HD75" s="12"/>
      <c r="HE75" s="12"/>
      <c r="HF75" s="12"/>
    </row>
    <row r="76" spans="1:214" ht="12.75" customHeight="1">
      <c r="A76" s="12"/>
      <c r="B76" s="15"/>
      <c r="C76" s="15"/>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2"/>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c r="HC76" s="12"/>
      <c r="HD76" s="12"/>
      <c r="HE76" s="12"/>
      <c r="HF76" s="12"/>
    </row>
    <row r="77" spans="1:214" ht="12.75" customHeight="1">
      <c r="A77" s="12"/>
      <c r="B77" s="15"/>
      <c r="C77" s="15"/>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2"/>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c r="HC77" s="12"/>
      <c r="HD77" s="12"/>
      <c r="HE77" s="12"/>
      <c r="HF77" s="12"/>
    </row>
    <row r="78" spans="1:214" ht="12.75" customHeight="1">
      <c r="A78" s="12"/>
      <c r="B78" s="15"/>
      <c r="C78" s="15"/>
      <c r="D78" s="15"/>
      <c r="E78" s="15"/>
      <c r="F78" s="15"/>
      <c r="G78" s="15"/>
      <c r="H78" s="15"/>
      <c r="I78" s="15"/>
      <c r="J78" s="15"/>
      <c r="K78" s="15"/>
      <c r="L78" s="15"/>
      <c r="M78" s="15"/>
      <c r="N78" s="15"/>
      <c r="O78" s="15"/>
      <c r="P78" s="15"/>
      <c r="Q78" s="15"/>
      <c r="R78" s="15"/>
      <c r="S78" s="15"/>
      <c r="T78" s="15"/>
      <c r="U78" s="15"/>
      <c r="V78" s="15"/>
      <c r="W78" s="15"/>
      <c r="X78" s="15"/>
      <c r="Y78" s="15"/>
      <c r="Z78" s="15"/>
      <c r="AA78" s="15"/>
      <c r="AB78" s="15"/>
      <c r="AC78" s="12"/>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c r="HC78" s="12"/>
      <c r="HD78" s="12"/>
      <c r="HE78" s="12"/>
      <c r="HF78" s="12"/>
    </row>
    <row r="79" spans="1:214" ht="12.75" customHeight="1">
      <c r="A79" s="12"/>
      <c r="B79" s="15"/>
      <c r="C79" s="15"/>
      <c r="D79" s="15"/>
      <c r="E79" s="15"/>
      <c r="F79" s="15"/>
      <c r="G79" s="15"/>
      <c r="H79" s="15"/>
      <c r="I79" s="15"/>
      <c r="J79" s="15"/>
      <c r="K79" s="15"/>
      <c r="L79" s="15"/>
      <c r="M79" s="15"/>
      <c r="N79" s="15"/>
      <c r="O79" s="15"/>
      <c r="P79" s="15"/>
      <c r="Q79" s="15"/>
      <c r="R79" s="15"/>
      <c r="S79" s="15"/>
      <c r="T79" s="15"/>
      <c r="U79" s="15"/>
      <c r="V79" s="15"/>
      <c r="W79" s="15"/>
      <c r="X79" s="15"/>
      <c r="Y79" s="15"/>
      <c r="Z79" s="15"/>
      <c r="AA79" s="15"/>
      <c r="AB79" s="15"/>
      <c r="AC79" s="12"/>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c r="HC79" s="12"/>
      <c r="HD79" s="12"/>
      <c r="HE79" s="12"/>
      <c r="HF79" s="12"/>
    </row>
    <row r="80" spans="1:214" ht="12.75" customHeight="1">
      <c r="A80" s="12"/>
      <c r="B80" s="15"/>
      <c r="C80" s="15"/>
      <c r="D80" s="15"/>
      <c r="E80" s="15"/>
      <c r="F80" s="15"/>
      <c r="G80" s="15"/>
      <c r="H80" s="15"/>
      <c r="I80" s="15"/>
      <c r="J80" s="15"/>
      <c r="K80" s="15"/>
      <c r="L80" s="15"/>
      <c r="M80" s="15"/>
      <c r="N80" s="15"/>
      <c r="O80" s="15"/>
      <c r="P80" s="15"/>
      <c r="Q80" s="15"/>
      <c r="R80" s="15"/>
      <c r="S80" s="15"/>
      <c r="T80" s="15"/>
      <c r="U80" s="15"/>
      <c r="V80" s="15"/>
      <c r="W80" s="15"/>
      <c r="X80" s="15"/>
      <c r="Y80" s="15"/>
      <c r="Z80" s="15"/>
      <c r="AA80" s="15"/>
      <c r="AB80" s="15"/>
      <c r="AC80" s="12"/>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c r="HC80" s="12"/>
      <c r="HD80" s="12"/>
      <c r="HE80" s="12"/>
      <c r="HF80" s="12"/>
    </row>
    <row r="81" spans="1:214" ht="9.9499999999999993" customHeight="1">
      <c r="A81" s="12"/>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2"/>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c r="HC81" s="12"/>
      <c r="HD81" s="12"/>
      <c r="HE81" s="12"/>
      <c r="HF81" s="12"/>
    </row>
    <row r="82" spans="1:214" ht="9.9499999999999993" customHeight="1">
      <c r="A82" s="12"/>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2"/>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2"/>
      <c r="GU82" s="12"/>
      <c r="GV82" s="12"/>
      <c r="GW82" s="12"/>
      <c r="GX82" s="19"/>
      <c r="GY82" s="19"/>
      <c r="GZ82" s="19"/>
      <c r="HA82" s="19"/>
      <c r="HB82" s="19"/>
      <c r="HC82" s="19"/>
      <c r="HD82" s="19"/>
      <c r="HE82" s="19"/>
      <c r="HF82" s="19"/>
    </row>
    <row r="83" spans="1:214">
      <c r="A83" s="12"/>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2"/>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2"/>
      <c r="GS83" s="12"/>
      <c r="GT83" s="12"/>
      <c r="GU83" s="12"/>
      <c r="GV83" s="19"/>
      <c r="GW83" s="19"/>
      <c r="GX83" s="19"/>
      <c r="GY83" s="19"/>
      <c r="GZ83" s="19"/>
      <c r="HA83" s="19"/>
      <c r="HB83" s="19"/>
      <c r="HC83" s="19"/>
      <c r="HD83" s="19"/>
      <c r="HE83" s="19"/>
      <c r="HF83" s="19"/>
    </row>
    <row r="84" spans="1:214">
      <c r="A84" s="12"/>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2"/>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2"/>
      <c r="GS84" s="12"/>
      <c r="GT84" s="12"/>
      <c r="GU84" s="12"/>
      <c r="GV84" s="19"/>
      <c r="GW84" s="19"/>
      <c r="GX84" s="19"/>
      <c r="GY84" s="19"/>
      <c r="GZ84" s="19"/>
      <c r="HA84" s="19"/>
      <c r="HB84" s="19"/>
      <c r="HC84" s="19"/>
      <c r="HD84" s="19"/>
      <c r="HE84" s="19"/>
      <c r="HF84" s="19"/>
    </row>
    <row r="85" spans="1:214">
      <c r="A85" s="12"/>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2"/>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2"/>
      <c r="GU85" s="12"/>
      <c r="GV85" s="12"/>
      <c r="GW85" s="12"/>
      <c r="GX85" s="19"/>
      <c r="GY85" s="19"/>
      <c r="GZ85" s="19"/>
      <c r="HA85" s="19"/>
      <c r="HB85" s="19"/>
      <c r="HC85" s="19"/>
      <c r="HD85" s="19"/>
      <c r="HE85" s="12"/>
      <c r="HF85" s="12"/>
    </row>
    <row r="86" spans="1:214">
      <c r="AC86" s="12"/>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2"/>
      <c r="GU86" s="12"/>
      <c r="GV86" s="12"/>
      <c r="GW86" s="12"/>
      <c r="GX86" s="19"/>
      <c r="GY86" s="19"/>
      <c r="GZ86" s="19"/>
      <c r="HA86" s="19"/>
      <c r="HB86" s="19"/>
      <c r="HC86" s="19"/>
      <c r="HD86" s="19"/>
      <c r="HE86" s="12"/>
      <c r="HF86" s="12"/>
    </row>
    <row r="87" spans="1:214">
      <c r="AC87" s="12"/>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2"/>
      <c r="GU87" s="12"/>
      <c r="GV87" s="12"/>
      <c r="GW87" s="12"/>
      <c r="GX87" s="19"/>
      <c r="GY87" s="19"/>
      <c r="GZ87" s="19"/>
      <c r="HA87" s="19"/>
      <c r="HB87" s="19"/>
      <c r="HC87" s="19"/>
      <c r="HD87" s="19"/>
      <c r="HE87" s="12"/>
      <c r="HF87" s="12"/>
    </row>
    <row r="88" spans="1:214">
      <c r="AC88" s="12"/>
      <c r="AD88" s="12"/>
      <c r="AE88" s="12"/>
      <c r="AF88" s="12"/>
      <c r="AG88" s="12"/>
    </row>
  </sheetData>
  <phoneticPr fontId="9" type="noConversion"/>
  <pageMargins left="0.75" right="0.75" top="1" bottom="1" header="0.5" footer="0.5"/>
  <pageSetup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3">
    <tabColor indexed="62"/>
  </sheetPr>
  <dimension ref="A1:HB92"/>
  <sheetViews>
    <sheetView zoomScale="90" zoomScaleNormal="90" workbookViewId="0">
      <pane xSplit="1" ySplit="3" topLeftCell="V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13.85546875" style="13" customWidth="1"/>
    <col min="23" max="28" width="13.85546875" style="53" customWidth="1"/>
    <col min="29" max="29" width="15.5703125" style="53" bestFit="1" customWidth="1"/>
    <col min="30" max="30" width="11.5703125" style="13" bestFit="1" customWidth="1"/>
    <col min="31" max="32" width="14.28515625" style="13" bestFit="1" customWidth="1"/>
    <col min="33" max="33" width="14.285156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90</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2787763+3631276</f>
        <v>6419039</v>
      </c>
      <c r="C4" s="86">
        <f>2969199+3880282</f>
        <v>6849481</v>
      </c>
      <c r="D4" s="86">
        <f>3283112+4256604</f>
        <v>7539716</v>
      </c>
      <c r="E4" s="86"/>
      <c r="F4" s="86"/>
      <c r="G4" s="86"/>
      <c r="H4" s="86"/>
      <c r="I4" s="86">
        <v>12188448.927999999</v>
      </c>
      <c r="J4" s="100">
        <f t="shared" ref="J4" si="0">+J5+J23+J38+J52+J63</f>
        <v>13605051.145</v>
      </c>
      <c r="K4" s="110">
        <f>(($M$4-$J$4)/3)+J4</f>
        <v>14781963.446333334</v>
      </c>
      <c r="L4" s="110">
        <f>(($M$4-$J$4)/3)+K4</f>
        <v>15958875.747666668</v>
      </c>
      <c r="M4" s="100">
        <f t="shared" ref="M4" si="1">+M5+M23+M38+M52+M63</f>
        <v>17135788.049000002</v>
      </c>
      <c r="N4" s="110">
        <f>((O4-M4)/2)+M4</f>
        <v>19477554.63775</v>
      </c>
      <c r="O4" s="100">
        <f t="shared" ref="O4" si="2">+O5+O23+O38+O52+O63</f>
        <v>21819321.226500001</v>
      </c>
      <c r="P4" s="86"/>
      <c r="Q4" s="86"/>
      <c r="R4" s="100">
        <f t="shared" ref="R4:AA4" si="3">+R5+R23+R38+R52+R63</f>
        <v>23024000.831</v>
      </c>
      <c r="S4" s="100">
        <f t="shared" si="3"/>
        <v>24294144.561000001</v>
      </c>
      <c r="T4" s="111">
        <f t="shared" si="3"/>
        <v>26208286.563000001</v>
      </c>
      <c r="U4" s="100">
        <f t="shared" si="3"/>
        <v>23549639.512000002</v>
      </c>
      <c r="V4" s="100">
        <f t="shared" si="3"/>
        <v>26877101.342999998</v>
      </c>
      <c r="W4" s="100">
        <f t="shared" si="3"/>
        <v>37325185.089000002</v>
      </c>
      <c r="X4" s="100">
        <f t="shared" si="3"/>
        <v>32699882.618999999</v>
      </c>
      <c r="Y4" s="100">
        <f t="shared" si="3"/>
        <v>35130461.035999998</v>
      </c>
      <c r="Z4" s="100">
        <f t="shared" si="3"/>
        <v>37827023.851000004</v>
      </c>
      <c r="AA4" s="100">
        <f t="shared" si="3"/>
        <v>49815011.791999996</v>
      </c>
      <c r="AB4" s="100">
        <f t="shared" ref="AB4:AC4" si="4">+AB5+AB23+AB38+AB52+AB63</f>
        <v>56325388.692999996</v>
      </c>
      <c r="AC4" s="100">
        <f t="shared" si="4"/>
        <v>62053948</v>
      </c>
      <c r="AD4" s="100">
        <f t="shared" ref="AD4:AE4" si="5">+AD5+AD23+AD38+AD52+AD63</f>
        <v>67714338.951000005</v>
      </c>
      <c r="AE4" s="100">
        <f t="shared" si="5"/>
        <v>76427090.887999997</v>
      </c>
      <c r="AF4" s="100">
        <f t="shared" ref="AF4:AG4" si="6">+AF5+AF23+AF38+AF52+AF63</f>
        <v>73986110.205000013</v>
      </c>
      <c r="AG4" s="100">
        <f t="shared" si="6"/>
        <v>78070646.614999995</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J5" s="101">
        <f t="shared" ref="J5" si="7">SUM(J7:J22)</f>
        <v>4045345.639</v>
      </c>
      <c r="K5" s="12"/>
      <c r="L5" s="12"/>
      <c r="M5" s="101">
        <f t="shared" ref="M5" si="8">SUM(M7:M22)</f>
        <v>5169379.7260000007</v>
      </c>
      <c r="N5" s="12"/>
      <c r="O5" s="101">
        <f t="shared" ref="O5" si="9">SUM(O7:O22)</f>
        <v>6756616.4893500004</v>
      </c>
      <c r="P5" s="12"/>
      <c r="Q5" s="12"/>
      <c r="R5" s="101">
        <f t="shared" ref="R5:AA5" si="10">SUM(R7:R22)</f>
        <v>7301373.7639999995</v>
      </c>
      <c r="S5" s="101">
        <f t="shared" si="10"/>
        <v>7818092.9270000011</v>
      </c>
      <c r="T5" s="114">
        <f t="shared" si="10"/>
        <v>8972413.0540000014</v>
      </c>
      <c r="U5" s="101">
        <f t="shared" si="10"/>
        <v>8302586.4140000008</v>
      </c>
      <c r="V5" s="101">
        <f t="shared" si="10"/>
        <v>9378009.4100000001</v>
      </c>
      <c r="W5" s="101">
        <f t="shared" si="10"/>
        <v>13114550.909000002</v>
      </c>
      <c r="X5" s="101">
        <f t="shared" si="10"/>
        <v>11357385.085999999</v>
      </c>
      <c r="Y5" s="101">
        <f t="shared" si="10"/>
        <v>12233748.123000002</v>
      </c>
      <c r="Z5" s="101">
        <f t="shared" si="10"/>
        <v>13229994.131999997</v>
      </c>
      <c r="AA5" s="101">
        <f t="shared" si="10"/>
        <v>17599148.142999999</v>
      </c>
      <c r="AB5" s="101">
        <f t="shared" ref="AB5:AC5" si="11">SUM(AB7:AB22)</f>
        <v>20010364.766999997</v>
      </c>
      <c r="AC5" s="101">
        <f t="shared" si="11"/>
        <v>22189402</v>
      </c>
      <c r="AD5" s="101">
        <f t="shared" ref="AD5:AE5" si="12">SUM(AD7:AD22)</f>
        <v>24096687.873</v>
      </c>
      <c r="AE5" s="101">
        <f t="shared" si="12"/>
        <v>25363109.890000001</v>
      </c>
      <c r="AF5" s="101">
        <f t="shared" ref="AF5:AG5" si="13">SUM(AF7:AF22)</f>
        <v>26687261.703000005</v>
      </c>
      <c r="AG5" s="101">
        <f t="shared" si="13"/>
        <v>28388238.013999999</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46321+76355</f>
        <v>122676</v>
      </c>
      <c r="C7" s="12">
        <f>50415+79490</f>
        <v>129905</v>
      </c>
      <c r="D7" s="12">
        <f>53098+82057</f>
        <v>135155</v>
      </c>
      <c r="E7" s="12"/>
      <c r="F7" s="12"/>
      <c r="G7" s="12"/>
      <c r="H7" s="12"/>
      <c r="I7" s="12">
        <v>228159.49100000001</v>
      </c>
      <c r="J7" s="32">
        <v>255782.88699999999</v>
      </c>
      <c r="K7" s="12">
        <v>285686.78899999999</v>
      </c>
      <c r="L7" s="12">
        <v>306509.902</v>
      </c>
      <c r="M7" s="12">
        <v>312352.66100000002</v>
      </c>
      <c r="N7" s="12">
        <v>334903.09899999999</v>
      </c>
      <c r="O7" s="12">
        <v>395076.44400000002</v>
      </c>
      <c r="P7" s="12"/>
      <c r="Q7" s="12"/>
      <c r="R7" s="44">
        <v>481702.53100000002</v>
      </c>
      <c r="S7" s="12">
        <v>511427.93800000002</v>
      </c>
      <c r="T7" s="82">
        <v>564143.01599999995</v>
      </c>
      <c r="U7" s="12">
        <v>520937.766</v>
      </c>
      <c r="V7" s="12">
        <v>572487.29700000002</v>
      </c>
      <c r="W7" s="32">
        <v>822856.98100000003</v>
      </c>
      <c r="X7" s="32">
        <v>733887.36899999995</v>
      </c>
      <c r="Y7" s="32">
        <v>792406.23499999999</v>
      </c>
      <c r="Z7" s="32">
        <v>874516.80500000005</v>
      </c>
      <c r="AA7" s="32">
        <v>1214428.6229999999</v>
      </c>
      <c r="AB7" s="32">
        <v>1391130.01</v>
      </c>
      <c r="AC7" s="32">
        <v>1526751</v>
      </c>
      <c r="AD7" s="12">
        <v>1649123.2720000001</v>
      </c>
      <c r="AE7" s="13">
        <v>1798908.4650000001</v>
      </c>
      <c r="AF7" s="12">
        <v>1915409.71</v>
      </c>
      <c r="AG7" s="12">
        <v>2042701.773</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17881+34592</f>
        <v>52473</v>
      </c>
      <c r="C8" s="12">
        <f>17874+36047</f>
        <v>53921</v>
      </c>
      <c r="D8" s="12">
        <f>17494+35723</f>
        <v>53217</v>
      </c>
      <c r="E8" s="12"/>
      <c r="F8" s="12"/>
      <c r="G8" s="12"/>
      <c r="H8" s="12"/>
      <c r="I8" s="12">
        <v>101750.333</v>
      </c>
      <c r="J8" s="32">
        <v>111246.981</v>
      </c>
      <c r="K8" s="12">
        <v>124368.33500000001</v>
      </c>
      <c r="L8" s="12">
        <v>134954.193</v>
      </c>
      <c r="M8" s="12">
        <v>139176.818</v>
      </c>
      <c r="N8" s="12">
        <v>143438.15</v>
      </c>
      <c r="O8" s="12">
        <v>187026.315</v>
      </c>
      <c r="P8" s="12"/>
      <c r="Q8" s="12"/>
      <c r="R8" s="63">
        <v>197717.70300000001</v>
      </c>
      <c r="S8" s="12">
        <v>220992.58</v>
      </c>
      <c r="T8" s="82">
        <v>252116.106</v>
      </c>
      <c r="U8" s="12">
        <v>175001.70300000001</v>
      </c>
      <c r="V8" s="12">
        <v>200069.67</v>
      </c>
      <c r="W8" s="32">
        <v>346600.10600000003</v>
      </c>
      <c r="X8" s="32">
        <v>256568.92600000001</v>
      </c>
      <c r="Y8" s="32">
        <v>260653.98</v>
      </c>
      <c r="Z8" s="32">
        <v>285408.50599999999</v>
      </c>
      <c r="AA8" s="32">
        <v>453244.43199999997</v>
      </c>
      <c r="AB8" s="32">
        <v>514546.13500000001</v>
      </c>
      <c r="AC8" s="32">
        <v>563736</v>
      </c>
      <c r="AD8" s="12">
        <v>617349.321</v>
      </c>
      <c r="AE8" s="13">
        <v>651045.16799999995</v>
      </c>
      <c r="AF8" s="12">
        <v>682346.29799999995</v>
      </c>
      <c r="AG8" s="12">
        <v>729711.51800000004</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61567+2555</f>
        <v>64122</v>
      </c>
      <c r="E9" s="12"/>
      <c r="F9" s="12"/>
      <c r="G9" s="12"/>
      <c r="H9" s="12"/>
      <c r="I9" s="12">
        <v>117266.459</v>
      </c>
      <c r="J9" s="32">
        <v>128612.641</v>
      </c>
      <c r="K9" s="12"/>
      <c r="L9" s="12"/>
      <c r="M9" s="12">
        <v>155921.818</v>
      </c>
      <c r="N9" s="12">
        <v>163625.57</v>
      </c>
      <c r="O9" s="12">
        <v>177696.62100000001</v>
      </c>
      <c r="P9" s="12"/>
      <c r="Q9" s="12"/>
      <c r="R9" s="63">
        <v>206168.27299999999</v>
      </c>
      <c r="S9" s="61">
        <v>172842.59700000001</v>
      </c>
      <c r="T9" s="83">
        <v>228106.23300000001</v>
      </c>
      <c r="U9" s="61">
        <v>190460.927</v>
      </c>
      <c r="V9" s="61">
        <v>202953.973</v>
      </c>
      <c r="W9" s="32">
        <v>218446.13099999999</v>
      </c>
      <c r="X9" s="32">
        <v>230542.09899999999</v>
      </c>
      <c r="Y9" s="32">
        <v>239456.41</v>
      </c>
      <c r="Z9" s="32">
        <v>255975.08300000001</v>
      </c>
      <c r="AA9" s="32">
        <v>368177.49900000001</v>
      </c>
      <c r="AB9" s="32">
        <v>421529.73</v>
      </c>
      <c r="AC9" s="32">
        <v>461506</v>
      </c>
      <c r="AD9" s="12">
        <v>505598.85200000001</v>
      </c>
      <c r="AE9" s="13">
        <v>537542.17200000002</v>
      </c>
      <c r="AF9" s="12">
        <v>561622.58299999998</v>
      </c>
      <c r="AG9" s="12">
        <v>598852.24600000004</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45269+58597</f>
        <v>103866</v>
      </c>
      <c r="C10" s="12">
        <f>51408+69119</f>
        <v>120527</v>
      </c>
      <c r="D10" s="12">
        <f>56209+79239</f>
        <v>135448</v>
      </c>
      <c r="E10" s="12"/>
      <c r="F10" s="12"/>
      <c r="G10" s="12"/>
      <c r="H10" s="12"/>
      <c r="I10" s="12">
        <v>237218.96900000001</v>
      </c>
      <c r="J10" s="32">
        <v>289644.69300000003</v>
      </c>
      <c r="K10" s="12">
        <v>332967.24800000002</v>
      </c>
      <c r="L10" s="12">
        <v>344693.00900000002</v>
      </c>
      <c r="M10" s="12">
        <v>349983.902</v>
      </c>
      <c r="N10" s="12">
        <v>364870.33299999998</v>
      </c>
      <c r="O10" s="12">
        <v>458363.01899999997</v>
      </c>
      <c r="P10" s="12"/>
      <c r="Q10" s="12"/>
      <c r="R10" s="63">
        <v>557114.45900000003</v>
      </c>
      <c r="S10" s="12">
        <v>618342.19200000004</v>
      </c>
      <c r="T10" s="82">
        <v>836332.65899999999</v>
      </c>
      <c r="U10" s="12">
        <v>765894.42599999998</v>
      </c>
      <c r="V10" s="12">
        <v>865157.549</v>
      </c>
      <c r="W10" s="32">
        <v>1304364.2790000001</v>
      </c>
      <c r="X10" s="32">
        <v>907343.06</v>
      </c>
      <c r="Y10" s="32">
        <v>925434.03599999996</v>
      </c>
      <c r="Z10" s="32">
        <v>1010715.454</v>
      </c>
      <c r="AA10" s="32">
        <v>1539633.2749999999</v>
      </c>
      <c r="AB10" s="32">
        <v>1751506.817</v>
      </c>
      <c r="AC10" s="32">
        <v>1992572</v>
      </c>
      <c r="AD10" s="12">
        <v>2219748.5490000001</v>
      </c>
      <c r="AE10" s="13">
        <v>2453601.15</v>
      </c>
      <c r="AF10" s="12">
        <v>2547504.8739999998</v>
      </c>
      <c r="AG10" s="12">
        <v>2631832.2149999999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31307+84942</f>
        <v>116249</v>
      </c>
      <c r="C11" s="12">
        <f>35648+95126</f>
        <v>130774</v>
      </c>
      <c r="D11" s="12">
        <f>40563+109247</f>
        <v>149810</v>
      </c>
      <c r="E11" s="12"/>
      <c r="F11" s="12"/>
      <c r="G11" s="12"/>
      <c r="H11" s="12"/>
      <c r="I11" s="12">
        <v>230168.52299999999</v>
      </c>
      <c r="J11" s="32">
        <v>245562.54300000001</v>
      </c>
      <c r="K11" s="12">
        <v>288922.14899999998</v>
      </c>
      <c r="L11" s="12">
        <v>321492.20299999998</v>
      </c>
      <c r="M11" s="12">
        <v>337872.04499999998</v>
      </c>
      <c r="N11" s="12">
        <v>366027.11099999998</v>
      </c>
      <c r="O11" s="12">
        <v>467359.522</v>
      </c>
      <c r="P11" s="12"/>
      <c r="Q11" s="12"/>
      <c r="R11" s="63">
        <v>495847.54200000002</v>
      </c>
      <c r="S11" s="12">
        <v>537002.58400000003</v>
      </c>
      <c r="T11" s="82">
        <v>546892.72400000005</v>
      </c>
      <c r="U11" s="12">
        <v>528971.25800000003</v>
      </c>
      <c r="V11" s="12">
        <v>604231.11100000003</v>
      </c>
      <c r="W11" s="32">
        <v>781472.1</v>
      </c>
      <c r="X11" s="32">
        <v>706756.81200000003</v>
      </c>
      <c r="Y11" s="32">
        <v>774719.87699999998</v>
      </c>
      <c r="Z11" s="32">
        <v>862840.04799999995</v>
      </c>
      <c r="AA11" s="32">
        <v>1142883.3910000001</v>
      </c>
      <c r="AB11" s="32">
        <v>1420257.7279999999</v>
      </c>
      <c r="AC11" s="32">
        <v>1658186</v>
      </c>
      <c r="AD11" s="12">
        <v>1861062.7320000001</v>
      </c>
      <c r="AE11" s="13">
        <v>2017079.3230000001</v>
      </c>
      <c r="AF11" s="12">
        <v>2091267.68</v>
      </c>
      <c r="AG11" s="12">
        <v>2225950.523</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48697+48173</f>
        <v>96870</v>
      </c>
      <c r="C12" s="12">
        <f>53989+49991</f>
        <v>103980</v>
      </c>
      <c r="D12" s="12">
        <f>60357+51805</f>
        <v>112162</v>
      </c>
      <c r="E12" s="12"/>
      <c r="F12" s="12"/>
      <c r="G12" s="12"/>
      <c r="H12" s="12"/>
      <c r="I12" s="12">
        <v>188241.20499999999</v>
      </c>
      <c r="J12" s="32">
        <v>213819.24400000001</v>
      </c>
      <c r="K12" s="12">
        <v>230739.72899999999</v>
      </c>
      <c r="L12" s="12">
        <v>253003.723</v>
      </c>
      <c r="M12" s="12">
        <v>271451.45299999998</v>
      </c>
      <c r="N12" s="12">
        <v>284981.21399999998</v>
      </c>
      <c r="O12" s="12">
        <v>335187.61200000002</v>
      </c>
      <c r="P12" s="12"/>
      <c r="Q12" s="12"/>
      <c r="R12" s="34">
        <v>350981.22499999998</v>
      </c>
      <c r="S12" s="12">
        <v>372859.13900000002</v>
      </c>
      <c r="T12" s="82">
        <v>424554.03</v>
      </c>
      <c r="U12" s="12">
        <v>339652.93900000001</v>
      </c>
      <c r="V12" s="12">
        <v>384277.304</v>
      </c>
      <c r="W12" s="32">
        <v>635907.81900000002</v>
      </c>
      <c r="X12" s="32">
        <v>502200.61200000002</v>
      </c>
      <c r="Y12" s="32">
        <v>567718.26800000004</v>
      </c>
      <c r="Z12" s="32">
        <v>626025.11899999995</v>
      </c>
      <c r="AA12" s="32">
        <v>962838.14599999995</v>
      </c>
      <c r="AB12" s="32">
        <v>1034632.2659999999</v>
      </c>
      <c r="AC12" s="32">
        <v>1118635</v>
      </c>
      <c r="AD12" s="12">
        <v>1195317.7830000001</v>
      </c>
      <c r="AE12" s="13">
        <v>1272164.932</v>
      </c>
      <c r="AF12" s="12">
        <v>1333980.375</v>
      </c>
      <c r="AG12" s="12">
        <v>1410926.0660000001</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35121+81197</f>
        <v>116318</v>
      </c>
      <c r="C13" s="12">
        <f>35508+87202</f>
        <v>122710</v>
      </c>
      <c r="D13" s="12">
        <f>45162+102615</f>
        <v>147777</v>
      </c>
      <c r="E13" s="12"/>
      <c r="F13" s="12"/>
      <c r="G13" s="12"/>
      <c r="H13" s="12"/>
      <c r="I13" s="12">
        <v>245663.71599999999</v>
      </c>
      <c r="J13" s="32">
        <v>264814.69799999997</v>
      </c>
      <c r="K13" s="12">
        <v>295947.179</v>
      </c>
      <c r="L13" s="12">
        <v>328399.94799999997</v>
      </c>
      <c r="M13" s="12">
        <v>335046.10100000002</v>
      </c>
      <c r="N13" s="12">
        <v>347112.19400000002</v>
      </c>
      <c r="O13" s="12">
        <v>431528.505</v>
      </c>
      <c r="P13" s="12"/>
      <c r="Q13" s="12"/>
      <c r="R13" s="34">
        <v>392129.56599999999</v>
      </c>
      <c r="S13" s="12">
        <v>433038.61</v>
      </c>
      <c r="T13" s="82">
        <v>467565.87199999997</v>
      </c>
      <c r="U13" s="12">
        <v>399053.83299999998</v>
      </c>
      <c r="V13" s="12">
        <v>455720.20799999998</v>
      </c>
      <c r="W13" s="32">
        <v>631816.09299999999</v>
      </c>
      <c r="X13" s="32">
        <v>515915.136</v>
      </c>
      <c r="Y13" s="32">
        <v>501619.32799999998</v>
      </c>
      <c r="Z13" s="32">
        <v>493188.27500000002</v>
      </c>
      <c r="AA13" s="32">
        <v>631986.07799999998</v>
      </c>
      <c r="AB13" s="32">
        <v>724351.82400000002</v>
      </c>
      <c r="AC13" s="32">
        <v>799598</v>
      </c>
      <c r="AD13" s="12">
        <v>891347.98600000003</v>
      </c>
      <c r="AE13" s="13">
        <v>969313.076</v>
      </c>
      <c r="AF13" s="12">
        <v>1082622.7069999999</v>
      </c>
      <c r="AG13" s="12">
        <v>1180865.1310000001</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140413</v>
      </c>
      <c r="C14" s="12">
        <f>0+181386</f>
        <v>181386</v>
      </c>
      <c r="D14" s="12">
        <f>0+167384</f>
        <v>167384</v>
      </c>
      <c r="E14" s="12"/>
      <c r="F14" s="12"/>
      <c r="G14" s="12"/>
      <c r="H14" s="12"/>
      <c r="I14" s="12">
        <v>263314.141</v>
      </c>
      <c r="J14" s="32">
        <v>305362.109</v>
      </c>
      <c r="K14" s="12">
        <v>337474.89500000002</v>
      </c>
      <c r="L14" s="12">
        <v>363773.20799999998</v>
      </c>
      <c r="M14" s="12">
        <v>390991.23100000003</v>
      </c>
      <c r="N14" s="12">
        <v>411723.86300000001</v>
      </c>
      <c r="O14" s="12">
        <v>517314.81699999998</v>
      </c>
      <c r="P14" s="12"/>
      <c r="Q14" s="12"/>
      <c r="R14" s="34">
        <v>541872.52300000004</v>
      </c>
      <c r="S14" s="12">
        <v>589657.22499999998</v>
      </c>
      <c r="T14" s="82">
        <v>720293.40099999995</v>
      </c>
      <c r="U14" s="12">
        <v>674433.35400000005</v>
      </c>
      <c r="V14" s="12">
        <v>750084.64300000004</v>
      </c>
      <c r="W14" s="32">
        <v>977226.65800000005</v>
      </c>
      <c r="X14" s="32">
        <v>870852.58600000001</v>
      </c>
      <c r="Y14" s="32">
        <v>929039.63500000001</v>
      </c>
      <c r="Z14" s="32">
        <v>1002358.561</v>
      </c>
      <c r="AA14" s="32">
        <v>1145077.1680000001</v>
      </c>
      <c r="AB14" s="32">
        <v>1334710.433</v>
      </c>
      <c r="AC14" s="32">
        <v>1401334</v>
      </c>
      <c r="AD14" s="12">
        <v>1491582.371</v>
      </c>
      <c r="AE14" s="13">
        <v>1519137.307</v>
      </c>
      <c r="AF14" s="12">
        <v>1516008.615</v>
      </c>
      <c r="AG14" s="12">
        <v>1585918.811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14963+52951</f>
        <v>67914</v>
      </c>
      <c r="C15" s="12">
        <f>15459+56644</f>
        <v>72103</v>
      </c>
      <c r="D15" s="12">
        <f>17297+61232</f>
        <v>78529</v>
      </c>
      <c r="E15" s="12"/>
      <c r="F15" s="12"/>
      <c r="G15" s="12"/>
      <c r="H15" s="12"/>
      <c r="I15" s="12">
        <v>121075.39599999999</v>
      </c>
      <c r="J15" s="32">
        <v>140443.28099999999</v>
      </c>
      <c r="K15" s="12">
        <v>153924.85500000001</v>
      </c>
      <c r="L15" s="12">
        <v>160582.96400000001</v>
      </c>
      <c r="M15" s="12">
        <v>161830.51500000001</v>
      </c>
      <c r="N15" s="12">
        <v>170577.30300000001</v>
      </c>
      <c r="O15" s="12">
        <v>213570.628</v>
      </c>
      <c r="P15" s="12"/>
      <c r="Q15" s="12"/>
      <c r="R15" s="34">
        <v>217465.53599999999</v>
      </c>
      <c r="S15" s="12">
        <v>237503.25399999999</v>
      </c>
      <c r="T15" s="82">
        <v>292849.25400000002</v>
      </c>
      <c r="U15" s="12">
        <v>249503.95699999999</v>
      </c>
      <c r="V15" s="12">
        <v>253473.10399999999</v>
      </c>
      <c r="W15" s="32">
        <v>355415.13799999998</v>
      </c>
      <c r="X15" s="32">
        <v>285081.201</v>
      </c>
      <c r="Y15" s="32">
        <v>301259.978</v>
      </c>
      <c r="Z15" s="32">
        <v>328079.54200000002</v>
      </c>
      <c r="AA15" s="32">
        <v>460826.93199999997</v>
      </c>
      <c r="AB15" s="32">
        <v>501143.64500000002</v>
      </c>
      <c r="AC15" s="32">
        <v>561897</v>
      </c>
      <c r="AD15" s="12">
        <v>625021.62100000004</v>
      </c>
      <c r="AE15" s="13">
        <v>675432.00300000003</v>
      </c>
      <c r="AF15" s="12">
        <v>734169.56200000003</v>
      </c>
      <c r="AG15" s="12">
        <v>790699.60100000002</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29371+84223</f>
        <v>113594</v>
      </c>
      <c r="C16" s="20">
        <f>27908+89979</f>
        <v>117887</v>
      </c>
      <c r="D16" s="20">
        <f>30697+100013</f>
        <v>130710</v>
      </c>
      <c r="E16" s="20"/>
      <c r="F16" s="20"/>
      <c r="G16" s="20"/>
      <c r="H16" s="20"/>
      <c r="I16" s="20">
        <v>207418.628</v>
      </c>
      <c r="J16" s="33">
        <v>245476.83300000001</v>
      </c>
      <c r="K16" s="20">
        <v>278058.09700000001</v>
      </c>
      <c r="L16" s="20">
        <v>302858.06699999998</v>
      </c>
      <c r="M16" s="20">
        <v>320887.277</v>
      </c>
      <c r="N16" s="20">
        <v>343577.34499999997</v>
      </c>
      <c r="O16" s="20">
        <v>422788.69400000002</v>
      </c>
      <c r="P16" s="20"/>
      <c r="Q16" s="20"/>
      <c r="R16" s="66">
        <v>466423.7</v>
      </c>
      <c r="S16" s="20">
        <v>501641.64399999997</v>
      </c>
      <c r="T16" s="82">
        <v>593637.63300000003</v>
      </c>
      <c r="U16" s="20">
        <v>644142.65700000001</v>
      </c>
      <c r="V16" s="20">
        <v>694600.26399999997</v>
      </c>
      <c r="W16" s="33">
        <v>937316.09100000001</v>
      </c>
      <c r="X16" s="33">
        <v>864331.79799999995</v>
      </c>
      <c r="Y16" s="33">
        <v>956946.33499999996</v>
      </c>
      <c r="Z16" s="33">
        <v>1013942.5060000001</v>
      </c>
      <c r="AA16" s="33">
        <v>1270134.1129999999</v>
      </c>
      <c r="AB16" s="33">
        <v>1368193.747</v>
      </c>
      <c r="AC16" s="33">
        <v>1564059</v>
      </c>
      <c r="AD16" s="20">
        <v>1687857.36</v>
      </c>
      <c r="AE16" s="65">
        <v>1842920.906</v>
      </c>
      <c r="AF16" s="20">
        <v>1924483.618</v>
      </c>
      <c r="AG16" s="20">
        <v>2032930.862</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53033</v>
      </c>
      <c r="C17" s="20">
        <f>0+55220</f>
        <v>55220</v>
      </c>
      <c r="D17" s="20">
        <f>0+59185</f>
        <v>59185</v>
      </c>
      <c r="E17" s="20"/>
      <c r="F17" s="20"/>
      <c r="G17" s="20"/>
      <c r="H17" s="20"/>
      <c r="I17" s="20">
        <v>117477.826</v>
      </c>
      <c r="J17" s="33">
        <v>142136.02499999999</v>
      </c>
      <c r="K17" s="20">
        <v>150383.13500000001</v>
      </c>
      <c r="L17" s="20">
        <v>163226.39499999999</v>
      </c>
      <c r="M17" s="20">
        <v>175341.96799999999</v>
      </c>
      <c r="N17" s="20">
        <v>188358.875</v>
      </c>
      <c r="O17" s="20">
        <v>235420.78643000001</v>
      </c>
      <c r="P17" s="20"/>
      <c r="Q17" s="20"/>
      <c r="R17" s="66">
        <v>243054.89600000001</v>
      </c>
      <c r="S17" s="20">
        <v>247447.446</v>
      </c>
      <c r="T17" s="82">
        <v>278228.73499999999</v>
      </c>
      <c r="U17" s="20">
        <v>240438.54699999999</v>
      </c>
      <c r="V17" s="20">
        <v>319478.56199999998</v>
      </c>
      <c r="W17" s="33">
        <v>481931.87599999999</v>
      </c>
      <c r="X17" s="33">
        <v>434993.40500000003</v>
      </c>
      <c r="Y17" s="33">
        <v>474567.44300000003</v>
      </c>
      <c r="Z17" s="33">
        <v>533416.94799999997</v>
      </c>
      <c r="AA17" s="33">
        <v>636540.71699999995</v>
      </c>
      <c r="AB17" s="33">
        <v>737837.77099999995</v>
      </c>
      <c r="AC17" s="33">
        <v>804411</v>
      </c>
      <c r="AD17" s="20">
        <v>869966.35800000001</v>
      </c>
      <c r="AE17" s="65">
        <v>929396.174</v>
      </c>
      <c r="AF17" s="20">
        <v>983187.38</v>
      </c>
      <c r="AG17" s="20">
        <v>1039675.573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53463+34867</f>
        <v>88330</v>
      </c>
      <c r="C18" s="20">
        <f>53056+36632</f>
        <v>89688</v>
      </c>
      <c r="D18" s="20">
        <f>59822+42789</f>
        <v>102611</v>
      </c>
      <c r="E18" s="20"/>
      <c r="F18" s="20"/>
      <c r="G18" s="20"/>
      <c r="H18" s="20"/>
      <c r="I18" s="20">
        <v>207812.45600000001</v>
      </c>
      <c r="J18" s="33">
        <v>228893.15400000001</v>
      </c>
      <c r="K18" s="20">
        <v>249649.25700000001</v>
      </c>
      <c r="L18" s="20">
        <v>272411.78499999997</v>
      </c>
      <c r="M18" s="20">
        <v>286117.98700000002</v>
      </c>
      <c r="N18" s="20">
        <v>299158.80129999999</v>
      </c>
      <c r="O18" s="20">
        <v>351604.35100000002</v>
      </c>
      <c r="P18" s="20"/>
      <c r="Q18" s="20"/>
      <c r="R18" s="66">
        <v>375060.55200000003</v>
      </c>
      <c r="S18" s="20">
        <v>397221.17700000003</v>
      </c>
      <c r="T18" s="82">
        <v>470724.14899999998</v>
      </c>
      <c r="U18" s="20">
        <v>443171.86599999998</v>
      </c>
      <c r="V18" s="20">
        <v>525465.326</v>
      </c>
      <c r="W18" s="33">
        <v>771192.31099999999</v>
      </c>
      <c r="X18" s="33">
        <v>684726.01699999999</v>
      </c>
      <c r="Y18" s="33">
        <v>748655.33400000003</v>
      </c>
      <c r="Z18" s="33">
        <v>815020.46499999997</v>
      </c>
      <c r="AA18" s="33">
        <v>1100140.0160000001</v>
      </c>
      <c r="AB18" s="33">
        <v>1279662.4410000001</v>
      </c>
      <c r="AC18" s="33">
        <v>1392171</v>
      </c>
      <c r="AD18" s="20">
        <v>1484795.0330000001</v>
      </c>
      <c r="AE18" s="65">
        <v>1560095.496</v>
      </c>
      <c r="AF18" s="20">
        <v>1639239.6880000001</v>
      </c>
      <c r="AG18" s="20">
        <v>1745100.149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34935+74391</f>
        <v>109326</v>
      </c>
      <c r="C19" s="20">
        <f>37561+79404</f>
        <v>116965</v>
      </c>
      <c r="D19" s="20">
        <f>40337+85973</f>
        <v>126310</v>
      </c>
      <c r="E19" s="20"/>
      <c r="F19" s="20"/>
      <c r="G19" s="20"/>
      <c r="H19" s="20"/>
      <c r="I19" s="20">
        <v>202436.31200000001</v>
      </c>
      <c r="J19" s="33">
        <v>217268.83199999999</v>
      </c>
      <c r="K19" s="20">
        <v>234030.636</v>
      </c>
      <c r="L19" s="20">
        <v>248010.26500000001</v>
      </c>
      <c r="M19" s="20">
        <v>256566.99</v>
      </c>
      <c r="N19" s="20">
        <v>271318.20799999998</v>
      </c>
      <c r="O19" s="20">
        <v>330299.49702999997</v>
      </c>
      <c r="P19" s="20"/>
      <c r="Q19" s="20"/>
      <c r="R19" s="90">
        <v>406242.484</v>
      </c>
      <c r="S19" s="20">
        <v>439153.41</v>
      </c>
      <c r="T19" s="82">
        <v>492519.38299999997</v>
      </c>
      <c r="U19" s="20">
        <v>478836.47200000001</v>
      </c>
      <c r="V19" s="20">
        <v>499782.62599999999</v>
      </c>
      <c r="W19" s="33">
        <v>648427.86699999997</v>
      </c>
      <c r="X19" s="33">
        <v>558228.60199999996</v>
      </c>
      <c r="Y19" s="33">
        <v>558648.58200000005</v>
      </c>
      <c r="Z19" s="33">
        <v>580905.89099999995</v>
      </c>
      <c r="AA19" s="33">
        <v>888561.299</v>
      </c>
      <c r="AB19" s="33">
        <v>989594.58100000001</v>
      </c>
      <c r="AC19" s="33">
        <v>1090733</v>
      </c>
      <c r="AD19" s="20">
        <v>1209223.696</v>
      </c>
      <c r="AE19" s="65">
        <v>1264539.547</v>
      </c>
      <c r="AF19" s="20">
        <v>1336507.8030000001</v>
      </c>
      <c r="AG19" s="20">
        <v>1446085.777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90438+135504</f>
        <v>225942</v>
      </c>
      <c r="C20" s="20">
        <f>87685+140931</f>
        <v>228616</v>
      </c>
      <c r="D20" s="20">
        <f>150603+221005</f>
        <v>371608</v>
      </c>
      <c r="E20" s="20"/>
      <c r="F20" s="20"/>
      <c r="G20" s="20"/>
      <c r="H20" s="20"/>
      <c r="I20" s="20">
        <v>560898.40500000003</v>
      </c>
      <c r="J20" s="33">
        <v>637788.69700000004</v>
      </c>
      <c r="K20" s="20">
        <v>758414.35900000005</v>
      </c>
      <c r="L20" s="20">
        <v>808435.03899999999</v>
      </c>
      <c r="M20" s="20">
        <v>866020.20499999996</v>
      </c>
      <c r="N20" s="20">
        <v>1000672.184</v>
      </c>
      <c r="O20" s="20">
        <v>1292531.936</v>
      </c>
      <c r="P20" s="20"/>
      <c r="Q20" s="20"/>
      <c r="R20" s="66">
        <v>1427179.6059999999</v>
      </c>
      <c r="S20" s="20">
        <v>1561603.2990000001</v>
      </c>
      <c r="T20" s="82">
        <v>1728073.42</v>
      </c>
      <c r="U20" s="20">
        <v>1607192.0209999999</v>
      </c>
      <c r="V20" s="20">
        <v>1830159.0260000001</v>
      </c>
      <c r="W20" s="33">
        <v>2627378.6949999998</v>
      </c>
      <c r="X20" s="33">
        <v>2333174.9169999999</v>
      </c>
      <c r="Y20" s="33">
        <v>2602198.017</v>
      </c>
      <c r="Z20" s="33">
        <v>2801594.3020000001</v>
      </c>
      <c r="AA20" s="33">
        <v>3538361.34</v>
      </c>
      <c r="AB20" s="33">
        <v>4129871.696</v>
      </c>
      <c r="AC20" s="33">
        <v>4571063</v>
      </c>
      <c r="AD20" s="20">
        <v>4892026.7520000003</v>
      </c>
      <c r="AE20" s="65">
        <v>4883144.5559999999</v>
      </c>
      <c r="AF20" s="20">
        <v>5142474.5</v>
      </c>
      <c r="AG20" s="20">
        <v>5561202.4450000003</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68911+132300</f>
        <v>201211</v>
      </c>
      <c r="C21" s="20">
        <f>79355+156652</f>
        <v>236007</v>
      </c>
      <c r="D21" s="20">
        <f>90087+172740</f>
        <v>262827</v>
      </c>
      <c r="E21" s="20"/>
      <c r="F21" s="20"/>
      <c r="G21" s="20"/>
      <c r="H21" s="20"/>
      <c r="I21" s="20">
        <v>428065.55200000003</v>
      </c>
      <c r="J21" s="33">
        <v>490063.20500000002</v>
      </c>
      <c r="K21" s="20">
        <v>544395.33400000003</v>
      </c>
      <c r="L21" s="20">
        <v>595166.16099999996</v>
      </c>
      <c r="M21" s="20">
        <v>642587.13800000004</v>
      </c>
      <c r="N21" s="20">
        <v>657504.17599999998</v>
      </c>
      <c r="O21" s="20">
        <v>734988.26</v>
      </c>
      <c r="P21" s="20"/>
      <c r="Q21" s="20"/>
      <c r="R21" s="66">
        <v>731790.84400000004</v>
      </c>
      <c r="S21" s="20">
        <v>757382.39899999998</v>
      </c>
      <c r="T21" s="82">
        <v>835928.91500000004</v>
      </c>
      <c r="U21" s="20">
        <v>820763.77599999995</v>
      </c>
      <c r="V21" s="20">
        <v>961300.27099999995</v>
      </c>
      <c r="W21" s="33">
        <v>1222937.8419999999</v>
      </c>
      <c r="X21" s="33">
        <v>1150268.8430000001</v>
      </c>
      <c r="Y21" s="33">
        <v>1240115.6599999999</v>
      </c>
      <c r="Z21" s="33">
        <v>1356669.4720000001</v>
      </c>
      <c r="AA21" s="33">
        <v>1758572.75</v>
      </c>
      <c r="AB21" s="33">
        <v>1898874.8430000001</v>
      </c>
      <c r="AC21" s="33">
        <v>2107531</v>
      </c>
      <c r="AD21" s="20">
        <v>2289474.1</v>
      </c>
      <c r="AE21" s="65">
        <v>2378238.5980000002</v>
      </c>
      <c r="AF21" s="20">
        <v>2524609.5430000001</v>
      </c>
      <c r="AG21" s="20">
        <v>2669294.057</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30022+21234</f>
        <v>51256</v>
      </c>
      <c r="C22" s="51">
        <f>20262+21459</f>
        <v>41721</v>
      </c>
      <c r="D22" s="51">
        <f>20443+27276</f>
        <v>47719</v>
      </c>
      <c r="E22" s="51"/>
      <c r="F22" s="51"/>
      <c r="G22" s="51"/>
      <c r="H22" s="51"/>
      <c r="I22" s="51">
        <v>111420.336</v>
      </c>
      <c r="J22" s="50">
        <v>128429.81600000001</v>
      </c>
      <c r="K22" s="51">
        <v>147816.12100000001</v>
      </c>
      <c r="L22" s="51">
        <v>157319.913</v>
      </c>
      <c r="M22" s="51">
        <v>167231.617</v>
      </c>
      <c r="N22" s="51">
        <v>169462.182</v>
      </c>
      <c r="O22" s="51">
        <v>205859.48189</v>
      </c>
      <c r="P22" s="51"/>
      <c r="Q22" s="51"/>
      <c r="R22" s="51">
        <v>210622.32399999999</v>
      </c>
      <c r="S22" s="51">
        <v>219977.43299999999</v>
      </c>
      <c r="T22" s="113">
        <v>240447.524</v>
      </c>
      <c r="U22" s="51">
        <v>224130.91200000001</v>
      </c>
      <c r="V22" s="51">
        <v>258768.476</v>
      </c>
      <c r="W22" s="50">
        <v>351260.92200000002</v>
      </c>
      <c r="X22" s="50">
        <v>322513.70299999998</v>
      </c>
      <c r="Y22" s="50">
        <v>360309.005</v>
      </c>
      <c r="Z22" s="50">
        <v>389337.15500000003</v>
      </c>
      <c r="AA22" s="50">
        <v>487742.364</v>
      </c>
      <c r="AB22" s="50">
        <v>512521.1</v>
      </c>
      <c r="AC22" s="50">
        <v>575219</v>
      </c>
      <c r="AD22" s="51">
        <v>607192.08700000006</v>
      </c>
      <c r="AE22" s="64">
        <v>610551.01699999999</v>
      </c>
      <c r="AF22" s="51">
        <v>671826.76699999999</v>
      </c>
      <c r="AG22" s="51">
        <v>696491.26699999999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 t="shared" ref="J23" si="14">SUM(J25:J37)</f>
        <v>2479181.3740000003</v>
      </c>
      <c r="M23" s="104">
        <f t="shared" ref="M23" si="15">SUM(M25:M37)</f>
        <v>3469059.6049999995</v>
      </c>
      <c r="O23" s="104">
        <f t="shared" ref="O23" si="16">SUM(O25:O37)</f>
        <v>4438166.1021800004</v>
      </c>
      <c r="R23" s="104">
        <f t="shared" ref="R23:AG23" si="17">SUM(R25:R37)</f>
        <v>4569930.4850000003</v>
      </c>
      <c r="S23" s="104">
        <f t="shared" si="17"/>
        <v>4874107.8849999998</v>
      </c>
      <c r="T23" s="114">
        <f t="shared" si="17"/>
        <v>5273247.629999999</v>
      </c>
      <c r="U23" s="104">
        <f t="shared" si="17"/>
        <v>4690027.0049999999</v>
      </c>
      <c r="V23" s="104">
        <f t="shared" si="17"/>
        <v>5477202.2420000006</v>
      </c>
      <c r="W23" s="104">
        <f t="shared" si="17"/>
        <v>7575955.4880000008</v>
      </c>
      <c r="X23" s="104">
        <f t="shared" si="17"/>
        <v>6834916.3470000001</v>
      </c>
      <c r="Y23" s="104">
        <f t="shared" si="17"/>
        <v>7278425.6029999992</v>
      </c>
      <c r="Z23" s="104">
        <f t="shared" si="17"/>
        <v>7894689.415000001</v>
      </c>
      <c r="AA23" s="104">
        <f t="shared" si="17"/>
        <v>10423778.094999999</v>
      </c>
      <c r="AB23" s="104">
        <f t="shared" si="17"/>
        <v>12251063.15</v>
      </c>
      <c r="AC23" s="104">
        <f t="shared" si="17"/>
        <v>14019934</v>
      </c>
      <c r="AD23" s="104">
        <f t="shared" si="17"/>
        <v>16104511.771</v>
      </c>
      <c r="AE23" s="104">
        <f t="shared" si="17"/>
        <v>16988145.701999996</v>
      </c>
      <c r="AF23" s="104">
        <f t="shared" si="17"/>
        <v>17909585.602000002</v>
      </c>
      <c r="AG23" s="104">
        <f t="shared" si="17"/>
        <v>19116037.063999999</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33813.557999999997</v>
      </c>
      <c r="K25" s="20"/>
      <c r="L25" s="20"/>
      <c r="M25" s="20">
        <v>43780.853999999999</v>
      </c>
      <c r="N25" s="20"/>
      <c r="O25" s="20">
        <v>53466.298999999999</v>
      </c>
      <c r="P25" s="20"/>
      <c r="Q25" s="20"/>
      <c r="R25" s="66">
        <v>48136.773000000001</v>
      </c>
      <c r="S25" s="20">
        <v>50024.353999999999</v>
      </c>
      <c r="T25" s="82">
        <v>53834.974999999999</v>
      </c>
      <c r="U25" s="20">
        <v>54139.773999999998</v>
      </c>
      <c r="V25" s="20">
        <v>61080.777000000002</v>
      </c>
      <c r="W25" s="33">
        <v>75091.532999999996</v>
      </c>
      <c r="X25" s="33">
        <v>78078.192999999999</v>
      </c>
      <c r="Y25" s="33">
        <v>83329.747000000003</v>
      </c>
      <c r="Z25" s="33">
        <v>90675.4</v>
      </c>
      <c r="AA25" s="33">
        <v>105856.171</v>
      </c>
      <c r="AB25" s="33">
        <v>118072.781</v>
      </c>
      <c r="AC25" s="33">
        <v>128513</v>
      </c>
      <c r="AD25" s="20">
        <v>136451.97500000001</v>
      </c>
      <c r="AE25" s="65">
        <v>139831.66</v>
      </c>
      <c r="AF25" s="20">
        <v>139241.261</v>
      </c>
      <c r="AG25" s="20">
        <v>143444.421</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264274.00199999998</v>
      </c>
      <c r="K26" s="20"/>
      <c r="L26" s="20"/>
      <c r="M26" s="20">
        <v>319661.80099999998</v>
      </c>
      <c r="N26" s="20"/>
      <c r="O26" s="20">
        <v>387685.049</v>
      </c>
      <c r="P26" s="20"/>
      <c r="Q26" s="20"/>
      <c r="R26" s="66">
        <v>420050.163</v>
      </c>
      <c r="S26" s="20">
        <v>445301.57299999997</v>
      </c>
      <c r="T26" s="82">
        <v>488054.614</v>
      </c>
      <c r="U26" s="20">
        <v>409047.74200000003</v>
      </c>
      <c r="V26" s="20">
        <v>496651.90299999999</v>
      </c>
      <c r="W26" s="33">
        <v>719163.01399999997</v>
      </c>
      <c r="X26" s="33">
        <v>624923.31200000003</v>
      </c>
      <c r="Y26" s="33">
        <v>698573.40899999999</v>
      </c>
      <c r="Z26" s="33">
        <v>767343.79200000002</v>
      </c>
      <c r="AA26" s="33">
        <v>1132166.1580000001</v>
      </c>
      <c r="AB26" s="33">
        <v>1353536.8559999999</v>
      </c>
      <c r="AC26" s="33">
        <v>1553237</v>
      </c>
      <c r="AD26" s="20">
        <v>1760996.8230000001</v>
      </c>
      <c r="AE26" s="65">
        <v>1892565.0959999999</v>
      </c>
      <c r="AF26" s="20">
        <v>2053654.709</v>
      </c>
      <c r="AG26" s="20">
        <v>2321290.7540000002</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1023099.934</v>
      </c>
      <c r="K27" s="20"/>
      <c r="L27" s="20"/>
      <c r="M27" s="20">
        <v>1558234.7339999999</v>
      </c>
      <c r="N27" s="20"/>
      <c r="O27" s="20">
        <v>2013420.352</v>
      </c>
      <c r="P27" s="20"/>
      <c r="Q27" s="20"/>
      <c r="R27" s="66">
        <v>2005146.3459999999</v>
      </c>
      <c r="S27" s="20">
        <v>2126366.2710000002</v>
      </c>
      <c r="T27" s="82">
        <v>2164763.6129999999</v>
      </c>
      <c r="U27" s="20">
        <v>1848937.7549999999</v>
      </c>
      <c r="V27" s="20">
        <v>2281845.3250000002</v>
      </c>
      <c r="W27" s="33">
        <v>3292085.3480000002</v>
      </c>
      <c r="X27" s="33">
        <v>2797485</v>
      </c>
      <c r="Y27" s="33">
        <v>2919860.2590000001</v>
      </c>
      <c r="Z27" s="33">
        <v>3226178.5419999999</v>
      </c>
      <c r="AA27" s="33">
        <v>4474498.3629999999</v>
      </c>
      <c r="AB27" s="33">
        <v>5359274.5999999996</v>
      </c>
      <c r="AC27" s="33">
        <v>6152654</v>
      </c>
      <c r="AD27" s="20">
        <v>7339032.8720000004</v>
      </c>
      <c r="AE27" s="65">
        <v>7646038.6689999998</v>
      </c>
      <c r="AF27" s="20">
        <v>8036308.9840000002</v>
      </c>
      <c r="AG27" s="20">
        <v>8525854.7689999994</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373039.68800000002</v>
      </c>
      <c r="K28" s="20"/>
      <c r="L28" s="20"/>
      <c r="M28" s="20">
        <v>444734.13099999999</v>
      </c>
      <c r="N28" s="20"/>
      <c r="O28" s="20">
        <v>524816.91622000001</v>
      </c>
      <c r="P28" s="20"/>
      <c r="Q28" s="20"/>
      <c r="R28" s="66">
        <v>553693.20400000003</v>
      </c>
      <c r="S28" s="20">
        <v>585564.76599999995</v>
      </c>
      <c r="T28" s="82">
        <v>651019.68400000001</v>
      </c>
      <c r="U28" s="20">
        <v>595254.804</v>
      </c>
      <c r="V28" s="20">
        <v>635702.68799999997</v>
      </c>
      <c r="W28" s="33">
        <v>844283.63</v>
      </c>
      <c r="X28" s="33">
        <v>946557.37300000002</v>
      </c>
      <c r="Y28" s="33">
        <v>1007304.8860000001</v>
      </c>
      <c r="Z28" s="33">
        <v>1087258.189</v>
      </c>
      <c r="AA28" s="33">
        <v>1317370.757</v>
      </c>
      <c r="AB28" s="33">
        <v>1480564.182</v>
      </c>
      <c r="AC28" s="33">
        <v>1670864</v>
      </c>
      <c r="AD28" s="20">
        <v>1834737.7390000001</v>
      </c>
      <c r="AE28" s="65">
        <v>1935088.031</v>
      </c>
      <c r="AF28" s="20">
        <v>2069131.544</v>
      </c>
      <c r="AG28" s="20">
        <v>2228878.4040000001</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34612.087</v>
      </c>
      <c r="K29" s="20"/>
      <c r="L29" s="20"/>
      <c r="M29" s="20">
        <v>35502.476000000002</v>
      </c>
      <c r="N29" s="20"/>
      <c r="O29" s="20">
        <v>67607.895999999993</v>
      </c>
      <c r="P29" s="20"/>
      <c r="Q29" s="20"/>
      <c r="R29" s="66">
        <v>78319.856</v>
      </c>
      <c r="S29" s="20">
        <v>79745.25</v>
      </c>
      <c r="T29" s="82">
        <v>81825.789999999994</v>
      </c>
      <c r="U29" s="20">
        <v>65028.353000000003</v>
      </c>
      <c r="V29" s="20">
        <v>82792.607999999993</v>
      </c>
      <c r="W29" s="33">
        <v>106306.446</v>
      </c>
      <c r="X29" s="33">
        <v>94868.96</v>
      </c>
      <c r="Y29" s="33">
        <v>105635.614</v>
      </c>
      <c r="Z29" s="33">
        <v>133875.46900000001</v>
      </c>
      <c r="AA29" s="33">
        <v>160927.39199999999</v>
      </c>
      <c r="AB29" s="33">
        <v>175056.21100000001</v>
      </c>
      <c r="AC29" s="33">
        <v>247317</v>
      </c>
      <c r="AD29" s="20">
        <v>272939.69699999999</v>
      </c>
      <c r="AE29" s="65">
        <v>284473.12</v>
      </c>
      <c r="AF29" s="20">
        <v>298149.60499999998</v>
      </c>
      <c r="AG29" s="20">
        <v>312076.804</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49107.260999999999</v>
      </c>
      <c r="K30" s="20"/>
      <c r="L30" s="20"/>
      <c r="M30" s="20">
        <v>73755.057000000001</v>
      </c>
      <c r="N30" s="20"/>
      <c r="O30" s="20">
        <v>115307.906</v>
      </c>
      <c r="P30" s="20"/>
      <c r="Q30" s="20"/>
      <c r="R30" s="66">
        <v>122057.461</v>
      </c>
      <c r="S30" s="20">
        <v>133186.34599999999</v>
      </c>
      <c r="T30" s="82">
        <v>135273.459</v>
      </c>
      <c r="U30" s="20">
        <v>117538.736</v>
      </c>
      <c r="V30" s="20">
        <v>125566.417</v>
      </c>
      <c r="W30" s="33">
        <v>189958.019</v>
      </c>
      <c r="X30" s="33">
        <v>165672.75599999999</v>
      </c>
      <c r="Y30" s="33">
        <v>176682.53700000001</v>
      </c>
      <c r="Z30" s="33">
        <v>187426.65</v>
      </c>
      <c r="AA30" s="33">
        <v>252101.93100000001</v>
      </c>
      <c r="AB30" s="33">
        <v>274651.12900000002</v>
      </c>
      <c r="AC30" s="33">
        <v>310609</v>
      </c>
      <c r="AD30" s="20">
        <v>338028.82199999999</v>
      </c>
      <c r="AE30" s="65">
        <v>352550.549</v>
      </c>
      <c r="AF30" s="20">
        <v>363166.342</v>
      </c>
      <c r="AG30" s="20">
        <v>389102.39600000001</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41964.201999999997</v>
      </c>
      <c r="K31" s="20"/>
      <c r="L31" s="20"/>
      <c r="M31" s="20">
        <v>75644.134999999995</v>
      </c>
      <c r="N31" s="20"/>
      <c r="O31" s="20">
        <v>113008.308</v>
      </c>
      <c r="P31" s="20"/>
      <c r="Q31" s="20"/>
      <c r="R31" s="90">
        <v>115915.79700000001</v>
      </c>
      <c r="S31" s="20">
        <v>121846.03599999999</v>
      </c>
      <c r="T31" s="82">
        <v>145642.85999999999</v>
      </c>
      <c r="U31" s="20">
        <v>149060.636</v>
      </c>
      <c r="V31" s="20">
        <v>157439.136</v>
      </c>
      <c r="W31" s="33">
        <v>207652.38099999999</v>
      </c>
      <c r="X31" s="33">
        <v>188043.98</v>
      </c>
      <c r="Y31" s="33">
        <v>204558.00099999999</v>
      </c>
      <c r="Z31" s="33">
        <v>210467.329</v>
      </c>
      <c r="AA31" s="33">
        <v>258155.71100000001</v>
      </c>
      <c r="AB31" s="33">
        <v>281115.34999999998</v>
      </c>
      <c r="AC31" s="33">
        <v>306889</v>
      </c>
      <c r="AD31" s="20">
        <v>319380.39600000001</v>
      </c>
      <c r="AE31" s="65">
        <v>329977.40700000001</v>
      </c>
      <c r="AF31" s="20">
        <v>336845.185</v>
      </c>
      <c r="AG31" s="20">
        <v>344242.84299999999</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41283.784</v>
      </c>
      <c r="K32" s="20"/>
      <c r="L32" s="20"/>
      <c r="M32" s="20">
        <v>60092.464999999997</v>
      </c>
      <c r="N32" s="20"/>
      <c r="O32" s="20">
        <v>74058.210000000006</v>
      </c>
      <c r="P32" s="20"/>
      <c r="Q32" s="20"/>
      <c r="R32" s="92">
        <v>90343.577999999994</v>
      </c>
      <c r="S32" s="20">
        <v>101271.391</v>
      </c>
      <c r="T32" s="82">
        <v>122822.306</v>
      </c>
      <c r="U32" s="20">
        <v>109417.298</v>
      </c>
      <c r="V32" s="20">
        <v>153279.31</v>
      </c>
      <c r="W32" s="33">
        <v>223502.79399999999</v>
      </c>
      <c r="X32" s="33">
        <v>205716.50700000001</v>
      </c>
      <c r="Y32" s="33">
        <v>224701.35800000001</v>
      </c>
      <c r="Z32" s="33">
        <v>244158.77499999999</v>
      </c>
      <c r="AA32" s="33">
        <v>266320.94900000002</v>
      </c>
      <c r="AB32" s="33">
        <v>295104.65000000002</v>
      </c>
      <c r="AC32" s="33">
        <v>324511</v>
      </c>
      <c r="AD32" s="20">
        <v>354272.17800000001</v>
      </c>
      <c r="AE32" s="12">
        <v>372707.03899999999</v>
      </c>
      <c r="AF32" s="20">
        <v>398241.728</v>
      </c>
      <c r="AG32" s="20">
        <v>406535.25599999999</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70147.464999999997</v>
      </c>
      <c r="K33" s="20"/>
      <c r="L33" s="20"/>
      <c r="M33" s="20">
        <v>88190.365999999995</v>
      </c>
      <c r="N33" s="20"/>
      <c r="O33" s="20">
        <v>128503.54796</v>
      </c>
      <c r="P33" s="20"/>
      <c r="Q33" s="20"/>
      <c r="R33" s="92">
        <v>115958.56</v>
      </c>
      <c r="S33" s="20">
        <v>120000.489</v>
      </c>
      <c r="T33" s="82">
        <v>137088.65100000001</v>
      </c>
      <c r="U33" s="20">
        <v>103791.344</v>
      </c>
      <c r="V33" s="20">
        <v>115829.534</v>
      </c>
      <c r="W33" s="33">
        <v>183171.45800000001</v>
      </c>
      <c r="X33" s="33">
        <v>142964.595</v>
      </c>
      <c r="Y33" s="33">
        <v>152296.15900000001</v>
      </c>
      <c r="Z33" s="33">
        <v>159649.40299999999</v>
      </c>
      <c r="AA33" s="33">
        <v>236547.46599999999</v>
      </c>
      <c r="AB33" s="33">
        <v>273932.82699999999</v>
      </c>
      <c r="AC33" s="33">
        <v>307659</v>
      </c>
      <c r="AD33" s="20">
        <v>328495.038</v>
      </c>
      <c r="AE33" s="65">
        <v>344798.65399999998</v>
      </c>
      <c r="AF33" s="20">
        <v>362101.03399999999</v>
      </c>
      <c r="AG33" s="20">
        <v>367343.304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172246.9</v>
      </c>
      <c r="K34" s="20"/>
      <c r="L34" s="20"/>
      <c r="M34" s="20">
        <v>238523.24299999999</v>
      </c>
      <c r="N34" s="20"/>
      <c r="O34" s="20">
        <v>303545.435</v>
      </c>
      <c r="P34" s="20"/>
      <c r="Q34" s="20"/>
      <c r="R34" s="66">
        <v>303086.72399999999</v>
      </c>
      <c r="S34" s="20">
        <v>337073.89</v>
      </c>
      <c r="T34" s="82">
        <v>413502.15899999999</v>
      </c>
      <c r="U34" s="20">
        <v>413224.84600000002</v>
      </c>
      <c r="V34" s="20">
        <v>461667.69500000001</v>
      </c>
      <c r="W34" s="33">
        <v>546151.47900000005</v>
      </c>
      <c r="X34" s="33">
        <v>529207.71799999999</v>
      </c>
      <c r="Y34" s="33">
        <v>505335.70899999997</v>
      </c>
      <c r="Z34" s="33">
        <v>533383.18400000001</v>
      </c>
      <c r="AA34" s="33">
        <v>599781.98400000005</v>
      </c>
      <c r="AB34" s="33">
        <v>815679.45900000003</v>
      </c>
      <c r="AC34" s="33">
        <v>926526</v>
      </c>
      <c r="AD34" s="20">
        <v>1028323.654</v>
      </c>
      <c r="AE34" s="65">
        <v>1085596.4180000001</v>
      </c>
      <c r="AF34" s="20">
        <v>1162099.7749999999</v>
      </c>
      <c r="AG34" s="20">
        <v>1195990.2169999999</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103423.901</v>
      </c>
      <c r="K35" s="20"/>
      <c r="L35" s="20"/>
      <c r="M35" s="20">
        <v>153677.12899999999</v>
      </c>
      <c r="N35" s="20"/>
      <c r="O35" s="20">
        <v>194632.83799999999</v>
      </c>
      <c r="P35" s="20"/>
      <c r="Q35" s="20"/>
      <c r="R35" s="66">
        <v>208796.85800000001</v>
      </c>
      <c r="S35" s="20">
        <v>232716.535</v>
      </c>
      <c r="T35" s="82">
        <v>289512.64199999999</v>
      </c>
      <c r="U35" s="20">
        <v>263704.73499999999</v>
      </c>
      <c r="V35" s="20">
        <v>292573.70199999999</v>
      </c>
      <c r="W35" s="33">
        <v>388421.68</v>
      </c>
      <c r="X35" s="33">
        <v>345897.72600000002</v>
      </c>
      <c r="Y35" s="33">
        <v>372519.82900000003</v>
      </c>
      <c r="Z35" s="33">
        <v>393204.49800000002</v>
      </c>
      <c r="AA35" s="33">
        <v>520465.50300000003</v>
      </c>
      <c r="AB35" s="33">
        <v>583965.19700000004</v>
      </c>
      <c r="AC35" s="33">
        <v>701996</v>
      </c>
      <c r="AD35" s="20">
        <v>782826.39899999998</v>
      </c>
      <c r="AE35" s="65">
        <v>786722.99600000004</v>
      </c>
      <c r="AF35" s="20">
        <v>823968.58499999996</v>
      </c>
      <c r="AG35" s="20">
        <v>899188.42799999996</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250451.288</v>
      </c>
      <c r="K36" s="20"/>
      <c r="L36" s="20"/>
      <c r="M36" s="20">
        <v>348294.47200000001</v>
      </c>
      <c r="N36" s="20"/>
      <c r="O36" s="20">
        <v>427350.67099999997</v>
      </c>
      <c r="P36" s="20"/>
      <c r="Q36" s="20"/>
      <c r="R36" s="66">
        <v>472767.39</v>
      </c>
      <c r="S36" s="20">
        <v>503201.54499999998</v>
      </c>
      <c r="T36" s="82">
        <v>552697.652</v>
      </c>
      <c r="U36" s="20">
        <v>533359.19700000004</v>
      </c>
      <c r="V36" s="20">
        <v>583588.73600000003</v>
      </c>
      <c r="W36" s="33">
        <v>756600.68799999997</v>
      </c>
      <c r="X36" s="33">
        <v>684532.76500000001</v>
      </c>
      <c r="Y36" s="33">
        <v>794977.64599999995</v>
      </c>
      <c r="Z36" s="33">
        <v>825857.96200000006</v>
      </c>
      <c r="AA36" s="33">
        <v>1041937.3959999999</v>
      </c>
      <c r="AB36" s="33">
        <v>1175893.2139999999</v>
      </c>
      <c r="AC36" s="33">
        <v>1322267</v>
      </c>
      <c r="AD36" s="20">
        <v>1537437.919</v>
      </c>
      <c r="AE36" s="65">
        <v>1743461.9669999999</v>
      </c>
      <c r="AF36" s="20">
        <v>1790406.916</v>
      </c>
      <c r="AG36" s="20">
        <v>1899928.41</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21717.304</v>
      </c>
      <c r="K37" s="51"/>
      <c r="L37" s="51"/>
      <c r="M37" s="51">
        <v>28968.741999999998</v>
      </c>
      <c r="N37" s="51"/>
      <c r="O37" s="51">
        <v>34762.673999999999</v>
      </c>
      <c r="P37" s="51"/>
      <c r="Q37" s="51"/>
      <c r="R37" s="67">
        <v>35657.775000000001</v>
      </c>
      <c r="S37" s="51">
        <v>37809.438999999998</v>
      </c>
      <c r="T37" s="113">
        <v>37209.224999999999</v>
      </c>
      <c r="U37" s="51">
        <v>27521.785</v>
      </c>
      <c r="V37" s="51">
        <v>29184.411</v>
      </c>
      <c r="W37" s="50">
        <v>43567.017999999996</v>
      </c>
      <c r="X37" s="50">
        <v>30967.462</v>
      </c>
      <c r="Y37" s="50">
        <v>32650.449000000001</v>
      </c>
      <c r="Z37" s="50">
        <v>35210.222000000002</v>
      </c>
      <c r="AA37" s="50">
        <v>57648.313999999998</v>
      </c>
      <c r="AB37" s="50">
        <v>64216.694000000003</v>
      </c>
      <c r="AC37" s="50">
        <v>66892</v>
      </c>
      <c r="AD37" s="51">
        <v>71588.259000000005</v>
      </c>
      <c r="AE37" s="64">
        <v>74334.096000000005</v>
      </c>
      <c r="AF37" s="51">
        <v>76269.933999999994</v>
      </c>
      <c r="AG37" s="51">
        <v>82161.058000000005</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 t="shared" ref="J38" si="18">SUM(J40:J51)</f>
        <v>4259276.9519999996</v>
      </c>
      <c r="M38" s="104">
        <f t="shared" ref="M38" si="19">SUM(M40:M51)</f>
        <v>5146102.148</v>
      </c>
      <c r="O38" s="104">
        <f t="shared" ref="O38" si="20">SUM(O40:O51)</f>
        <v>6158730.2960099997</v>
      </c>
      <c r="R38" s="104">
        <f t="shared" ref="R38:AG38" si="21">SUM(R40:R51)</f>
        <v>6805563.6930000009</v>
      </c>
      <c r="S38" s="104">
        <f t="shared" si="21"/>
        <v>7263429.273</v>
      </c>
      <c r="T38" s="114">
        <f t="shared" si="21"/>
        <v>7938081.949</v>
      </c>
      <c r="U38" s="104">
        <f t="shared" si="21"/>
        <v>7519737.8590000002</v>
      </c>
      <c r="V38" s="104">
        <f t="shared" si="21"/>
        <v>8443449.6069999989</v>
      </c>
      <c r="W38" s="104">
        <f t="shared" si="21"/>
        <v>11221627.377999999</v>
      </c>
      <c r="X38" s="104">
        <f t="shared" si="21"/>
        <v>10019453.449000001</v>
      </c>
      <c r="Y38" s="104">
        <f t="shared" si="21"/>
        <v>10838649.256000001</v>
      </c>
      <c r="Z38" s="104">
        <f t="shared" si="21"/>
        <v>11608865.622000001</v>
      </c>
      <c r="AA38" s="104">
        <f t="shared" si="21"/>
        <v>14905735.241999999</v>
      </c>
      <c r="AB38" s="104">
        <f t="shared" si="21"/>
        <v>16136888.001</v>
      </c>
      <c r="AC38" s="104">
        <f t="shared" si="21"/>
        <v>17428287</v>
      </c>
      <c r="AD38" s="104">
        <f t="shared" si="21"/>
        <v>18541087.578000002</v>
      </c>
      <c r="AE38" s="104">
        <f t="shared" si="21"/>
        <v>24999494.657000002</v>
      </c>
      <c r="AF38" s="104">
        <f t="shared" si="21"/>
        <v>19785596.646999996</v>
      </c>
      <c r="AG38" s="104">
        <f t="shared" si="21"/>
        <v>20536329.678000003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434119.10100000002</v>
      </c>
      <c r="K40" s="20"/>
      <c r="L40" s="20"/>
      <c r="M40" s="20">
        <v>538706.95700000005</v>
      </c>
      <c r="N40" s="20"/>
      <c r="O40" s="20">
        <v>657063.09699999995</v>
      </c>
      <c r="P40" s="20"/>
      <c r="Q40" s="20"/>
      <c r="R40" s="66">
        <v>698193.23</v>
      </c>
      <c r="S40" s="20">
        <v>740552.03099999996</v>
      </c>
      <c r="T40" s="82">
        <v>815921.94400000002</v>
      </c>
      <c r="U40" s="20">
        <v>781587.32299999997</v>
      </c>
      <c r="V40" s="20">
        <v>892776.65500000003</v>
      </c>
      <c r="W40" s="33">
        <v>1190150.96</v>
      </c>
      <c r="X40" s="33">
        <v>1093293.243</v>
      </c>
      <c r="Y40" s="33">
        <v>1211740.395</v>
      </c>
      <c r="Z40" s="33">
        <v>1330892.527</v>
      </c>
      <c r="AA40" s="33">
        <v>1766344.8389999999</v>
      </c>
      <c r="AB40" s="33">
        <v>1977442.023</v>
      </c>
      <c r="AC40" s="33">
        <v>2142120</v>
      </c>
      <c r="AD40" s="20">
        <v>2277723.9330000002</v>
      </c>
      <c r="AE40" s="65">
        <v>2359430.6529999999</v>
      </c>
      <c r="AF40" s="20">
        <v>2336847.1469999999</v>
      </c>
      <c r="AG40" s="20">
        <v>2498560.324</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504928.804</v>
      </c>
      <c r="K41" s="20"/>
      <c r="L41" s="20"/>
      <c r="M41" s="20">
        <v>619850.50100000005</v>
      </c>
      <c r="N41" s="20"/>
      <c r="O41" s="20">
        <v>745358.17099999997</v>
      </c>
      <c r="P41" s="20"/>
      <c r="Q41" s="20"/>
      <c r="R41" s="66">
        <v>851756.96299999999</v>
      </c>
      <c r="S41" s="20">
        <v>906154.53599999996</v>
      </c>
      <c r="T41" s="82">
        <v>999947.42</v>
      </c>
      <c r="U41" s="20">
        <v>983299.848</v>
      </c>
      <c r="V41" s="20">
        <v>1105373.0330000001</v>
      </c>
      <c r="W41" s="33">
        <v>1397167.0730000001</v>
      </c>
      <c r="X41" s="33">
        <v>1287251.75</v>
      </c>
      <c r="Y41" s="33">
        <v>1386759.2180000001</v>
      </c>
      <c r="Z41" s="33">
        <v>1500693.8</v>
      </c>
      <c r="AA41" s="33">
        <v>1950804.2039999999</v>
      </c>
      <c r="AB41" s="33">
        <v>2140983.0150000001</v>
      </c>
      <c r="AC41" s="33">
        <v>2291274</v>
      </c>
      <c r="AD41" s="20">
        <v>2424174.7779999999</v>
      </c>
      <c r="AE41" s="65">
        <v>2468876.77</v>
      </c>
      <c r="AF41" s="20">
        <v>2534216.5619999999</v>
      </c>
      <c r="AG41" s="20">
        <v>2624735.3429999999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179917.217</v>
      </c>
      <c r="K42" s="20"/>
      <c r="L42" s="20"/>
      <c r="M42" s="20">
        <v>216299.80900000001</v>
      </c>
      <c r="N42" s="20"/>
      <c r="O42" s="20">
        <v>253232.766</v>
      </c>
      <c r="P42" s="20"/>
      <c r="Q42" s="20"/>
      <c r="R42" s="66">
        <v>279847.62099999998</v>
      </c>
      <c r="S42" s="20">
        <v>301341.076</v>
      </c>
      <c r="T42" s="82">
        <v>357819.55200000003</v>
      </c>
      <c r="U42" s="20">
        <v>328689.18300000002</v>
      </c>
      <c r="V42" s="20">
        <v>373802.48599999998</v>
      </c>
      <c r="W42" s="33">
        <v>502651.038</v>
      </c>
      <c r="X42" s="33">
        <v>411788.02100000001</v>
      </c>
      <c r="Y42" s="33">
        <v>438965.39299999998</v>
      </c>
      <c r="Z42" s="33">
        <v>470297.984</v>
      </c>
      <c r="AA42" s="33">
        <v>642062.429</v>
      </c>
      <c r="AB42" s="33">
        <v>702707.64399999997</v>
      </c>
      <c r="AC42" s="33">
        <v>775593</v>
      </c>
      <c r="AD42" s="20">
        <v>852182.59600000002</v>
      </c>
      <c r="AE42" s="12">
        <v>920992.17</v>
      </c>
      <c r="AF42" s="20">
        <v>968460.99</v>
      </c>
      <c r="AG42" s="20">
        <v>1000558.55</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177288.717</v>
      </c>
      <c r="K43" s="20"/>
      <c r="L43" s="20"/>
      <c r="M43" s="20">
        <v>218239.82199999999</v>
      </c>
      <c r="N43" s="20"/>
      <c r="O43" s="20">
        <v>263530.86297999998</v>
      </c>
      <c r="P43" s="20"/>
      <c r="Q43" s="20"/>
      <c r="R43" s="66">
        <v>261800.97700000001</v>
      </c>
      <c r="S43" s="20">
        <v>281231.67300000001</v>
      </c>
      <c r="T43" s="82">
        <v>292252.61700000003</v>
      </c>
      <c r="U43" s="20">
        <v>304765.46899999998</v>
      </c>
      <c r="V43" s="20">
        <v>330591.48599999998</v>
      </c>
      <c r="W43" s="33">
        <v>431596.89899999998</v>
      </c>
      <c r="X43" s="33">
        <v>431869.489</v>
      </c>
      <c r="Y43" s="33">
        <v>476095.815</v>
      </c>
      <c r="Z43" s="33">
        <v>510664.58399999997</v>
      </c>
      <c r="AA43" s="33">
        <v>617495.03300000005</v>
      </c>
      <c r="AB43" s="33">
        <v>662102.35600000003</v>
      </c>
      <c r="AC43" s="33">
        <v>700153</v>
      </c>
      <c r="AD43" s="20">
        <v>738831.27399999998</v>
      </c>
      <c r="AE43" s="65">
        <v>782664.49</v>
      </c>
      <c r="AF43" s="20">
        <v>821031.35</v>
      </c>
      <c r="AG43" s="20">
        <v>884130.978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877213.64099999995</v>
      </c>
      <c r="K44" s="20"/>
      <c r="L44" s="20"/>
      <c r="M44" s="20">
        <v>1090098.5060000001</v>
      </c>
      <c r="N44" s="20"/>
      <c r="O44" s="20">
        <v>1271449.28</v>
      </c>
      <c r="P44" s="20"/>
      <c r="Q44" s="20"/>
      <c r="R44" s="66">
        <v>1437454.1910000001</v>
      </c>
      <c r="S44" s="20">
        <v>1530977.909</v>
      </c>
      <c r="T44" s="82">
        <v>1751122.55</v>
      </c>
      <c r="U44" s="20">
        <v>1630455.429</v>
      </c>
      <c r="V44" s="20">
        <v>1784342.0179999999</v>
      </c>
      <c r="W44" s="33">
        <v>2237344.2519999999</v>
      </c>
      <c r="X44" s="33">
        <v>2096040.7479999999</v>
      </c>
      <c r="Y44" s="33">
        <v>2238151.0980000002</v>
      </c>
      <c r="Z44" s="33">
        <v>2472763.3539999998</v>
      </c>
      <c r="AA44" s="33">
        <v>3184200.517</v>
      </c>
      <c r="AB44" s="33">
        <v>3434958.9759999998</v>
      </c>
      <c r="AC44" s="33">
        <v>3655439</v>
      </c>
      <c r="AD44" s="20">
        <v>3931934.42</v>
      </c>
      <c r="AE44" s="65">
        <v>4118170.662</v>
      </c>
      <c r="AF44" s="20">
        <v>4299990.8439999996</v>
      </c>
      <c r="AG44" s="20">
        <v>4481655.84</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262819.89299999998</v>
      </c>
      <c r="K45" s="20"/>
      <c r="L45" s="20"/>
      <c r="M45" s="20">
        <v>309290.06599999999</v>
      </c>
      <c r="N45" s="20"/>
      <c r="O45" s="20">
        <v>387044.68</v>
      </c>
      <c r="P45" s="20"/>
      <c r="Q45" s="20"/>
      <c r="R45" s="66">
        <v>427683.13400000002</v>
      </c>
      <c r="S45" s="20">
        <v>465819.95400000003</v>
      </c>
      <c r="T45" s="82">
        <v>544421.31099999999</v>
      </c>
      <c r="U45" s="20">
        <v>543160.70200000005</v>
      </c>
      <c r="V45" s="20">
        <v>626792.28899999999</v>
      </c>
      <c r="W45" s="33">
        <v>848876.58299999998</v>
      </c>
      <c r="X45" s="33">
        <v>740694.9</v>
      </c>
      <c r="Y45" s="33">
        <v>772335.38500000001</v>
      </c>
      <c r="Z45" s="33">
        <v>815339.76899999997</v>
      </c>
      <c r="AA45" s="33">
        <v>1080022.3840000001</v>
      </c>
      <c r="AB45" s="33">
        <v>1148241.6680000001</v>
      </c>
      <c r="AC45" s="33">
        <v>1259266</v>
      </c>
      <c r="AD45" s="20">
        <v>1327859.456</v>
      </c>
      <c r="AE45" s="65">
        <v>1365416.172</v>
      </c>
      <c r="AF45" s="20">
        <v>1383749.0079999999</v>
      </c>
      <c r="AG45" s="20">
        <v>1393008.852</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290868.68400000001</v>
      </c>
      <c r="K46" s="20"/>
      <c r="L46" s="20"/>
      <c r="M46" s="20">
        <v>375748.57500000001</v>
      </c>
      <c r="N46" s="20"/>
      <c r="O46" s="20">
        <v>472510.48200000002</v>
      </c>
      <c r="P46" s="20"/>
      <c r="Q46" s="20"/>
      <c r="R46" s="66">
        <v>501417</v>
      </c>
      <c r="S46" s="20">
        <v>529653.929</v>
      </c>
      <c r="T46" s="82">
        <v>543311.09900000005</v>
      </c>
      <c r="U46" s="20">
        <v>468075.95400000003</v>
      </c>
      <c r="V46" s="20">
        <v>528816.99800000002</v>
      </c>
      <c r="W46" s="33">
        <v>781755.25199999998</v>
      </c>
      <c r="X46" s="33">
        <v>617144.79799999995</v>
      </c>
      <c r="Y46" s="33">
        <v>664019.71200000006</v>
      </c>
      <c r="Z46" s="33">
        <v>693279.81200000003</v>
      </c>
      <c r="AA46" s="33">
        <v>1003091.469</v>
      </c>
      <c r="AB46" s="33">
        <v>1048815.2409999999</v>
      </c>
      <c r="AC46" s="33">
        <v>1113599</v>
      </c>
      <c r="AD46" s="20">
        <v>1203984.4080000001</v>
      </c>
      <c r="AE46" s="65">
        <v>1268731.2169999999</v>
      </c>
      <c r="AF46" s="20">
        <v>1328110.838</v>
      </c>
      <c r="AG46" s="20">
        <v>1390926.8130000001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101355.152</v>
      </c>
      <c r="K47" s="20"/>
      <c r="L47" s="20"/>
      <c r="M47" s="20">
        <v>119441.60400000001</v>
      </c>
      <c r="N47" s="20"/>
      <c r="O47" s="20">
        <v>152115.66899999999</v>
      </c>
      <c r="P47" s="20"/>
      <c r="Q47" s="20"/>
      <c r="R47" s="92">
        <v>156410.19899999999</v>
      </c>
      <c r="S47" s="20">
        <v>168261.818</v>
      </c>
      <c r="T47" s="82">
        <v>189994.17199999999</v>
      </c>
      <c r="U47" s="20">
        <v>160821.91399999999</v>
      </c>
      <c r="V47" s="20">
        <v>182111.53899999999</v>
      </c>
      <c r="W47" s="33">
        <v>262364.08899999998</v>
      </c>
      <c r="X47" s="33">
        <v>210395.003</v>
      </c>
      <c r="Y47" s="33">
        <v>225909.08199999999</v>
      </c>
      <c r="Z47" s="33">
        <v>242474.41099999999</v>
      </c>
      <c r="AA47" s="33">
        <v>307686.07699999999</v>
      </c>
      <c r="AB47" s="33">
        <v>372455.35499999998</v>
      </c>
      <c r="AC47" s="33">
        <v>408407</v>
      </c>
      <c r="AD47" s="20">
        <v>443850.18099999998</v>
      </c>
      <c r="AE47" s="65">
        <v>466907.30099999998</v>
      </c>
      <c r="AF47" s="20">
        <v>486686.05</v>
      </c>
      <c r="AG47" s="20">
        <v>508739.03600000002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64475.779000000002</v>
      </c>
      <c r="K48" s="20"/>
      <c r="L48" s="20"/>
      <c r="M48" s="20">
        <v>75980.226999999999</v>
      </c>
      <c r="N48" s="20"/>
      <c r="O48" s="20">
        <v>90017.293000000005</v>
      </c>
      <c r="P48" s="20"/>
      <c r="Q48" s="20"/>
      <c r="R48" s="66">
        <v>89813.273000000001</v>
      </c>
      <c r="S48" s="20">
        <v>97486.035000000003</v>
      </c>
      <c r="T48" s="82">
        <v>109352.685</v>
      </c>
      <c r="U48" s="20">
        <v>99377.387000000002</v>
      </c>
      <c r="V48" s="20">
        <v>133615.00200000001</v>
      </c>
      <c r="W48" s="33">
        <v>193342.56400000001</v>
      </c>
      <c r="X48" s="33">
        <v>178174.75200000001</v>
      </c>
      <c r="Y48" s="33">
        <v>195875.80900000001</v>
      </c>
      <c r="Z48" s="33">
        <v>209124.91899999999</v>
      </c>
      <c r="AA48" s="33">
        <v>248240.11600000001</v>
      </c>
      <c r="AB48" s="33">
        <v>266382.255</v>
      </c>
      <c r="AC48" s="33">
        <v>281828</v>
      </c>
      <c r="AD48" s="20">
        <v>296449.696</v>
      </c>
      <c r="AE48" s="65">
        <v>306926.598</v>
      </c>
      <c r="AF48" s="20">
        <v>318802.261</v>
      </c>
      <c r="AG48" s="20">
        <v>326008.23300000001</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940030.68400000001</v>
      </c>
      <c r="K49" s="20"/>
      <c r="L49" s="20"/>
      <c r="M49" s="20">
        <v>1088214.716</v>
      </c>
      <c r="N49" s="20"/>
      <c r="O49" s="20">
        <v>1272513.9210000001</v>
      </c>
      <c r="P49" s="20"/>
      <c r="Q49" s="20"/>
      <c r="R49" s="66">
        <v>1379111.558</v>
      </c>
      <c r="S49" s="20">
        <v>1469152.4269999999</v>
      </c>
      <c r="T49" s="82">
        <v>1685747.993</v>
      </c>
      <c r="U49" s="20">
        <v>1570550.754</v>
      </c>
      <c r="V49" s="20">
        <v>1762947.0719999999</v>
      </c>
      <c r="W49" s="33">
        <v>2498520.4169999999</v>
      </c>
      <c r="X49" s="33">
        <v>2097750.6179999998</v>
      </c>
      <c r="Y49" s="33">
        <v>2289245.8110000002</v>
      </c>
      <c r="Z49" s="33">
        <v>2364147.0669999998</v>
      </c>
      <c r="AA49" s="33">
        <v>2923688.25</v>
      </c>
      <c r="AB49" s="33">
        <v>3119881.7250000001</v>
      </c>
      <c r="AC49" s="33">
        <v>3414210</v>
      </c>
      <c r="AD49" s="20">
        <v>3582982.2170000002</v>
      </c>
      <c r="AE49" s="12">
        <v>3647126.2080000001</v>
      </c>
      <c r="AF49" s="20">
        <v>3722258.3769999999</v>
      </c>
      <c r="AG49" s="20">
        <v>3842306.804</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50467.205000000002</v>
      </c>
      <c r="K50" s="20"/>
      <c r="L50" s="20"/>
      <c r="M50" s="20">
        <v>61174.74</v>
      </c>
      <c r="N50" s="20"/>
      <c r="O50" s="20">
        <v>75396.070030000003</v>
      </c>
      <c r="P50" s="20"/>
      <c r="Q50" s="20"/>
      <c r="R50" s="66">
        <v>75914.315000000002</v>
      </c>
      <c r="S50" s="20">
        <v>81676.381999999998</v>
      </c>
      <c r="T50" s="82">
        <v>89931.663</v>
      </c>
      <c r="U50" s="20">
        <v>89124.576000000001</v>
      </c>
      <c r="V50" s="20">
        <v>94908.702999999994</v>
      </c>
      <c r="W50" s="33">
        <v>118687.086</v>
      </c>
      <c r="X50" s="33">
        <v>113267.603</v>
      </c>
      <c r="Y50" s="33">
        <v>121667.823</v>
      </c>
      <c r="Z50" s="33">
        <v>133631.85500000001</v>
      </c>
      <c r="AA50" s="33">
        <v>168102.18799999999</v>
      </c>
      <c r="AB50" s="33">
        <v>178512.46799999999</v>
      </c>
      <c r="AC50" s="33">
        <v>202091</v>
      </c>
      <c r="AD50" s="20">
        <v>221184.89199999999</v>
      </c>
      <c r="AE50" s="12">
        <v>3647126.2080000001</v>
      </c>
      <c r="AF50" s="20">
        <v>240206.27600000001</v>
      </c>
      <c r="AG50" s="20">
        <v>249983.47500000001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375792.07500000001</v>
      </c>
      <c r="K51" s="51"/>
      <c r="L51" s="51"/>
      <c r="M51" s="51">
        <v>433056.625</v>
      </c>
      <c r="N51" s="51"/>
      <c r="O51" s="51">
        <v>518498.00400000002</v>
      </c>
      <c r="P51" s="51"/>
      <c r="Q51" s="51"/>
      <c r="R51" s="67">
        <v>646161.23199999996</v>
      </c>
      <c r="S51" s="51">
        <v>691121.50300000003</v>
      </c>
      <c r="T51" s="113">
        <v>558258.94299999997</v>
      </c>
      <c r="U51" s="51">
        <v>559829.31999999995</v>
      </c>
      <c r="V51" s="51">
        <v>627372.326</v>
      </c>
      <c r="W51" s="50">
        <v>759171.16500000004</v>
      </c>
      <c r="X51" s="50">
        <v>741782.52399999998</v>
      </c>
      <c r="Y51" s="50">
        <v>817883.71499999997</v>
      </c>
      <c r="Z51" s="50">
        <v>865555.54</v>
      </c>
      <c r="AA51" s="50">
        <v>1013997.736</v>
      </c>
      <c r="AB51" s="50">
        <v>1084405.2749999999</v>
      </c>
      <c r="AC51" s="50">
        <v>1184307</v>
      </c>
      <c r="AD51" s="51">
        <v>1239929.727</v>
      </c>
      <c r="AE51" s="51">
        <v>3647126.2080000001</v>
      </c>
      <c r="AF51" s="51">
        <v>1345236.9439999999</v>
      </c>
      <c r="AG51" s="51">
        <v>1335715.43</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 t="shared" ref="J52" si="22">SUM(J54:J62)</f>
        <v>2813186.0449999999</v>
      </c>
      <c r="M52" s="104">
        <f t="shared" ref="M52" si="23">SUM(M54:M62)</f>
        <v>3340412.0729999999</v>
      </c>
      <c r="O52" s="104">
        <f t="shared" ref="O52" si="24">SUM(O54:O62)</f>
        <v>4450435.8130000001</v>
      </c>
      <c r="R52" s="104">
        <f t="shared" ref="R52:AG52" si="25">SUM(R54:R62)</f>
        <v>4335567.7940000007</v>
      </c>
      <c r="S52" s="104">
        <f t="shared" si="25"/>
        <v>4316985.1400000006</v>
      </c>
      <c r="T52" s="114">
        <f t="shared" si="25"/>
        <v>4008703.801</v>
      </c>
      <c r="U52" s="104">
        <f t="shared" si="25"/>
        <v>3022656.2430000002</v>
      </c>
      <c r="V52" s="104">
        <f t="shared" si="25"/>
        <v>3564402.1519999998</v>
      </c>
      <c r="W52" s="104">
        <f t="shared" si="25"/>
        <v>5391939.0369999995</v>
      </c>
      <c r="X52" s="104">
        <f t="shared" si="25"/>
        <v>4471040.2450000001</v>
      </c>
      <c r="Y52" s="104">
        <f t="shared" si="25"/>
        <v>4762237.0539999995</v>
      </c>
      <c r="Z52" s="104">
        <f t="shared" si="25"/>
        <v>5073099.1069999989</v>
      </c>
      <c r="AA52" s="104">
        <f t="shared" si="25"/>
        <v>6866560.3800000008</v>
      </c>
      <c r="AB52" s="104">
        <f t="shared" si="25"/>
        <v>7899848.7089999998</v>
      </c>
      <c r="AC52" s="104">
        <f t="shared" si="25"/>
        <v>8386972</v>
      </c>
      <c r="AD52" s="104">
        <f t="shared" si="25"/>
        <v>8943398.9719999991</v>
      </c>
      <c r="AE52" s="104">
        <f t="shared" si="25"/>
        <v>9044396.6219999995</v>
      </c>
      <c r="AF52" s="104">
        <f t="shared" si="25"/>
        <v>9571535.4850000013</v>
      </c>
      <c r="AG52" s="104">
        <f t="shared" si="25"/>
        <v>9997543.853000002</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141480.91500000001</v>
      </c>
      <c r="K54" s="20"/>
      <c r="L54" s="20"/>
      <c r="M54" s="65">
        <v>194052.052</v>
      </c>
      <c r="N54" s="20"/>
      <c r="O54" s="20">
        <v>216148.15700000001</v>
      </c>
      <c r="P54" s="20"/>
      <c r="Q54" s="20"/>
      <c r="R54" s="66">
        <v>238845.04300000001</v>
      </c>
      <c r="S54" s="20">
        <v>254765.253</v>
      </c>
      <c r="T54" s="82">
        <v>269046.79200000002</v>
      </c>
      <c r="U54" s="20">
        <v>256868.29699999999</v>
      </c>
      <c r="V54" s="20">
        <v>290968.99900000001</v>
      </c>
      <c r="W54" s="33">
        <v>399998.02</v>
      </c>
      <c r="X54" s="33">
        <v>345203.12800000003</v>
      </c>
      <c r="Y54" s="33">
        <v>370600.20600000001</v>
      </c>
      <c r="Z54" s="33">
        <v>393405.57199999999</v>
      </c>
      <c r="AA54" s="33">
        <v>574899.61600000004</v>
      </c>
      <c r="AB54" s="33">
        <v>624645.18700000003</v>
      </c>
      <c r="AC54" s="33">
        <v>666884</v>
      </c>
      <c r="AD54" s="20">
        <v>687166.33900000004</v>
      </c>
      <c r="AE54" s="65">
        <v>698563.05099999998</v>
      </c>
      <c r="AF54" s="20">
        <v>734236.74399999995</v>
      </c>
      <c r="AG54" s="20">
        <v>776743.53799999994</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76025.346000000005</v>
      </c>
      <c r="K55" s="20"/>
      <c r="L55" s="20"/>
      <c r="M55" s="20">
        <v>83600.941000000006</v>
      </c>
      <c r="N55" s="20"/>
      <c r="O55" s="20">
        <v>105753.577</v>
      </c>
      <c r="P55" s="20"/>
      <c r="Q55" s="20"/>
      <c r="R55" s="66">
        <v>108526.55100000001</v>
      </c>
      <c r="S55" s="20">
        <v>113415.66800000001</v>
      </c>
      <c r="T55" s="82">
        <v>138436.636</v>
      </c>
      <c r="U55" s="20">
        <v>112616.899</v>
      </c>
      <c r="V55" s="20">
        <v>121063.7</v>
      </c>
      <c r="W55" s="33">
        <v>177596.70600000001</v>
      </c>
      <c r="X55" s="33">
        <v>140959.65299999999</v>
      </c>
      <c r="Y55" s="33">
        <v>157869.20000000001</v>
      </c>
      <c r="Z55" s="33">
        <v>171306.717</v>
      </c>
      <c r="AA55" s="33">
        <v>250188.52900000001</v>
      </c>
      <c r="AB55" s="33">
        <v>264728.83399999997</v>
      </c>
      <c r="AC55" s="33">
        <v>275193</v>
      </c>
      <c r="AD55" s="20">
        <v>281575.34299999999</v>
      </c>
      <c r="AE55" s="65">
        <v>280026.53600000002</v>
      </c>
      <c r="AF55" s="20">
        <v>280309.91100000002</v>
      </c>
      <c r="AG55" s="20">
        <v>282851.47899999999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329115.277</v>
      </c>
      <c r="K56" s="20"/>
      <c r="L56" s="20"/>
      <c r="M56" s="20">
        <v>367613.59399999998</v>
      </c>
      <c r="N56" s="20"/>
      <c r="O56" s="20">
        <v>410342.93199999997</v>
      </c>
      <c r="P56" s="20"/>
      <c r="Q56" s="20"/>
      <c r="R56" s="66">
        <v>395216.02299999999</v>
      </c>
      <c r="S56" s="20">
        <v>400291.60200000001</v>
      </c>
      <c r="T56" s="82">
        <v>449391.28700000001</v>
      </c>
      <c r="U56" s="20">
        <v>416128.31099999999</v>
      </c>
      <c r="V56" s="20">
        <v>515166.75699999998</v>
      </c>
      <c r="W56" s="33">
        <v>661104.22199999995</v>
      </c>
      <c r="X56" s="33">
        <v>602807.80700000003</v>
      </c>
      <c r="Y56" s="33">
        <v>645987.15399999998</v>
      </c>
      <c r="Z56" s="33">
        <v>680367.63</v>
      </c>
      <c r="AA56" s="33">
        <v>844605.27800000005</v>
      </c>
      <c r="AB56" s="33">
        <v>1014907.083</v>
      </c>
      <c r="AC56" s="33">
        <v>1091101</v>
      </c>
      <c r="AD56" s="20">
        <v>1188624.075</v>
      </c>
      <c r="AE56" s="65">
        <v>1277218.3659999999</v>
      </c>
      <c r="AF56" s="20">
        <v>1329673.6640000001</v>
      </c>
      <c r="AG56" s="20">
        <v>1380482.3959999999</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112098.671</v>
      </c>
      <c r="K57" s="20"/>
      <c r="L57" s="20"/>
      <c r="M57" s="20">
        <v>138969.52900000001</v>
      </c>
      <c r="N57" s="20"/>
      <c r="O57" s="20">
        <v>155981.66800000001</v>
      </c>
      <c r="P57" s="20"/>
      <c r="Q57" s="20"/>
      <c r="R57" s="92">
        <v>171923.76699999999</v>
      </c>
      <c r="S57" s="20">
        <v>181995.383</v>
      </c>
      <c r="T57" s="82">
        <v>193490.26699999999</v>
      </c>
      <c r="U57" s="20">
        <v>158830.83600000001</v>
      </c>
      <c r="V57" s="20">
        <v>170150.073</v>
      </c>
      <c r="W57" s="33">
        <v>246329.655</v>
      </c>
      <c r="X57" s="33">
        <v>200522.049</v>
      </c>
      <c r="Y57" s="33">
        <v>216814.83900000001</v>
      </c>
      <c r="Z57" s="33">
        <v>234727.38699999999</v>
      </c>
      <c r="AA57" s="33">
        <v>340064.41499999998</v>
      </c>
      <c r="AB57" s="33">
        <v>367060.21500000003</v>
      </c>
      <c r="AC57" s="33">
        <v>392920</v>
      </c>
      <c r="AD57" s="20">
        <v>429655.88</v>
      </c>
      <c r="AE57" s="65">
        <v>453416.68300000002</v>
      </c>
      <c r="AF57" s="20">
        <v>454567.50799999997</v>
      </c>
      <c r="AG57" s="20">
        <v>464758.66700000002</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191021.641</v>
      </c>
      <c r="K58" s="20"/>
      <c r="L58" s="20"/>
      <c r="M58" s="20">
        <v>235676.69200000001</v>
      </c>
      <c r="N58" s="20"/>
      <c r="O58" s="20">
        <v>558951.25800000003</v>
      </c>
      <c r="P58" s="20"/>
      <c r="Q58" s="20"/>
      <c r="R58" s="92">
        <v>376933.00099999999</v>
      </c>
      <c r="S58" s="20">
        <v>413129.95500000002</v>
      </c>
      <c r="T58" s="82">
        <v>465100.52</v>
      </c>
      <c r="U58" s="20">
        <v>396333.52799999999</v>
      </c>
      <c r="V58" s="20">
        <v>486158.223</v>
      </c>
      <c r="W58" s="33">
        <v>1120008.7279999999</v>
      </c>
      <c r="X58" s="33">
        <v>974414.58200000005</v>
      </c>
      <c r="Y58" s="33">
        <v>1075353.118</v>
      </c>
      <c r="Z58" s="33">
        <v>1188893.379</v>
      </c>
      <c r="AA58" s="33">
        <v>1522996.655</v>
      </c>
      <c r="AB58" s="33">
        <v>1756113.0649999999</v>
      </c>
      <c r="AC58" s="33">
        <v>1920412</v>
      </c>
      <c r="AD58" s="20">
        <v>2049257.5319999999</v>
      </c>
      <c r="AE58" s="65">
        <v>1988753.5020000001</v>
      </c>
      <c r="AF58" s="20">
        <v>2220251.5690000001</v>
      </c>
      <c r="AG58" s="20">
        <v>2335073.25</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723281.64399999997</v>
      </c>
      <c r="K59" s="20"/>
      <c r="L59" s="20"/>
      <c r="M59" s="20">
        <v>903310.32200000004</v>
      </c>
      <c r="N59" s="20"/>
      <c r="O59" s="20">
        <v>1337938.7409999999</v>
      </c>
      <c r="P59" s="20"/>
      <c r="Q59" s="20"/>
      <c r="R59" s="92">
        <v>1221713.827</v>
      </c>
      <c r="S59" s="20">
        <v>1280796.629</v>
      </c>
      <c r="T59" s="82">
        <v>1346431.057</v>
      </c>
      <c r="U59" s="20">
        <v>940189.47199999995</v>
      </c>
      <c r="V59" s="20">
        <v>1164001.0649999999</v>
      </c>
      <c r="W59" s="33">
        <v>1721529.4269999999</v>
      </c>
      <c r="X59" s="33">
        <v>1274658.469</v>
      </c>
      <c r="Y59" s="33">
        <v>1322863.186</v>
      </c>
      <c r="Z59" s="33">
        <v>1366711.932</v>
      </c>
      <c r="AA59" s="33">
        <v>1955964.8060000001</v>
      </c>
      <c r="AB59" s="33">
        <v>2346770.784</v>
      </c>
      <c r="AC59" s="33">
        <v>2415437</v>
      </c>
      <c r="AD59" s="20">
        <v>2573341.5389999999</v>
      </c>
      <c r="AE59" s="65">
        <v>2593882.6839999999</v>
      </c>
      <c r="AF59" s="20">
        <v>2777281.676</v>
      </c>
      <c r="AG59" s="20">
        <v>2940428.2230000002</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1045222.568</v>
      </c>
      <c r="K60" s="20"/>
      <c r="L60" s="20"/>
      <c r="M60" s="20">
        <v>1187638.2180000001</v>
      </c>
      <c r="N60" s="20"/>
      <c r="O60" s="20">
        <v>1411166.733</v>
      </c>
      <c r="P60" s="20"/>
      <c r="Q60" s="20"/>
      <c r="R60" s="66">
        <v>1549634.615</v>
      </c>
      <c r="S60" s="20">
        <v>1388596.311</v>
      </c>
      <c r="T60" s="82">
        <v>841748.69299999997</v>
      </c>
      <c r="U60" s="20">
        <v>473779.73700000002</v>
      </c>
      <c r="V60" s="20">
        <v>513148.95500000002</v>
      </c>
      <c r="W60" s="33">
        <v>664137.853</v>
      </c>
      <c r="X60" s="33">
        <v>561200.522</v>
      </c>
      <c r="Y60" s="33">
        <v>566238.55900000001</v>
      </c>
      <c r="Z60" s="33">
        <v>594199.34</v>
      </c>
      <c r="AA60" s="33">
        <v>793016.89500000002</v>
      </c>
      <c r="AB60" s="33">
        <v>866597.47699999996</v>
      </c>
      <c r="AC60" s="33">
        <v>933107</v>
      </c>
      <c r="AD60" s="20">
        <v>1010226.661</v>
      </c>
      <c r="AE60" s="65">
        <v>1015318.529</v>
      </c>
      <c r="AF60" s="20">
        <v>1029067.768</v>
      </c>
      <c r="AG60" s="20">
        <v>1042123.147</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80156.899000000005</v>
      </c>
      <c r="K61" s="20"/>
      <c r="L61" s="20"/>
      <c r="M61" s="20">
        <v>94843.055999999997</v>
      </c>
      <c r="N61" s="20"/>
      <c r="O61" s="20">
        <v>101887.4</v>
      </c>
      <c r="P61" s="20"/>
      <c r="Q61" s="20"/>
      <c r="R61" s="66">
        <v>107096.166</v>
      </c>
      <c r="S61" s="20">
        <v>114231.606</v>
      </c>
      <c r="T61" s="82">
        <v>120487.084</v>
      </c>
      <c r="U61" s="20">
        <v>108136.819</v>
      </c>
      <c r="V61" s="20">
        <v>125415.905</v>
      </c>
      <c r="W61" s="33">
        <v>169797.29</v>
      </c>
      <c r="X61" s="33">
        <v>153376.50399999999</v>
      </c>
      <c r="Y61" s="33">
        <v>168438.016</v>
      </c>
      <c r="Z61" s="33">
        <v>188415.079</v>
      </c>
      <c r="AA61" s="33">
        <v>256713.155</v>
      </c>
      <c r="AB61" s="33">
        <v>279631.08199999999</v>
      </c>
      <c r="AC61" s="33">
        <v>295606</v>
      </c>
      <c r="AD61" s="20">
        <v>309833.33100000001</v>
      </c>
      <c r="AE61" s="65">
        <v>330262.674</v>
      </c>
      <c r="AF61" s="20">
        <v>332008.15299999999</v>
      </c>
      <c r="AG61" s="20">
        <v>345055.10600000003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114783.084</v>
      </c>
      <c r="K62" s="51"/>
      <c r="L62" s="51"/>
      <c r="M62" s="51">
        <v>134707.66899999999</v>
      </c>
      <c r="N62" s="51"/>
      <c r="O62" s="51">
        <v>152265.34700000001</v>
      </c>
      <c r="P62" s="51"/>
      <c r="Q62" s="51"/>
      <c r="R62" s="67">
        <v>165678.80100000001</v>
      </c>
      <c r="S62" s="51">
        <v>169762.73300000001</v>
      </c>
      <c r="T62" s="113">
        <v>184571.465</v>
      </c>
      <c r="U62" s="51">
        <v>159772.34400000001</v>
      </c>
      <c r="V62" s="51">
        <v>178328.47500000001</v>
      </c>
      <c r="W62" s="50">
        <v>231437.136</v>
      </c>
      <c r="X62" s="50">
        <v>217897.53099999999</v>
      </c>
      <c r="Y62" s="50">
        <v>238072.77600000001</v>
      </c>
      <c r="Z62" s="50">
        <v>255072.071</v>
      </c>
      <c r="AA62" s="50">
        <v>328111.03100000002</v>
      </c>
      <c r="AB62" s="50">
        <v>379394.98200000002</v>
      </c>
      <c r="AC62" s="50">
        <v>396312</v>
      </c>
      <c r="AD62" s="51">
        <v>413718.272</v>
      </c>
      <c r="AE62" s="64">
        <v>406954.59700000001</v>
      </c>
      <c r="AF62" s="51">
        <v>414138.49200000003</v>
      </c>
      <c r="AG62" s="51">
        <v>430028.04700000002</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8061.1350000000002</v>
      </c>
      <c r="K63" s="86"/>
      <c r="L63" s="86"/>
      <c r="M63" s="86">
        <v>10834.496999999999</v>
      </c>
      <c r="N63" s="86"/>
      <c r="O63" s="86">
        <v>15372.525960000001</v>
      </c>
      <c r="P63" s="86"/>
      <c r="Q63" s="86"/>
      <c r="R63" s="88">
        <v>11565.094999999999</v>
      </c>
      <c r="S63" s="86">
        <v>21529.335999999999</v>
      </c>
      <c r="T63" s="89">
        <v>15840.129000000001</v>
      </c>
      <c r="U63" s="86">
        <v>14631.991</v>
      </c>
      <c r="V63" s="86">
        <v>14037.932000000001</v>
      </c>
      <c r="W63" s="87">
        <v>21112.276999999998</v>
      </c>
      <c r="X63" s="87">
        <v>17087.491999999998</v>
      </c>
      <c r="Y63" s="87">
        <v>17401</v>
      </c>
      <c r="Z63" s="87">
        <v>20375.575000000001</v>
      </c>
      <c r="AA63" s="87">
        <v>19789.932000000001</v>
      </c>
      <c r="AB63" s="87">
        <v>27224.065999999999</v>
      </c>
      <c r="AC63" s="87">
        <v>29353</v>
      </c>
      <c r="AD63" s="51">
        <v>28652.757000000001</v>
      </c>
      <c r="AE63" s="51">
        <v>31944.017</v>
      </c>
      <c r="AF63" s="51">
        <v>32130.768</v>
      </c>
      <c r="AG63" s="51">
        <v>32498.006000000001</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t="s">
        <v>17</v>
      </c>
      <c r="B66" s="12" t="s">
        <v>16</v>
      </c>
      <c r="C66" s="12"/>
      <c r="D66" s="12"/>
      <c r="E66" s="12"/>
      <c r="F66" s="12"/>
      <c r="G66" s="12"/>
      <c r="H66" s="12"/>
      <c r="I66" s="12" t="s">
        <v>18</v>
      </c>
      <c r="J66" s="12" t="s">
        <v>70</v>
      </c>
      <c r="K66" s="12"/>
      <c r="L66" s="12"/>
      <c r="M66" s="56" t="s">
        <v>86</v>
      </c>
      <c r="N66" s="35" t="s">
        <v>75</v>
      </c>
      <c r="O66" s="12" t="s">
        <v>71</v>
      </c>
      <c r="P66" s="12"/>
      <c r="Q66" s="12"/>
      <c r="R66" s="12" t="s">
        <v>71</v>
      </c>
      <c r="S66" s="12"/>
      <c r="T66" s="12"/>
      <c r="U66" s="56" t="s">
        <v>86</v>
      </c>
      <c r="V66" s="56" t="s">
        <v>86</v>
      </c>
      <c r="W66" s="56" t="s">
        <v>86</v>
      </c>
      <c r="X66" s="56" t="s">
        <v>86</v>
      </c>
      <c r="Y66" s="56"/>
      <c r="Z66" s="56"/>
      <c r="AA66" s="56"/>
      <c r="AB66" s="56"/>
      <c r="AC66" s="56"/>
      <c r="AD66" s="12"/>
      <c r="AE66" s="12"/>
      <c r="AF66" s="56" t="s">
        <v>86</v>
      </c>
      <c r="AG66" s="56"/>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t="s">
        <v>19</v>
      </c>
      <c r="B67" s="12" t="s">
        <v>18</v>
      </c>
      <c r="C67" s="12"/>
      <c r="D67" s="12"/>
      <c r="E67" s="12"/>
      <c r="F67" s="12"/>
      <c r="G67" s="12"/>
      <c r="H67" s="12"/>
      <c r="I67" s="12" t="s">
        <v>20</v>
      </c>
      <c r="J67" s="12" t="s">
        <v>69</v>
      </c>
      <c r="K67" s="12"/>
      <c r="L67" s="12"/>
      <c r="M67" s="12" t="s">
        <v>87</v>
      </c>
      <c r="N67" s="12" t="s">
        <v>74</v>
      </c>
      <c r="O67" s="12" t="s">
        <v>72</v>
      </c>
      <c r="P67" s="12"/>
      <c r="Q67" s="12"/>
      <c r="R67" s="12" t="s">
        <v>80</v>
      </c>
      <c r="S67" s="12"/>
      <c r="T67" s="12"/>
      <c r="U67" s="12" t="s">
        <v>87</v>
      </c>
      <c r="V67" s="12" t="s">
        <v>87</v>
      </c>
      <c r="W67" s="12" t="s">
        <v>87</v>
      </c>
      <c r="X67" s="12" t="s">
        <v>87</v>
      </c>
      <c r="Y67" s="12"/>
      <c r="Z67" s="12"/>
      <c r="AA67" s="12"/>
      <c r="AB67" s="12"/>
      <c r="AC67" s="12"/>
      <c r="AD67" s="12"/>
      <c r="AE67" s="12"/>
      <c r="AF67" s="12" t="s">
        <v>87</v>
      </c>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t="s">
        <v>21</v>
      </c>
      <c r="B68" s="12" t="s">
        <v>20</v>
      </c>
      <c r="C68" s="12"/>
      <c r="D68" s="12"/>
      <c r="E68" s="12"/>
      <c r="F68" s="12"/>
      <c r="G68" s="12"/>
      <c r="H68" s="12"/>
      <c r="I68" s="12" t="s">
        <v>22</v>
      </c>
      <c r="J68" s="12" t="s">
        <v>68</v>
      </c>
      <c r="K68" s="12"/>
      <c r="L68" s="12"/>
      <c r="M68" s="12" t="s">
        <v>88</v>
      </c>
      <c r="N68" s="12" t="s">
        <v>73</v>
      </c>
      <c r="O68" s="12"/>
      <c r="P68" s="12"/>
      <c r="Q68" s="12"/>
      <c r="R68" s="12"/>
      <c r="S68" s="12"/>
      <c r="T68" s="12"/>
      <c r="U68" s="12" t="s">
        <v>88</v>
      </c>
      <c r="V68" s="12" t="s">
        <v>88</v>
      </c>
      <c r="W68" s="12" t="s">
        <v>88</v>
      </c>
      <c r="X68" s="12" t="s">
        <v>88</v>
      </c>
      <c r="Y68" s="12"/>
      <c r="Z68" s="12"/>
      <c r="AA68" s="12"/>
      <c r="AB68" s="12"/>
      <c r="AC68" s="12"/>
      <c r="AD68" s="12"/>
      <c r="AE68" s="12"/>
      <c r="AF68" s="12" t="s">
        <v>88</v>
      </c>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t="s">
        <v>23</v>
      </c>
      <c r="B69" s="12" t="s">
        <v>22</v>
      </c>
      <c r="C69" s="12"/>
      <c r="D69" s="12"/>
      <c r="E69" s="12"/>
      <c r="F69" s="12"/>
      <c r="G69" s="12"/>
      <c r="H69" s="12"/>
      <c r="I69" s="12" t="s">
        <v>24</v>
      </c>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t="s">
        <v>25</v>
      </c>
      <c r="B70" s="12" t="s">
        <v>24</v>
      </c>
      <c r="C70" s="12"/>
      <c r="D70" s="12"/>
      <c r="E70" s="12"/>
      <c r="F70" s="12"/>
      <c r="G70" s="12"/>
      <c r="H70" s="12"/>
      <c r="I70" s="12" t="s">
        <v>26</v>
      </c>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t="s">
        <v>27</v>
      </c>
      <c r="B71" s="12" t="s">
        <v>26</v>
      </c>
      <c r="C71" s="12"/>
      <c r="D71" s="12"/>
      <c r="E71" s="12"/>
      <c r="F71" s="12"/>
      <c r="G71" s="12"/>
      <c r="H71" s="12"/>
      <c r="I71" s="12" t="s">
        <v>28</v>
      </c>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t="s">
        <v>29</v>
      </c>
      <c r="B72" s="12" t="s">
        <v>28</v>
      </c>
      <c r="C72" s="12"/>
      <c r="D72" s="12"/>
      <c r="E72" s="12"/>
      <c r="F72" s="12"/>
      <c r="G72" s="12"/>
      <c r="H72" s="12"/>
      <c r="I72" s="12" t="s">
        <v>30</v>
      </c>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t="s">
        <v>31</v>
      </c>
      <c r="B73" s="12" t="s">
        <v>30</v>
      </c>
      <c r="C73" s="12"/>
      <c r="D73" s="12"/>
      <c r="E73" s="12"/>
      <c r="F73" s="12"/>
      <c r="G73" s="12"/>
      <c r="H73" s="12"/>
      <c r="I73" s="12" t="s">
        <v>32</v>
      </c>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t="s">
        <v>33</v>
      </c>
      <c r="B74" s="12" t="s">
        <v>32</v>
      </c>
      <c r="C74" s="12"/>
      <c r="D74" s="12"/>
      <c r="E74" s="12"/>
      <c r="F74" s="12"/>
      <c r="G74" s="12"/>
      <c r="H74" s="12"/>
      <c r="I74" s="12" t="s">
        <v>34</v>
      </c>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t="s">
        <v>35</v>
      </c>
      <c r="B75" s="12" t="s">
        <v>34</v>
      </c>
      <c r="C75" s="12"/>
      <c r="D75" s="12"/>
      <c r="E75" s="12"/>
      <c r="F75" s="12"/>
      <c r="G75" s="12"/>
      <c r="H75" s="12"/>
      <c r="I75" s="12" t="s">
        <v>36</v>
      </c>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t="s">
        <v>37</v>
      </c>
      <c r="B76" s="12" t="s">
        <v>36</v>
      </c>
      <c r="C76" s="12"/>
      <c r="D76" s="12"/>
      <c r="E76" s="12"/>
      <c r="F76" s="12"/>
      <c r="G76" s="12"/>
      <c r="H76" s="12"/>
      <c r="I76" s="12" t="s">
        <v>38</v>
      </c>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t="s">
        <v>39</v>
      </c>
      <c r="B77" s="12" t="s">
        <v>91</v>
      </c>
      <c r="C77" s="12"/>
      <c r="D77" s="12"/>
      <c r="E77" s="12"/>
      <c r="F77" s="12"/>
      <c r="G77" s="12"/>
      <c r="H77" s="12"/>
      <c r="I77" s="12" t="s">
        <v>40</v>
      </c>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t="s">
        <v>41</v>
      </c>
      <c r="B78" s="12" t="s">
        <v>40</v>
      </c>
      <c r="C78" s="12"/>
      <c r="D78" s="12"/>
      <c r="E78" s="12"/>
      <c r="F78" s="12"/>
      <c r="G78" s="12"/>
      <c r="H78" s="12"/>
      <c r="I78" s="12" t="s">
        <v>43</v>
      </c>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t="s">
        <v>44</v>
      </c>
      <c r="B79" s="12" t="s">
        <v>42</v>
      </c>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t="s">
        <v>45</v>
      </c>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t="s">
        <v>46</v>
      </c>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t="s">
        <v>47</v>
      </c>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t="s">
        <v>27</v>
      </c>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t="s">
        <v>48</v>
      </c>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t="s">
        <v>49</v>
      </c>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portrait" r:id="rId1"/>
  <headerFooter alignWithMargins="0">
    <oddFooter>&amp;LSREB Fact Book 1996/1997&amp;CUpdate&amp;R&amp;D</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5">
    <tabColor indexed="62"/>
  </sheetPr>
  <dimension ref="A1:HB92"/>
  <sheetViews>
    <sheetView showZeros="0" zoomScaleNormal="100" workbookViewId="0">
      <pane xSplit="1" ySplit="3" topLeftCell="AA4" activePane="bottomRight" state="frozen"/>
      <selection activeCell="O44" sqref="O44"/>
      <selection pane="topRight" activeCell="O44" sqref="O44"/>
      <selection pane="bottomLeft" activeCell="O44" sqref="O44"/>
      <selection pane="bottomRight" activeCell="AG12" sqref="AG12"/>
    </sheetView>
  </sheetViews>
  <sheetFormatPr defaultColWidth="9.7109375" defaultRowHeight="12.75"/>
  <cols>
    <col min="1" max="1" width="19.5703125" style="13" bestFit="1" customWidth="1"/>
    <col min="2" max="22" width="13.85546875" style="13" customWidth="1"/>
    <col min="23" max="29" width="13.85546875" style="53" customWidth="1"/>
    <col min="30" max="31" width="9.7109375" style="13"/>
    <col min="32" max="32" width="10.7109375" style="13" bestFit="1" customWidth="1"/>
    <col min="33"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93</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41991+114315</f>
        <v>156306</v>
      </c>
      <c r="C4" s="86">
        <f>45452+122091</f>
        <v>167543</v>
      </c>
      <c r="D4" s="86">
        <f>40291+130643</f>
        <v>170934</v>
      </c>
      <c r="E4" s="86"/>
      <c r="F4" s="86"/>
      <c r="G4" s="86"/>
      <c r="H4" s="86"/>
      <c r="I4" s="86">
        <v>221794.818</v>
      </c>
      <c r="J4" s="100">
        <f>+J5+J23+J38+J52+J63</f>
        <v>192631.435</v>
      </c>
      <c r="K4" s="86">
        <v>203098.84299999999</v>
      </c>
      <c r="L4" s="86">
        <v>206170.94399999999</v>
      </c>
      <c r="M4" s="100">
        <f>+M5+M23+M38+M52+M63</f>
        <v>197081.671</v>
      </c>
      <c r="N4" s="86">
        <v>278416.71399999998</v>
      </c>
      <c r="O4" s="100">
        <f>+O5+O23+O38+O52+O63</f>
        <v>195113.28771999999</v>
      </c>
      <c r="P4" s="86"/>
      <c r="Q4" s="86"/>
      <c r="R4" s="100">
        <f t="shared" ref="R4:AA4" si="0">+R5+R23+R38+R52+R63</f>
        <v>195089.58</v>
      </c>
      <c r="S4" s="100">
        <f t="shared" si="0"/>
        <v>191336.54300000001</v>
      </c>
      <c r="T4" s="111">
        <f t="shared" si="0"/>
        <v>173418.90100000001</v>
      </c>
      <c r="U4" s="100">
        <f t="shared" si="0"/>
        <v>181987.61000000002</v>
      </c>
      <c r="V4" s="100">
        <f t="shared" si="0"/>
        <v>229604.18300000002</v>
      </c>
      <c r="W4" s="100">
        <f t="shared" si="0"/>
        <v>245770.96000000002</v>
      </c>
      <c r="X4" s="100">
        <f t="shared" si="0"/>
        <v>267146.69600000005</v>
      </c>
      <c r="Y4" s="100">
        <f t="shared" si="0"/>
        <v>370555.39</v>
      </c>
      <c r="Z4" s="100">
        <f t="shared" si="0"/>
        <v>382559.315</v>
      </c>
      <c r="AA4" s="100">
        <f t="shared" si="0"/>
        <v>329784.68699999998</v>
      </c>
      <c r="AB4" s="100">
        <f t="shared" ref="AB4:AD4" si="1">+AB5+AB23+AB38+AB52+AB63</f>
        <v>181844.58500000002</v>
      </c>
      <c r="AC4" s="100">
        <f t="shared" si="1"/>
        <v>184747</v>
      </c>
      <c r="AD4" s="100">
        <f t="shared" si="1"/>
        <v>186105.89899999998</v>
      </c>
      <c r="AE4" s="100">
        <f t="shared" ref="AE4:AF4" si="2">+AE5+AE23+AE38+AE52+AE63</f>
        <v>212246.97600000002</v>
      </c>
      <c r="AF4" s="100">
        <f t="shared" si="2"/>
        <v>187352.63099999999</v>
      </c>
      <c r="AG4" s="100">
        <f t="shared" ref="AG4" si="3">+AG5+AG23+AG38+AG52+AG63</f>
        <v>211954.95500000002</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15851</v>
      </c>
      <c r="C5" s="101">
        <f t="shared" ref="C5:D5" si="4">SUM(C7:C22)</f>
        <v>19411</v>
      </c>
      <c r="D5" s="101">
        <f t="shared" si="4"/>
        <v>19719</v>
      </c>
      <c r="I5" s="101">
        <f t="shared" ref="I5:L5" si="5">SUM(I7:I22)</f>
        <v>23985.902000000002</v>
      </c>
      <c r="J5" s="101">
        <f t="shared" si="5"/>
        <v>22493.732</v>
      </c>
      <c r="K5" s="101">
        <f t="shared" si="5"/>
        <v>23370.338999999996</v>
      </c>
      <c r="L5" s="101">
        <f t="shared" si="5"/>
        <v>25440.570000000003</v>
      </c>
      <c r="M5" s="101">
        <f t="shared" ref="M5:O5" si="6">SUM(M7:M22)</f>
        <v>21703.82</v>
      </c>
      <c r="N5" s="101">
        <f t="shared" si="6"/>
        <v>25178.800999999999</v>
      </c>
      <c r="O5" s="101">
        <f t="shared" si="6"/>
        <v>25667.924139999996</v>
      </c>
      <c r="P5" s="12"/>
      <c r="Q5" s="12"/>
      <c r="R5" s="101">
        <f t="shared" ref="R5:AA5" si="7">SUM(R7:R22)</f>
        <v>29324.542999999998</v>
      </c>
      <c r="S5" s="101">
        <f t="shared" si="7"/>
        <v>35171.167999999998</v>
      </c>
      <c r="T5" s="114">
        <f t="shared" si="7"/>
        <v>22497.332999999999</v>
      </c>
      <c r="U5" s="101">
        <f t="shared" si="7"/>
        <v>26106.387999999999</v>
      </c>
      <c r="V5" s="101">
        <f t="shared" si="7"/>
        <v>71071.608999999997</v>
      </c>
      <c r="W5" s="101">
        <f t="shared" si="7"/>
        <v>76675.642000000007</v>
      </c>
      <c r="X5" s="101">
        <f t="shared" si="7"/>
        <v>91393.018000000011</v>
      </c>
      <c r="Y5" s="101">
        <f t="shared" si="7"/>
        <v>99160.755000000005</v>
      </c>
      <c r="Z5" s="101">
        <f t="shared" si="7"/>
        <v>102735.421</v>
      </c>
      <c r="AA5" s="101">
        <f t="shared" si="7"/>
        <v>53671.085999999996</v>
      </c>
      <c r="AB5" s="101">
        <f t="shared" ref="AB5:AD5" si="8">SUM(AB7:AB22)</f>
        <v>44085.962</v>
      </c>
      <c r="AC5" s="101">
        <f t="shared" si="8"/>
        <v>46597</v>
      </c>
      <c r="AD5" s="101">
        <f t="shared" si="8"/>
        <v>47241.978999999992</v>
      </c>
      <c r="AE5" s="101">
        <f t="shared" ref="AE5:AF5" si="9">SUM(AE7:AE22)</f>
        <v>50950.063000000002</v>
      </c>
      <c r="AF5" s="101">
        <f t="shared" si="9"/>
        <v>34490.889000000003</v>
      </c>
      <c r="AG5" s="101">
        <f t="shared" ref="AG5" si="10">SUM(AG7:AG22)</f>
        <v>54952.043000000005</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1915+2604</f>
        <v>4519</v>
      </c>
      <c r="C7" s="12">
        <f>2067+2749</f>
        <v>4816</v>
      </c>
      <c r="D7" s="12">
        <f>2190+3195</f>
        <v>5385</v>
      </c>
      <c r="E7" s="12"/>
      <c r="F7" s="12"/>
      <c r="G7" s="12"/>
      <c r="H7" s="12"/>
      <c r="I7" s="12">
        <v>4413.808</v>
      </c>
      <c r="J7" s="32">
        <v>3395.3389999999999</v>
      </c>
      <c r="K7" s="12">
        <v>2432.4119999999998</v>
      </c>
      <c r="L7" s="12">
        <v>3919.4690000000001</v>
      </c>
      <c r="M7" s="12">
        <v>3209.23</v>
      </c>
      <c r="N7" s="12">
        <v>3184.2629999999999</v>
      </c>
      <c r="O7" s="12">
        <v>3246.3969999999999</v>
      </c>
      <c r="P7" s="12"/>
      <c r="Q7" s="12"/>
      <c r="R7" s="44">
        <v>2618.9090000000001</v>
      </c>
      <c r="S7" s="12">
        <v>2796.6329999999998</v>
      </c>
      <c r="T7" s="82">
        <v>0</v>
      </c>
      <c r="U7" s="12">
        <v>0</v>
      </c>
      <c r="V7" s="12">
        <v>0</v>
      </c>
      <c r="W7" s="32">
        <v>0</v>
      </c>
      <c r="X7" s="32">
        <v>0</v>
      </c>
      <c r="Y7" s="32">
        <v>0</v>
      </c>
      <c r="Z7" s="32">
        <v>0</v>
      </c>
      <c r="AA7" s="32">
        <v>11805.13</v>
      </c>
      <c r="AB7" s="32">
        <v>0</v>
      </c>
      <c r="AC7" s="32">
        <v>0</v>
      </c>
      <c r="AD7" s="12"/>
      <c r="AE7" s="12"/>
      <c r="AG7" s="13">
        <v>50</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v>0</v>
      </c>
      <c r="C8" s="12">
        <v>0</v>
      </c>
      <c r="D8" s="12">
        <v>0</v>
      </c>
      <c r="E8" s="12"/>
      <c r="F8" s="12"/>
      <c r="G8" s="12"/>
      <c r="H8" s="12"/>
      <c r="I8" s="12">
        <v>0</v>
      </c>
      <c r="J8" s="32">
        <v>0</v>
      </c>
      <c r="K8" s="12">
        <v>0</v>
      </c>
      <c r="L8" s="12">
        <v>0</v>
      </c>
      <c r="M8" s="12">
        <v>0</v>
      </c>
      <c r="N8" s="12">
        <v>0</v>
      </c>
      <c r="O8" s="12">
        <v>0</v>
      </c>
      <c r="P8" s="12"/>
      <c r="Q8" s="12"/>
      <c r="R8" s="63">
        <v>1835.721</v>
      </c>
      <c r="S8" s="12">
        <v>1979.913</v>
      </c>
      <c r="T8" s="82">
        <v>2093.71</v>
      </c>
      <c r="U8" s="12">
        <v>4323.6580000000004</v>
      </c>
      <c r="V8" s="12">
        <v>4545.8919999999998</v>
      </c>
      <c r="W8" s="32">
        <v>4847.3639999999996</v>
      </c>
      <c r="X8" s="32">
        <v>5166.26</v>
      </c>
      <c r="Y8" s="32">
        <v>0</v>
      </c>
      <c r="Z8" s="32">
        <v>0</v>
      </c>
      <c r="AA8" s="32">
        <v>5753.2839999999997</v>
      </c>
      <c r="AB8" s="32">
        <v>5286.9080000000004</v>
      </c>
      <c r="AC8" s="32">
        <v>5397</v>
      </c>
      <c r="AD8" s="12">
        <v>5658.7950000000001</v>
      </c>
      <c r="AE8" s="12">
        <v>5508.8890000000001</v>
      </c>
      <c r="AF8" s="12">
        <v>5654.9880000000003</v>
      </c>
      <c r="AG8" s="12">
        <v>5839.6790000000001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v>0</v>
      </c>
      <c r="E9" s="12"/>
      <c r="F9" s="12"/>
      <c r="G9" s="12"/>
      <c r="H9" s="12"/>
      <c r="I9" s="12"/>
      <c r="J9" s="32">
        <v>0</v>
      </c>
      <c r="K9" s="12"/>
      <c r="L9" s="12"/>
      <c r="M9" s="12">
        <v>0</v>
      </c>
      <c r="N9" s="12">
        <v>0</v>
      </c>
      <c r="O9" s="12">
        <v>0</v>
      </c>
      <c r="P9" s="12"/>
      <c r="Q9" s="12"/>
      <c r="R9" s="63">
        <v>0</v>
      </c>
      <c r="S9" s="61">
        <v>0</v>
      </c>
      <c r="T9" s="83">
        <v>0</v>
      </c>
      <c r="U9" s="61">
        <v>0</v>
      </c>
      <c r="V9" s="61">
        <v>0</v>
      </c>
      <c r="W9" s="32">
        <v>0</v>
      </c>
      <c r="X9" s="32">
        <v>0</v>
      </c>
      <c r="Y9" s="32">
        <v>0</v>
      </c>
      <c r="Z9" s="32">
        <v>0</v>
      </c>
      <c r="AA9" s="32">
        <v>0</v>
      </c>
      <c r="AB9" s="32">
        <v>0</v>
      </c>
      <c r="AC9" s="32">
        <v>0</v>
      </c>
      <c r="AD9" s="12">
        <v>0</v>
      </c>
      <c r="AE9" s="12">
        <v>0</v>
      </c>
      <c r="AF9" s="12">
        <v>0</v>
      </c>
      <c r="AG9" s="12">
        <v>0</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v>0</v>
      </c>
      <c r="C10" s="12">
        <v>0</v>
      </c>
      <c r="D10" s="12">
        <v>0</v>
      </c>
      <c r="E10" s="12"/>
      <c r="F10" s="12"/>
      <c r="G10" s="12"/>
      <c r="H10" s="12"/>
      <c r="I10" s="12">
        <v>0</v>
      </c>
      <c r="J10" s="32">
        <v>0</v>
      </c>
      <c r="K10" s="12">
        <v>0</v>
      </c>
      <c r="L10" s="12">
        <v>0</v>
      </c>
      <c r="M10" s="12">
        <v>0</v>
      </c>
      <c r="N10" s="12">
        <v>0</v>
      </c>
      <c r="O10" s="12">
        <v>0</v>
      </c>
      <c r="P10" s="12"/>
      <c r="Q10" s="12"/>
      <c r="R10" s="63">
        <v>0</v>
      </c>
      <c r="S10" s="12">
        <v>0</v>
      </c>
      <c r="T10" s="82">
        <v>0</v>
      </c>
      <c r="U10" s="12">
        <v>0</v>
      </c>
      <c r="V10" s="12">
        <v>0</v>
      </c>
      <c r="W10" s="32">
        <v>0</v>
      </c>
      <c r="X10" s="32">
        <v>0</v>
      </c>
      <c r="Y10" s="32">
        <v>0</v>
      </c>
      <c r="Z10" s="32">
        <v>0</v>
      </c>
      <c r="AA10" s="32">
        <v>0</v>
      </c>
      <c r="AB10" s="32">
        <v>0</v>
      </c>
      <c r="AC10" s="32">
        <v>0</v>
      </c>
      <c r="AD10" s="12">
        <v>0</v>
      </c>
      <c r="AE10" s="12">
        <v>0</v>
      </c>
      <c r="AF10" s="12">
        <v>0</v>
      </c>
      <c r="AG10" s="12">
        <v>0</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v>5773</v>
      </c>
      <c r="C11" s="12">
        <v>7093</v>
      </c>
      <c r="D11" s="12">
        <f>7208+0</f>
        <v>7208</v>
      </c>
      <c r="E11" s="12"/>
      <c r="F11" s="12"/>
      <c r="G11" s="12"/>
      <c r="H11" s="12"/>
      <c r="I11" s="12">
        <v>8760.2530000000006</v>
      </c>
      <c r="J11" s="32">
        <v>9734.5630000000001</v>
      </c>
      <c r="K11" s="12">
        <v>9877.7990000000009</v>
      </c>
      <c r="L11" s="12">
        <v>10430.201999999999</v>
      </c>
      <c r="M11" s="12">
        <v>9772.1669999999995</v>
      </c>
      <c r="N11" s="12">
        <v>10180.243</v>
      </c>
      <c r="O11" s="12">
        <v>10566.755999999999</v>
      </c>
      <c r="P11" s="12"/>
      <c r="Q11" s="12"/>
      <c r="R11" s="63">
        <v>13730.72</v>
      </c>
      <c r="S11" s="12">
        <v>14568.977999999999</v>
      </c>
      <c r="T11" s="82">
        <v>0</v>
      </c>
      <c r="U11" s="12">
        <v>0</v>
      </c>
      <c r="V11" s="12">
        <v>0</v>
      </c>
      <c r="W11" s="32">
        <v>0</v>
      </c>
      <c r="X11" s="32">
        <v>0</v>
      </c>
      <c r="Y11" s="32">
        <v>0</v>
      </c>
      <c r="Z11" s="32">
        <v>0</v>
      </c>
      <c r="AA11" s="32">
        <v>0</v>
      </c>
      <c r="AB11" s="32">
        <v>0</v>
      </c>
      <c r="AC11" s="32">
        <v>0</v>
      </c>
      <c r="AD11" s="12">
        <v>0</v>
      </c>
      <c r="AE11" s="12">
        <v>0</v>
      </c>
      <c r="AF11" s="12">
        <v>0</v>
      </c>
      <c r="AG11" s="12">
        <v>0</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v>2866</v>
      </c>
      <c r="C12" s="12">
        <v>2955</v>
      </c>
      <c r="D12" s="12">
        <v>3139</v>
      </c>
      <c r="E12" s="12"/>
      <c r="F12" s="12"/>
      <c r="G12" s="12"/>
      <c r="H12" s="12"/>
      <c r="I12" s="12">
        <v>4681.9089999999997</v>
      </c>
      <c r="J12" s="32">
        <v>4904.3339999999998</v>
      </c>
      <c r="K12" s="12">
        <v>4939.1509999999998</v>
      </c>
      <c r="L12" s="12">
        <v>5709.29</v>
      </c>
      <c r="M12" s="12">
        <v>5105.7650000000003</v>
      </c>
      <c r="N12" s="12">
        <v>6041.2439999999997</v>
      </c>
      <c r="O12" s="12">
        <v>6025.8059999999996</v>
      </c>
      <c r="P12" s="12"/>
      <c r="Q12" s="12"/>
      <c r="R12" s="34">
        <v>7175.61</v>
      </c>
      <c r="S12" s="12">
        <v>7960.2539999999999</v>
      </c>
      <c r="T12" s="82">
        <v>8649.8150000000005</v>
      </c>
      <c r="U12" s="12">
        <v>9800.4560000000001</v>
      </c>
      <c r="V12" s="12">
        <v>10083.679</v>
      </c>
      <c r="W12" s="32">
        <v>11567.197</v>
      </c>
      <c r="X12" s="32">
        <v>11998.192999999999</v>
      </c>
      <c r="Y12" s="32">
        <v>12817.459000000001</v>
      </c>
      <c r="Z12" s="32">
        <v>14017.057000000001</v>
      </c>
      <c r="AA12" s="32">
        <v>14451.243</v>
      </c>
      <c r="AB12" s="32">
        <v>16393.806</v>
      </c>
      <c r="AC12" s="32">
        <v>18217</v>
      </c>
      <c r="AD12" s="12">
        <v>17456.580999999998</v>
      </c>
      <c r="AE12" s="12">
        <v>19311.605</v>
      </c>
      <c r="AF12" s="12">
        <v>20337.887999999999</v>
      </c>
      <c r="AG12" s="12">
        <v>21974.588</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v>317</v>
      </c>
      <c r="C13" s="12">
        <v>1094</v>
      </c>
      <c r="D13" s="12">
        <f>0+1152</f>
        <v>1152</v>
      </c>
      <c r="E13" s="12"/>
      <c r="F13" s="12"/>
      <c r="G13" s="12"/>
      <c r="H13" s="12"/>
      <c r="I13" s="12">
        <v>455.858</v>
      </c>
      <c r="J13" s="32">
        <v>445.48599999999999</v>
      </c>
      <c r="K13" s="12">
        <v>441.33300000000003</v>
      </c>
      <c r="L13" s="12">
        <v>449.31</v>
      </c>
      <c r="M13" s="12">
        <v>419.30200000000002</v>
      </c>
      <c r="N13" s="12">
        <v>414.03800000000001</v>
      </c>
      <c r="O13" s="12">
        <v>424.745</v>
      </c>
      <c r="P13" s="12"/>
      <c r="Q13" s="12"/>
      <c r="R13" s="34">
        <v>477.73200000000003</v>
      </c>
      <c r="S13" s="12">
        <v>517.15099999999995</v>
      </c>
      <c r="T13" s="82">
        <v>0</v>
      </c>
      <c r="U13" s="12">
        <v>0</v>
      </c>
      <c r="V13" s="12">
        <v>0</v>
      </c>
      <c r="W13" s="32">
        <v>0</v>
      </c>
      <c r="X13" s="32">
        <v>0</v>
      </c>
      <c r="Y13" s="32">
        <v>0</v>
      </c>
      <c r="Z13" s="32">
        <v>0</v>
      </c>
      <c r="AA13" s="32">
        <v>0</v>
      </c>
      <c r="AB13" s="32">
        <v>0</v>
      </c>
      <c r="AC13" s="32">
        <v>0</v>
      </c>
      <c r="AD13" s="12">
        <v>0</v>
      </c>
      <c r="AE13" s="12">
        <v>0</v>
      </c>
      <c r="AF13" s="12">
        <v>0</v>
      </c>
      <c r="AG13" s="12">
        <v>0</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0</v>
      </c>
      <c r="C14" s="12">
        <v>0</v>
      </c>
      <c r="D14" s="12">
        <f>0+0</f>
        <v>0</v>
      </c>
      <c r="E14" s="12"/>
      <c r="F14" s="12"/>
      <c r="G14" s="12"/>
      <c r="H14" s="12"/>
      <c r="I14" s="12">
        <v>0</v>
      </c>
      <c r="J14" s="32">
        <v>22.190999999999999</v>
      </c>
      <c r="K14" s="12">
        <v>0</v>
      </c>
      <c r="L14" s="12">
        <v>0</v>
      </c>
      <c r="M14" s="12">
        <v>0</v>
      </c>
      <c r="N14" s="12">
        <v>0</v>
      </c>
      <c r="O14" s="12">
        <v>0</v>
      </c>
      <c r="P14" s="12"/>
      <c r="Q14" s="12"/>
      <c r="R14" s="34">
        <v>0</v>
      </c>
      <c r="S14" s="12">
        <v>0</v>
      </c>
      <c r="T14" s="82">
        <v>0</v>
      </c>
      <c r="U14" s="12">
        <v>0</v>
      </c>
      <c r="V14" s="12">
        <v>0</v>
      </c>
      <c r="W14" s="32">
        <v>0</v>
      </c>
      <c r="X14" s="32">
        <v>0</v>
      </c>
      <c r="Y14" s="32">
        <v>0</v>
      </c>
      <c r="Z14" s="32">
        <v>0</v>
      </c>
      <c r="AA14" s="32">
        <v>0</v>
      </c>
      <c r="AB14" s="32">
        <v>0</v>
      </c>
      <c r="AC14" s="32">
        <v>0</v>
      </c>
      <c r="AD14" s="12">
        <v>0</v>
      </c>
      <c r="AE14" s="12">
        <v>0</v>
      </c>
      <c r="AF14" s="12">
        <v>0</v>
      </c>
      <c r="AG14" s="12">
        <v>0</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v>2373</v>
      </c>
      <c r="C15" s="12">
        <v>2578</v>
      </c>
      <c r="D15" s="12">
        <f>0+2796</f>
        <v>2796</v>
      </c>
      <c r="E15" s="12"/>
      <c r="F15" s="12"/>
      <c r="G15" s="12"/>
      <c r="H15" s="12"/>
      <c r="I15" s="12">
        <v>3294.3719999999998</v>
      </c>
      <c r="J15" s="32">
        <v>3263.7919999999999</v>
      </c>
      <c r="K15" s="12">
        <v>3099.7440000000001</v>
      </c>
      <c r="L15" s="12">
        <v>2382.5169999999998</v>
      </c>
      <c r="M15" s="12">
        <v>2494.489</v>
      </c>
      <c r="N15" s="12">
        <v>2618.567</v>
      </c>
      <c r="O15" s="12">
        <v>2577.1779999999999</v>
      </c>
      <c r="P15" s="12"/>
      <c r="Q15" s="12"/>
      <c r="R15" s="34">
        <v>2882.4780000000001</v>
      </c>
      <c r="S15" s="12">
        <v>3020.9050000000002</v>
      </c>
      <c r="T15" s="82">
        <v>313.63900000000001</v>
      </c>
      <c r="U15" s="12">
        <v>157.5</v>
      </c>
      <c r="V15" s="12">
        <v>88.164000000000001</v>
      </c>
      <c r="W15" s="32">
        <v>0</v>
      </c>
      <c r="X15" s="32">
        <v>0</v>
      </c>
      <c r="Y15" s="32">
        <v>0</v>
      </c>
      <c r="Z15" s="32">
        <v>0</v>
      </c>
      <c r="AA15" s="32">
        <v>0</v>
      </c>
      <c r="AB15" s="32">
        <v>0</v>
      </c>
      <c r="AC15" s="32">
        <v>0</v>
      </c>
      <c r="AD15" s="12">
        <v>0</v>
      </c>
      <c r="AE15" s="12">
        <v>0</v>
      </c>
      <c r="AF15" s="12">
        <v>0</v>
      </c>
      <c r="AG15" s="12">
        <v>0</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v>0</v>
      </c>
      <c r="C16" s="20">
        <v>0</v>
      </c>
      <c r="D16" s="20">
        <f>0+0</f>
        <v>0</v>
      </c>
      <c r="E16" s="20"/>
      <c r="F16" s="20"/>
      <c r="G16" s="20"/>
      <c r="H16" s="20"/>
      <c r="I16" s="20">
        <v>0</v>
      </c>
      <c r="J16" s="33">
        <v>1.5880000000000001</v>
      </c>
      <c r="K16" s="20">
        <v>0</v>
      </c>
      <c r="L16" s="20">
        <v>0</v>
      </c>
      <c r="M16" s="20">
        <v>0</v>
      </c>
      <c r="N16" s="20">
        <v>0</v>
      </c>
      <c r="O16" s="20">
        <v>0</v>
      </c>
      <c r="P16" s="20"/>
      <c r="Q16" s="20"/>
      <c r="R16" s="66">
        <v>0</v>
      </c>
      <c r="S16" s="20">
        <v>0</v>
      </c>
      <c r="T16" s="82">
        <v>0</v>
      </c>
      <c r="U16" s="20">
        <v>0</v>
      </c>
      <c r="V16" s="20">
        <v>0</v>
      </c>
      <c r="W16" s="33">
        <v>0</v>
      </c>
      <c r="X16" s="33">
        <v>0</v>
      </c>
      <c r="Y16" s="33">
        <v>0</v>
      </c>
      <c r="Z16" s="33">
        <v>0</v>
      </c>
      <c r="AA16" s="33">
        <v>0</v>
      </c>
      <c r="AB16" s="33">
        <v>0</v>
      </c>
      <c r="AC16" s="33">
        <v>0</v>
      </c>
      <c r="AD16" s="20">
        <v>0</v>
      </c>
      <c r="AE16" s="20">
        <v>0</v>
      </c>
      <c r="AF16" s="12">
        <v>0</v>
      </c>
      <c r="AG16" s="12">
        <v>0</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0</v>
      </c>
      <c r="C17" s="20">
        <v>0</v>
      </c>
      <c r="D17" s="20">
        <f>0+0</f>
        <v>0</v>
      </c>
      <c r="E17" s="20"/>
      <c r="F17" s="20"/>
      <c r="G17" s="20"/>
      <c r="H17" s="20"/>
      <c r="I17" s="20">
        <v>0</v>
      </c>
      <c r="J17" s="33">
        <v>0</v>
      </c>
      <c r="K17" s="20">
        <v>0</v>
      </c>
      <c r="L17" s="20">
        <v>0</v>
      </c>
      <c r="M17" s="20">
        <v>0</v>
      </c>
      <c r="N17" s="20">
        <v>0</v>
      </c>
      <c r="O17" s="20">
        <v>0</v>
      </c>
      <c r="P17" s="20"/>
      <c r="Q17" s="20"/>
      <c r="R17" s="66">
        <v>0</v>
      </c>
      <c r="S17" s="20">
        <v>0</v>
      </c>
      <c r="T17" s="82">
        <v>0</v>
      </c>
      <c r="U17" s="20">
        <v>0</v>
      </c>
      <c r="V17" s="20">
        <v>0</v>
      </c>
      <c r="W17" s="33">
        <v>0</v>
      </c>
      <c r="X17" s="33">
        <v>0</v>
      </c>
      <c r="Y17" s="33">
        <v>5441.3230000000003</v>
      </c>
      <c r="Z17" s="33">
        <v>0</v>
      </c>
      <c r="AA17" s="33">
        <v>0</v>
      </c>
      <c r="AB17" s="33">
        <v>0</v>
      </c>
      <c r="AC17" s="33">
        <v>369</v>
      </c>
      <c r="AD17" s="20">
        <v>698.63800000000003</v>
      </c>
      <c r="AE17" s="20">
        <v>2424.0120000000002</v>
      </c>
      <c r="AF17" s="20">
        <v>2414.498</v>
      </c>
      <c r="AG17" s="20">
        <v>2275.85</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v>3</v>
      </c>
      <c r="C18" s="20">
        <v>2</v>
      </c>
      <c r="D18" s="20">
        <f>2+0</f>
        <v>2</v>
      </c>
      <c r="E18" s="20"/>
      <c r="F18" s="20"/>
      <c r="G18" s="20"/>
      <c r="H18" s="20"/>
      <c r="I18" s="20">
        <v>0</v>
      </c>
      <c r="J18" s="33">
        <v>0</v>
      </c>
      <c r="K18" s="20"/>
      <c r="L18" s="20">
        <v>0</v>
      </c>
      <c r="M18" s="20">
        <v>0</v>
      </c>
      <c r="N18" s="20">
        <v>0</v>
      </c>
      <c r="O18" s="20">
        <v>0</v>
      </c>
      <c r="P18" s="20"/>
      <c r="Q18" s="20"/>
      <c r="R18" s="66">
        <v>0</v>
      </c>
      <c r="S18" s="20">
        <v>0</v>
      </c>
      <c r="T18" s="82">
        <v>312.16000000000003</v>
      </c>
      <c r="U18" s="20">
        <v>243.48</v>
      </c>
      <c r="V18" s="20">
        <v>218.06700000000001</v>
      </c>
      <c r="W18" s="33">
        <v>214.88900000000001</v>
      </c>
      <c r="X18" s="33">
        <v>338.53899999999999</v>
      </c>
      <c r="Y18" s="33">
        <v>315.07900000000001</v>
      </c>
      <c r="Z18" s="33">
        <v>233.67</v>
      </c>
      <c r="AA18" s="33">
        <v>209.65799999999999</v>
      </c>
      <c r="AB18" s="33">
        <v>434.39499999999998</v>
      </c>
      <c r="AC18" s="33">
        <v>238</v>
      </c>
      <c r="AD18" s="20">
        <v>313.125</v>
      </c>
      <c r="AE18" s="20">
        <v>294.58</v>
      </c>
      <c r="AF18" s="20">
        <v>376.875</v>
      </c>
      <c r="AG18" s="20">
        <v>393.32400000000001</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v>0</v>
      </c>
      <c r="C19" s="20">
        <v>873</v>
      </c>
      <c r="D19" s="20">
        <f>0+37</f>
        <v>37</v>
      </c>
      <c r="E19" s="20"/>
      <c r="F19" s="20"/>
      <c r="G19" s="20"/>
      <c r="H19" s="20"/>
      <c r="I19" s="20">
        <v>1778.6969999999999</v>
      </c>
      <c r="J19" s="33">
        <v>50</v>
      </c>
      <c r="K19" s="20">
        <v>1867.4929999999999</v>
      </c>
      <c r="L19" s="20">
        <v>1934.58</v>
      </c>
      <c r="M19" s="20">
        <v>25</v>
      </c>
      <c r="N19" s="20">
        <v>2113.0329999999999</v>
      </c>
      <c r="O19" s="20">
        <v>2206.14014</v>
      </c>
      <c r="P19" s="20"/>
      <c r="Q19" s="20"/>
      <c r="R19" s="90">
        <v>0</v>
      </c>
      <c r="S19" s="20">
        <v>3823.9360000000001</v>
      </c>
      <c r="T19" s="82">
        <v>3871.8490000000002</v>
      </c>
      <c r="U19" s="20">
        <v>3889.1559999999999</v>
      </c>
      <c r="V19" s="20">
        <v>0</v>
      </c>
      <c r="W19" s="33">
        <v>0</v>
      </c>
      <c r="X19" s="33">
        <v>4326.0889999999999</v>
      </c>
      <c r="Y19" s="33">
        <v>4749.1409999999996</v>
      </c>
      <c r="Z19" s="33">
        <v>5019.3580000000002</v>
      </c>
      <c r="AA19" s="33">
        <v>4971.4530000000004</v>
      </c>
      <c r="AB19" s="33">
        <v>5183.652</v>
      </c>
      <c r="AC19" s="33">
        <v>5327</v>
      </c>
      <c r="AD19" s="20">
        <v>5655.0860000000002</v>
      </c>
      <c r="AE19" s="20">
        <v>5683.81</v>
      </c>
      <c r="AF19" s="20">
        <v>5706.64</v>
      </c>
      <c r="AG19" s="20">
        <v>5974.4759999999997</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v>0</v>
      </c>
      <c r="C20" s="20">
        <v>0</v>
      </c>
      <c r="D20" s="20">
        <f>0+0</f>
        <v>0</v>
      </c>
      <c r="E20" s="20"/>
      <c r="F20" s="20"/>
      <c r="G20" s="20"/>
      <c r="H20" s="20"/>
      <c r="I20" s="20">
        <v>26.927</v>
      </c>
      <c r="J20" s="33">
        <v>0</v>
      </c>
      <c r="K20" s="20">
        <v>0</v>
      </c>
      <c r="L20" s="20">
        <v>0</v>
      </c>
      <c r="M20" s="20">
        <v>0</v>
      </c>
      <c r="N20" s="20">
        <v>0</v>
      </c>
      <c r="O20" s="20">
        <v>0</v>
      </c>
      <c r="P20" s="20"/>
      <c r="Q20" s="20"/>
      <c r="R20" s="66">
        <v>0</v>
      </c>
      <c r="S20" s="20">
        <v>0</v>
      </c>
      <c r="T20" s="82">
        <v>7256.16</v>
      </c>
      <c r="U20" s="20">
        <v>7692.1379999999999</v>
      </c>
      <c r="V20" s="20">
        <v>56135.807000000001</v>
      </c>
      <c r="W20" s="33">
        <v>60046.192000000003</v>
      </c>
      <c r="X20" s="33">
        <v>69563.937000000005</v>
      </c>
      <c r="Y20" s="33">
        <v>75837.752999999997</v>
      </c>
      <c r="Z20" s="33">
        <v>83465.335999999996</v>
      </c>
      <c r="AA20" s="33">
        <v>16480.317999999999</v>
      </c>
      <c r="AB20" s="33">
        <v>16787.201000000001</v>
      </c>
      <c r="AC20" s="33">
        <v>17049</v>
      </c>
      <c r="AD20" s="20">
        <v>17459.754000000001</v>
      </c>
      <c r="AE20" s="20">
        <v>17727.167000000001</v>
      </c>
      <c r="AF20" s="20">
        <v>0</v>
      </c>
      <c r="AG20" s="20">
        <v>18444.126</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v>0</v>
      </c>
      <c r="C21" s="20"/>
      <c r="D21" s="20">
        <f>0+0</f>
        <v>0</v>
      </c>
      <c r="E21" s="20"/>
      <c r="F21" s="20"/>
      <c r="G21" s="20"/>
      <c r="H21" s="20"/>
      <c r="I21" s="20">
        <v>0</v>
      </c>
      <c r="J21" s="33">
        <v>0</v>
      </c>
      <c r="K21" s="20">
        <v>0</v>
      </c>
      <c r="L21" s="20">
        <v>0</v>
      </c>
      <c r="M21" s="20">
        <v>0</v>
      </c>
      <c r="N21" s="20">
        <v>0</v>
      </c>
      <c r="O21" s="20">
        <v>0</v>
      </c>
      <c r="P21" s="20"/>
      <c r="Q21" s="20"/>
      <c r="R21" s="66">
        <v>0</v>
      </c>
      <c r="S21" s="20">
        <v>0</v>
      </c>
      <c r="T21" s="82">
        <v>0</v>
      </c>
      <c r="U21" s="20">
        <v>0</v>
      </c>
      <c r="V21" s="20">
        <v>0</v>
      </c>
      <c r="W21" s="33">
        <v>0</v>
      </c>
      <c r="X21" s="33">
        <v>0</v>
      </c>
      <c r="Y21" s="33">
        <v>0</v>
      </c>
      <c r="Z21" s="33">
        <v>0</v>
      </c>
      <c r="AA21" s="33">
        <v>0</v>
      </c>
      <c r="AB21" s="33">
        <v>0</v>
      </c>
      <c r="AC21" s="33">
        <v>0</v>
      </c>
      <c r="AD21" s="20"/>
      <c r="AE21" s="20"/>
      <c r="AF21" s="20">
        <v>0</v>
      </c>
      <c r="AG21" s="20">
        <v>0</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v>0</v>
      </c>
      <c r="C22" s="51">
        <v>0</v>
      </c>
      <c r="D22" s="51">
        <f>0+0</f>
        <v>0</v>
      </c>
      <c r="E22" s="51"/>
      <c r="F22" s="51"/>
      <c r="G22" s="51"/>
      <c r="H22" s="51"/>
      <c r="I22" s="51">
        <v>574.07799999999997</v>
      </c>
      <c r="J22" s="50">
        <v>676.43899999999996</v>
      </c>
      <c r="K22" s="51">
        <v>712.40700000000004</v>
      </c>
      <c r="L22" s="51">
        <v>615.202</v>
      </c>
      <c r="M22" s="51">
        <v>677.86699999999996</v>
      </c>
      <c r="N22" s="51">
        <v>627.41300000000001</v>
      </c>
      <c r="O22" s="51">
        <v>620.90200000000004</v>
      </c>
      <c r="P22" s="51"/>
      <c r="Q22" s="51"/>
      <c r="R22" s="51">
        <v>603.37300000000005</v>
      </c>
      <c r="S22" s="51">
        <v>503.39800000000002</v>
      </c>
      <c r="T22" s="113">
        <v>0</v>
      </c>
      <c r="U22" s="51">
        <v>0</v>
      </c>
      <c r="V22" s="51">
        <v>0</v>
      </c>
      <c r="W22" s="50">
        <v>0</v>
      </c>
      <c r="X22" s="50">
        <v>0</v>
      </c>
      <c r="Y22" s="50">
        <v>0</v>
      </c>
      <c r="Z22" s="50">
        <v>0</v>
      </c>
      <c r="AA22" s="50">
        <v>0</v>
      </c>
      <c r="AB22" s="50">
        <v>0</v>
      </c>
      <c r="AC22" s="50">
        <v>0</v>
      </c>
      <c r="AD22" s="51"/>
      <c r="AE22" s="51"/>
      <c r="AF22" s="51">
        <v>0</v>
      </c>
      <c r="AG22" s="51">
        <v>0</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5086.4560000000001</v>
      </c>
      <c r="M23" s="104">
        <f>SUM(M25:M37)</f>
        <v>6256.7020000000002</v>
      </c>
      <c r="O23" s="104">
        <f>SUM(O25:O37)</f>
        <v>6230.9298899999994</v>
      </c>
      <c r="R23" s="104">
        <f t="shared" ref="R23:AG23" si="11">SUM(R25:R37)</f>
        <v>9414.112000000001</v>
      </c>
      <c r="S23" s="104">
        <f t="shared" si="11"/>
        <v>7118.0390000000007</v>
      </c>
      <c r="T23" s="114">
        <f t="shared" si="11"/>
        <v>13473.001999999999</v>
      </c>
      <c r="U23" s="104">
        <f t="shared" si="11"/>
        <v>14097.880999999998</v>
      </c>
      <c r="V23" s="104">
        <f t="shared" si="11"/>
        <v>15443.197</v>
      </c>
      <c r="W23" s="104">
        <f t="shared" si="11"/>
        <v>18920.284</v>
      </c>
      <c r="X23" s="104">
        <f t="shared" si="11"/>
        <v>17303.507999999998</v>
      </c>
      <c r="Y23" s="104">
        <f t="shared" si="11"/>
        <v>22434.571</v>
      </c>
      <c r="Z23" s="104">
        <f t="shared" si="11"/>
        <v>22273.644</v>
      </c>
      <c r="AA23" s="104">
        <f t="shared" si="11"/>
        <v>5266.4570000000003</v>
      </c>
      <c r="AB23" s="104">
        <f t="shared" si="11"/>
        <v>6367.7470000000003</v>
      </c>
      <c r="AC23" s="104">
        <f t="shared" si="11"/>
        <v>7903</v>
      </c>
      <c r="AD23" s="104">
        <f t="shared" si="11"/>
        <v>8083.0029999999997</v>
      </c>
      <c r="AE23" s="104">
        <f t="shared" si="11"/>
        <v>9980.9419999999991</v>
      </c>
      <c r="AF23" s="104">
        <f t="shared" si="11"/>
        <v>9406.0680000000011</v>
      </c>
      <c r="AG23" s="104">
        <f t="shared" si="11"/>
        <v>9885.1880000000001</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F24" s="20">
        <v>0</v>
      </c>
      <c r="AG24" s="20">
        <f t="shared" ref="AG24:AG39" si="12">AF24/1000</f>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216.75399999999999</v>
      </c>
      <c r="K25" s="20"/>
      <c r="L25" s="20"/>
      <c r="M25" s="20">
        <v>34</v>
      </c>
      <c r="N25" s="20"/>
      <c r="O25" s="20">
        <v>34</v>
      </c>
      <c r="P25" s="20"/>
      <c r="Q25" s="20"/>
      <c r="R25" s="66">
        <v>60</v>
      </c>
      <c r="S25" s="20">
        <v>60</v>
      </c>
      <c r="T25" s="82">
        <v>60</v>
      </c>
      <c r="U25" s="20">
        <v>0</v>
      </c>
      <c r="V25" s="20">
        <v>0</v>
      </c>
      <c r="W25" s="33">
        <v>0</v>
      </c>
      <c r="X25" s="33">
        <v>0</v>
      </c>
      <c r="Y25" s="33">
        <v>0</v>
      </c>
      <c r="Z25" s="33">
        <v>0</v>
      </c>
      <c r="AA25" s="33">
        <v>0</v>
      </c>
      <c r="AB25" s="33">
        <v>0</v>
      </c>
      <c r="AC25" s="33">
        <v>0</v>
      </c>
      <c r="AD25" s="20"/>
      <c r="AE25" s="20">
        <v>0</v>
      </c>
      <c r="AF25" s="20">
        <v>0</v>
      </c>
      <c r="AG25" s="20">
        <v>0</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0</v>
      </c>
      <c r="K26" s="20"/>
      <c r="L26" s="20"/>
      <c r="M26" s="20">
        <v>0</v>
      </c>
      <c r="N26" s="20"/>
      <c r="O26" s="20">
        <v>0</v>
      </c>
      <c r="P26" s="20"/>
      <c r="Q26" s="20"/>
      <c r="R26" s="66">
        <v>0</v>
      </c>
      <c r="S26" s="20">
        <v>0</v>
      </c>
      <c r="T26" s="82">
        <v>7850.8339999999998</v>
      </c>
      <c r="U26" s="20">
        <v>8519.9079999999994</v>
      </c>
      <c r="V26" s="20">
        <v>9564.1550000000007</v>
      </c>
      <c r="W26" s="33">
        <v>13475.254000000001</v>
      </c>
      <c r="X26" s="33">
        <v>11861.133</v>
      </c>
      <c r="Y26" s="33">
        <v>16912.965</v>
      </c>
      <c r="Z26" s="33">
        <v>16424.2</v>
      </c>
      <c r="AA26" s="33">
        <v>0</v>
      </c>
      <c r="AB26" s="33">
        <v>0</v>
      </c>
      <c r="AC26" s="33">
        <v>1141</v>
      </c>
      <c r="AD26" s="20">
        <v>1036</v>
      </c>
      <c r="AE26" s="65">
        <v>1155</v>
      </c>
      <c r="AF26" s="20">
        <v>1121</v>
      </c>
      <c r="AG26" s="20">
        <v>1027</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0</v>
      </c>
      <c r="K27" s="20"/>
      <c r="L27" s="20"/>
      <c r="M27" s="20">
        <v>19</v>
      </c>
      <c r="N27" s="20"/>
      <c r="O27" s="20">
        <v>0</v>
      </c>
      <c r="P27" s="20"/>
      <c r="Q27" s="20"/>
      <c r="R27" s="66">
        <v>0</v>
      </c>
      <c r="S27" s="20">
        <v>0</v>
      </c>
      <c r="T27" s="82">
        <v>0</v>
      </c>
      <c r="U27" s="20">
        <v>0</v>
      </c>
      <c r="V27" s="20">
        <v>0</v>
      </c>
      <c r="W27" s="33">
        <v>0</v>
      </c>
      <c r="X27" s="33">
        <v>0</v>
      </c>
      <c r="Y27" s="33">
        <v>0</v>
      </c>
      <c r="Z27" s="33">
        <v>0</v>
      </c>
      <c r="AA27" s="33">
        <v>0</v>
      </c>
      <c r="AB27" s="33">
        <v>0</v>
      </c>
      <c r="AC27" s="33">
        <v>0</v>
      </c>
      <c r="AD27" s="20">
        <v>0</v>
      </c>
      <c r="AE27" s="20">
        <v>0</v>
      </c>
      <c r="AF27" s="20">
        <v>0</v>
      </c>
      <c r="AG27" s="20">
        <v>0</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0</v>
      </c>
      <c r="K28" s="20"/>
      <c r="L28" s="20"/>
      <c r="M28" s="20">
        <v>260</v>
      </c>
      <c r="N28" s="20"/>
      <c r="O28" s="20">
        <v>267.92289</v>
      </c>
      <c r="P28" s="20"/>
      <c r="Q28" s="20"/>
      <c r="R28" s="66">
        <v>0</v>
      </c>
      <c r="S28" s="20">
        <v>0</v>
      </c>
      <c r="T28" s="82">
        <v>0</v>
      </c>
      <c r="U28" s="20">
        <v>0</v>
      </c>
      <c r="V28" s="20">
        <v>0</v>
      </c>
      <c r="W28" s="33">
        <v>0</v>
      </c>
      <c r="X28" s="33">
        <v>0</v>
      </c>
      <c r="Y28" s="33">
        <v>0</v>
      </c>
      <c r="Z28" s="33">
        <v>0</v>
      </c>
      <c r="AA28" s="33">
        <v>0</v>
      </c>
      <c r="AB28" s="33">
        <v>0</v>
      </c>
      <c r="AC28" s="33">
        <v>0</v>
      </c>
      <c r="AD28" s="20">
        <v>0</v>
      </c>
      <c r="AE28" s="20">
        <v>0</v>
      </c>
      <c r="AF28" s="20">
        <v>0</v>
      </c>
      <c r="AG28" s="20">
        <v>0</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0</v>
      </c>
      <c r="K29" s="20"/>
      <c r="L29" s="20"/>
      <c r="M29" s="20">
        <v>0</v>
      </c>
      <c r="N29" s="20"/>
      <c r="O29" s="20">
        <v>0</v>
      </c>
      <c r="P29" s="20"/>
      <c r="Q29" s="20"/>
      <c r="R29" s="66">
        <v>0</v>
      </c>
      <c r="S29" s="20">
        <v>0</v>
      </c>
      <c r="T29" s="82">
        <v>0</v>
      </c>
      <c r="U29" s="20">
        <v>0</v>
      </c>
      <c r="V29" s="20">
        <v>0</v>
      </c>
      <c r="W29" s="33">
        <v>0</v>
      </c>
      <c r="X29" s="33">
        <v>0</v>
      </c>
      <c r="Y29" s="33">
        <v>0</v>
      </c>
      <c r="Z29" s="33">
        <v>0</v>
      </c>
      <c r="AA29" s="33">
        <v>0</v>
      </c>
      <c r="AB29" s="33">
        <v>0</v>
      </c>
      <c r="AC29" s="33">
        <v>0</v>
      </c>
      <c r="AD29" s="20">
        <v>0</v>
      </c>
      <c r="AE29" s="20">
        <v>0</v>
      </c>
      <c r="AF29" s="20">
        <v>0</v>
      </c>
      <c r="AG29" s="20">
        <v>0</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0</v>
      </c>
      <c r="K30" s="20"/>
      <c r="L30" s="20"/>
      <c r="M30" s="20">
        <v>0</v>
      </c>
      <c r="N30" s="20"/>
      <c r="O30" s="20">
        <v>0</v>
      </c>
      <c r="P30" s="20"/>
      <c r="Q30" s="20"/>
      <c r="R30" s="66">
        <v>0</v>
      </c>
      <c r="S30" s="20">
        <v>0</v>
      </c>
      <c r="T30" s="82">
        <v>0</v>
      </c>
      <c r="U30" s="20">
        <v>0</v>
      </c>
      <c r="V30" s="20">
        <v>0</v>
      </c>
      <c r="W30" s="33">
        <v>0</v>
      </c>
      <c r="X30" s="33">
        <v>0</v>
      </c>
      <c r="Y30" s="33">
        <v>0</v>
      </c>
      <c r="Z30" s="33">
        <v>0</v>
      </c>
      <c r="AA30" s="33">
        <v>0</v>
      </c>
      <c r="AB30" s="33">
        <v>0</v>
      </c>
      <c r="AC30" s="33">
        <v>0</v>
      </c>
      <c r="AD30" s="20">
        <v>0</v>
      </c>
      <c r="AE30" s="20">
        <v>0</v>
      </c>
      <c r="AF30" s="20">
        <v>0</v>
      </c>
      <c r="AG30" s="20">
        <v>0</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0</v>
      </c>
      <c r="K31" s="20"/>
      <c r="L31" s="20"/>
      <c r="M31" s="20">
        <v>0</v>
      </c>
      <c r="N31" s="20"/>
      <c r="O31" s="20">
        <v>0</v>
      </c>
      <c r="P31" s="20"/>
      <c r="Q31" s="20"/>
      <c r="R31" s="90">
        <v>0</v>
      </c>
      <c r="S31" s="20">
        <v>0</v>
      </c>
      <c r="T31" s="82">
        <v>0</v>
      </c>
      <c r="U31" s="20">
        <v>0</v>
      </c>
      <c r="V31" s="20">
        <v>0</v>
      </c>
      <c r="W31" s="33">
        <v>0</v>
      </c>
      <c r="X31" s="33">
        <v>0</v>
      </c>
      <c r="Y31" s="33">
        <v>0</v>
      </c>
      <c r="Z31" s="33">
        <v>0</v>
      </c>
      <c r="AA31" s="33">
        <v>0</v>
      </c>
      <c r="AB31" s="33">
        <v>0</v>
      </c>
      <c r="AC31" s="33">
        <v>0</v>
      </c>
      <c r="AD31" s="20">
        <v>0</v>
      </c>
      <c r="AF31" s="20">
        <v>89.77</v>
      </c>
      <c r="AG31" s="20">
        <v>356.173</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0</v>
      </c>
      <c r="K32" s="20"/>
      <c r="L32" s="20"/>
      <c r="M32" s="20">
        <v>0</v>
      </c>
      <c r="N32" s="20"/>
      <c r="O32" s="20">
        <v>0</v>
      </c>
      <c r="P32" s="20"/>
      <c r="Q32" s="20"/>
      <c r="R32" s="92">
        <v>0</v>
      </c>
      <c r="S32" s="20">
        <v>0</v>
      </c>
      <c r="T32" s="82">
        <v>0</v>
      </c>
      <c r="U32" s="20">
        <v>0</v>
      </c>
      <c r="V32" s="20">
        <v>0</v>
      </c>
      <c r="W32" s="33">
        <v>0</v>
      </c>
      <c r="X32" s="33">
        <v>0</v>
      </c>
      <c r="Y32" s="33">
        <v>0</v>
      </c>
      <c r="Z32" s="33">
        <v>0</v>
      </c>
      <c r="AA32" s="33">
        <v>0</v>
      </c>
      <c r="AB32" s="33">
        <v>0</v>
      </c>
      <c r="AC32" s="33">
        <v>0</v>
      </c>
      <c r="AD32" s="20">
        <v>0</v>
      </c>
      <c r="AF32" s="20">
        <v>0</v>
      </c>
      <c r="AG32" s="20">
        <v>0</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1756.441</v>
      </c>
      <c r="K33" s="20"/>
      <c r="L33" s="20"/>
      <c r="M33" s="20">
        <v>2423.1770000000001</v>
      </c>
      <c r="N33" s="20"/>
      <c r="O33" s="20">
        <v>1893.2629999999999</v>
      </c>
      <c r="P33" s="20"/>
      <c r="Q33" s="20"/>
      <c r="R33" s="92">
        <v>4960.2120000000004</v>
      </c>
      <c r="S33" s="20">
        <v>2571.6579999999999</v>
      </c>
      <c r="T33" s="82">
        <v>517.79499999999996</v>
      </c>
      <c r="U33" s="20">
        <v>540.52300000000002</v>
      </c>
      <c r="V33" s="20">
        <v>769.95100000000002</v>
      </c>
      <c r="W33" s="33">
        <v>611.34500000000003</v>
      </c>
      <c r="X33" s="33">
        <v>0</v>
      </c>
      <c r="Y33" s="33">
        <v>0</v>
      </c>
      <c r="Z33" s="33">
        <v>0</v>
      </c>
      <c r="AA33" s="33">
        <v>0</v>
      </c>
      <c r="AB33" s="33">
        <v>0</v>
      </c>
      <c r="AC33" s="33">
        <v>0</v>
      </c>
      <c r="AD33" s="20">
        <v>0</v>
      </c>
      <c r="AE33" s="20">
        <v>1500</v>
      </c>
      <c r="AF33" s="20">
        <v>0</v>
      </c>
      <c r="AG33" s="20">
        <v>0</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3113.261</v>
      </c>
      <c r="K34" s="20"/>
      <c r="L34" s="20"/>
      <c r="M34" s="20">
        <v>3520.5250000000001</v>
      </c>
      <c r="N34" s="20"/>
      <c r="O34" s="20">
        <v>4035.7440000000001</v>
      </c>
      <c r="P34" s="20"/>
      <c r="Q34" s="20"/>
      <c r="R34" s="66">
        <v>4393.8999999999996</v>
      </c>
      <c r="S34" s="20">
        <v>4486.3810000000003</v>
      </c>
      <c r="T34" s="82">
        <v>5044.3729999999996</v>
      </c>
      <c r="U34" s="20">
        <v>5037.45</v>
      </c>
      <c r="V34" s="20">
        <v>5109.0910000000003</v>
      </c>
      <c r="W34" s="33">
        <v>4833.6850000000004</v>
      </c>
      <c r="X34" s="33">
        <v>5409.34</v>
      </c>
      <c r="Y34" s="33">
        <v>5521.6059999999998</v>
      </c>
      <c r="Z34" s="33">
        <v>5849.4440000000004</v>
      </c>
      <c r="AA34" s="33">
        <v>5266.4570000000003</v>
      </c>
      <c r="AB34" s="33">
        <v>6367.7470000000003</v>
      </c>
      <c r="AC34" s="33">
        <v>6762</v>
      </c>
      <c r="AD34" s="20">
        <v>7047.0029999999997</v>
      </c>
      <c r="AE34" s="20">
        <v>7325.942</v>
      </c>
      <c r="AF34" s="20">
        <v>8195.2980000000007</v>
      </c>
      <c r="AG34" s="20">
        <v>8502.0149999999994</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0</v>
      </c>
      <c r="K35" s="20"/>
      <c r="L35" s="20"/>
      <c r="M35" s="20">
        <v>0</v>
      </c>
      <c r="N35" s="20"/>
      <c r="O35" s="20">
        <v>0</v>
      </c>
      <c r="P35" s="20"/>
      <c r="Q35" s="20"/>
      <c r="R35" s="66">
        <v>0</v>
      </c>
      <c r="S35" s="20">
        <v>0</v>
      </c>
      <c r="T35" s="82">
        <v>0</v>
      </c>
      <c r="U35" s="20">
        <v>0</v>
      </c>
      <c r="V35" s="20">
        <v>0</v>
      </c>
      <c r="W35" s="33">
        <v>0</v>
      </c>
      <c r="X35" s="33">
        <v>0</v>
      </c>
      <c r="Y35" s="33">
        <v>0</v>
      </c>
      <c r="Z35" s="33">
        <v>0</v>
      </c>
      <c r="AA35" s="33">
        <v>0</v>
      </c>
      <c r="AB35" s="33">
        <v>0</v>
      </c>
      <c r="AC35" s="33">
        <v>0</v>
      </c>
      <c r="AD35" s="20"/>
      <c r="AE35" s="20"/>
      <c r="AF35" s="20">
        <v>0</v>
      </c>
      <c r="AG35" s="20">
        <v>0</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0</v>
      </c>
      <c r="K36" s="20"/>
      <c r="L36" s="20"/>
      <c r="M36" s="20">
        <v>0</v>
      </c>
      <c r="N36" s="20"/>
      <c r="O36" s="20">
        <v>0</v>
      </c>
      <c r="P36" s="20"/>
      <c r="Q36" s="20"/>
      <c r="R36" s="66">
        <v>0</v>
      </c>
      <c r="S36" s="20">
        <v>0</v>
      </c>
      <c r="T36" s="82">
        <v>0</v>
      </c>
      <c r="U36" s="20">
        <v>0</v>
      </c>
      <c r="V36" s="20">
        <v>0</v>
      </c>
      <c r="W36" s="33">
        <v>0</v>
      </c>
      <c r="X36" s="33">
        <v>33.034999999999997</v>
      </c>
      <c r="Y36" s="33">
        <v>0</v>
      </c>
      <c r="Z36" s="33">
        <v>0</v>
      </c>
      <c r="AA36" s="33">
        <v>0</v>
      </c>
      <c r="AB36" s="33">
        <v>0</v>
      </c>
      <c r="AC36" s="33">
        <v>0</v>
      </c>
      <c r="AD36" s="20"/>
      <c r="AE36" s="20"/>
      <c r="AF36" s="20">
        <v>0</v>
      </c>
      <c r="AG36" s="20">
        <v>0</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0</v>
      </c>
      <c r="K37" s="51"/>
      <c r="L37" s="51"/>
      <c r="M37" s="51">
        <v>0</v>
      </c>
      <c r="N37" s="51"/>
      <c r="O37" s="51">
        <v>0</v>
      </c>
      <c r="P37" s="51"/>
      <c r="Q37" s="51"/>
      <c r="R37" s="67">
        <v>0</v>
      </c>
      <c r="S37" s="51">
        <v>0</v>
      </c>
      <c r="T37" s="113">
        <v>0</v>
      </c>
      <c r="U37" s="51">
        <v>0</v>
      </c>
      <c r="V37" s="51">
        <v>0</v>
      </c>
      <c r="W37" s="50">
        <v>0</v>
      </c>
      <c r="X37" s="50">
        <v>0</v>
      </c>
      <c r="Y37" s="50">
        <v>0</v>
      </c>
      <c r="Z37" s="50">
        <v>0</v>
      </c>
      <c r="AA37" s="50">
        <v>0</v>
      </c>
      <c r="AB37" s="50">
        <v>0</v>
      </c>
      <c r="AC37" s="50">
        <v>0</v>
      </c>
      <c r="AD37" s="51"/>
      <c r="AE37" s="51"/>
      <c r="AF37" s="51">
        <v>0</v>
      </c>
      <c r="AG37" s="51">
        <v>0</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21369.254999999997</v>
      </c>
      <c r="M38" s="104">
        <f>SUM(M40:M51)</f>
        <v>39755.406000000003</v>
      </c>
      <c r="O38" s="104">
        <f>SUM(O40:O51)</f>
        <v>27508.368000000002</v>
      </c>
      <c r="R38" s="104">
        <f t="shared" ref="R38:AG38" si="13">SUM(R40:R51)</f>
        <v>46644.945999999996</v>
      </c>
      <c r="S38" s="104">
        <f t="shared" si="13"/>
        <v>46318.861000000004</v>
      </c>
      <c r="T38" s="114">
        <f t="shared" si="13"/>
        <v>31081.023000000001</v>
      </c>
      <c r="U38" s="104">
        <f t="shared" si="13"/>
        <v>32049.979000000003</v>
      </c>
      <c r="V38" s="104">
        <f t="shared" si="13"/>
        <v>28984.877000000004</v>
      </c>
      <c r="W38" s="104">
        <f t="shared" si="13"/>
        <v>33599.019</v>
      </c>
      <c r="X38" s="104">
        <f t="shared" si="13"/>
        <v>31462.928</v>
      </c>
      <c r="Y38" s="104">
        <f t="shared" si="13"/>
        <v>111981.899</v>
      </c>
      <c r="Z38" s="104">
        <f t="shared" si="13"/>
        <v>118553.898</v>
      </c>
      <c r="AA38" s="104">
        <f t="shared" si="13"/>
        <v>124151.28099999999</v>
      </c>
      <c r="AB38" s="104">
        <f t="shared" si="13"/>
        <v>29896.52</v>
      </c>
      <c r="AC38" s="104">
        <f t="shared" si="13"/>
        <v>33279</v>
      </c>
      <c r="AD38" s="104">
        <f t="shared" si="13"/>
        <v>35703.555</v>
      </c>
      <c r="AE38" s="104">
        <f t="shared" si="13"/>
        <v>49746.817999999999</v>
      </c>
      <c r="AF38" s="104">
        <f t="shared" si="13"/>
        <v>51021.018000000004</v>
      </c>
      <c r="AG38" s="104">
        <f t="shared" si="13"/>
        <v>55113.749000000003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F39" s="20">
        <v>0</v>
      </c>
      <c r="AG39" s="20">
        <f t="shared" si="12"/>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0</v>
      </c>
      <c r="K40" s="20"/>
      <c r="L40" s="20"/>
      <c r="M40" s="20">
        <v>0</v>
      </c>
      <c r="N40" s="20"/>
      <c r="O40" s="20">
        <v>0</v>
      </c>
      <c r="P40" s="20"/>
      <c r="Q40" s="20"/>
      <c r="R40" s="66">
        <v>0</v>
      </c>
      <c r="S40" s="20">
        <v>0</v>
      </c>
      <c r="T40" s="82">
        <v>0</v>
      </c>
      <c r="U40" s="20">
        <v>0</v>
      </c>
      <c r="V40" s="20">
        <v>0</v>
      </c>
      <c r="W40" s="33">
        <v>0</v>
      </c>
      <c r="X40" s="33">
        <v>0</v>
      </c>
      <c r="Y40" s="33">
        <v>0</v>
      </c>
      <c r="Z40" s="33">
        <v>0</v>
      </c>
      <c r="AA40" s="33">
        <v>0</v>
      </c>
      <c r="AB40" s="33">
        <v>0</v>
      </c>
      <c r="AC40" s="33">
        <v>0</v>
      </c>
      <c r="AD40" s="20"/>
      <c r="AE40" s="20"/>
      <c r="AF40" s="20">
        <v>0</v>
      </c>
      <c r="AG40" s="20">
        <v>0</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1687.2139999999999</v>
      </c>
      <c r="K41" s="20"/>
      <c r="L41" s="20"/>
      <c r="M41" s="20">
        <v>2382.3490000000002</v>
      </c>
      <c r="N41" s="20"/>
      <c r="O41" s="20">
        <v>3408.0030000000002</v>
      </c>
      <c r="P41" s="20"/>
      <c r="Q41" s="20"/>
      <c r="R41" s="66">
        <v>6419.8819999999996</v>
      </c>
      <c r="S41" s="20">
        <v>6190.402</v>
      </c>
      <c r="T41" s="82">
        <v>6402.6369999999997</v>
      </c>
      <c r="U41" s="20">
        <v>6538.8919999999998</v>
      </c>
      <c r="V41" s="20">
        <v>6600.0230000000001</v>
      </c>
      <c r="W41" s="33">
        <v>6992.1180000000004</v>
      </c>
      <c r="X41" s="33">
        <v>7378.71</v>
      </c>
      <c r="Y41" s="33">
        <v>7460.3509999999997</v>
      </c>
      <c r="Z41" s="33">
        <v>7861.8190000000004</v>
      </c>
      <c r="AA41" s="33">
        <v>9486.2890000000007</v>
      </c>
      <c r="AB41" s="33">
        <v>6931.9589999999998</v>
      </c>
      <c r="AC41" s="33">
        <v>7951</v>
      </c>
      <c r="AD41" s="20">
        <v>9011.67</v>
      </c>
      <c r="AE41" s="20">
        <v>8241.4580000000005</v>
      </c>
      <c r="AF41" s="20">
        <v>7760.4679999999998</v>
      </c>
      <c r="AG41" s="20">
        <v>8282.7939999999999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0</v>
      </c>
      <c r="K42" s="20"/>
      <c r="L42" s="20"/>
      <c r="M42" s="20">
        <v>0</v>
      </c>
      <c r="N42" s="20"/>
      <c r="O42" s="20">
        <v>0</v>
      </c>
      <c r="P42" s="20"/>
      <c r="Q42" s="20"/>
      <c r="R42" s="66">
        <v>0</v>
      </c>
      <c r="S42" s="20">
        <v>0</v>
      </c>
      <c r="T42" s="82">
        <v>0</v>
      </c>
      <c r="U42" s="20">
        <v>0</v>
      </c>
      <c r="V42" s="20">
        <v>0</v>
      </c>
      <c r="W42" s="33">
        <v>0</v>
      </c>
      <c r="X42" s="33">
        <v>0</v>
      </c>
      <c r="Y42" s="33">
        <v>0</v>
      </c>
      <c r="Z42" s="33">
        <v>0</v>
      </c>
      <c r="AA42" s="33">
        <v>0</v>
      </c>
      <c r="AB42" s="33">
        <v>0</v>
      </c>
      <c r="AC42" s="33">
        <v>0</v>
      </c>
      <c r="AD42" s="20">
        <v>0</v>
      </c>
      <c r="AE42" s="20">
        <v>0</v>
      </c>
      <c r="AF42" s="20">
        <v>0</v>
      </c>
      <c r="AG42" s="20">
        <v>0</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8099.3329999999996</v>
      </c>
      <c r="K43" s="20"/>
      <c r="L43" s="20"/>
      <c r="M43" s="20">
        <v>8389.3549999999996</v>
      </c>
      <c r="N43" s="20"/>
      <c r="O43" s="20">
        <v>9451.0139999999992</v>
      </c>
      <c r="P43" s="20"/>
      <c r="Q43" s="20"/>
      <c r="R43" s="66">
        <v>22387.447</v>
      </c>
      <c r="S43" s="20">
        <v>25437.9</v>
      </c>
      <c r="T43" s="82">
        <v>24423.859</v>
      </c>
      <c r="U43" s="20">
        <v>25348.258000000002</v>
      </c>
      <c r="V43" s="20">
        <v>22364.542000000001</v>
      </c>
      <c r="W43" s="33">
        <v>24873.672999999999</v>
      </c>
      <c r="X43" s="33">
        <v>22278.335999999999</v>
      </c>
      <c r="Y43" s="33">
        <v>22551.192999999999</v>
      </c>
      <c r="Z43" s="33">
        <v>23961.023000000001</v>
      </c>
      <c r="AA43" s="33">
        <v>22931.294999999998</v>
      </c>
      <c r="AB43" s="33">
        <v>22779.75</v>
      </c>
      <c r="AC43" s="33">
        <v>22869</v>
      </c>
      <c r="AD43" s="20">
        <v>24006.062000000002</v>
      </c>
      <c r="AE43" s="20">
        <v>38480.669000000002</v>
      </c>
      <c r="AF43" s="20">
        <v>40178.29</v>
      </c>
      <c r="AG43" s="20">
        <v>40949.023000000001</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0</v>
      </c>
      <c r="K44" s="20"/>
      <c r="L44" s="20"/>
      <c r="M44" s="20">
        <v>0</v>
      </c>
      <c r="N44" s="20"/>
      <c r="O44" s="20">
        <v>0</v>
      </c>
      <c r="P44" s="20"/>
      <c r="Q44" s="20"/>
      <c r="R44" s="66">
        <v>0</v>
      </c>
      <c r="S44" s="20">
        <v>0</v>
      </c>
      <c r="T44" s="82">
        <v>0</v>
      </c>
      <c r="U44" s="20">
        <v>0</v>
      </c>
      <c r="V44" s="20">
        <v>0</v>
      </c>
      <c r="W44" s="33">
        <v>0</v>
      </c>
      <c r="X44" s="33">
        <v>0</v>
      </c>
      <c r="Y44" s="33">
        <v>0</v>
      </c>
      <c r="Z44" s="33">
        <v>0</v>
      </c>
      <c r="AA44" s="33">
        <v>0</v>
      </c>
      <c r="AB44" s="33">
        <v>0</v>
      </c>
      <c r="AC44" s="33">
        <v>0</v>
      </c>
      <c r="AD44" s="20">
        <v>0</v>
      </c>
      <c r="AE44" s="20">
        <v>0</v>
      </c>
      <c r="AF44" s="20">
        <v>0</v>
      </c>
      <c r="AG44" s="20">
        <v>0</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0</v>
      </c>
      <c r="K45" s="20"/>
      <c r="L45" s="20"/>
      <c r="M45" s="20">
        <v>0</v>
      </c>
      <c r="N45" s="20"/>
      <c r="O45" s="20">
        <v>0</v>
      </c>
      <c r="P45" s="20"/>
      <c r="Q45" s="20"/>
      <c r="R45" s="66">
        <v>0</v>
      </c>
      <c r="S45" s="20">
        <v>0</v>
      </c>
      <c r="T45" s="82">
        <v>0</v>
      </c>
      <c r="U45" s="20">
        <v>0</v>
      </c>
      <c r="V45" s="20">
        <v>0</v>
      </c>
      <c r="W45" s="33">
        <v>0</v>
      </c>
      <c r="X45" s="33">
        <v>0</v>
      </c>
      <c r="Y45" s="33">
        <v>0</v>
      </c>
      <c r="Z45" s="33">
        <v>0</v>
      </c>
      <c r="AA45" s="33">
        <v>0</v>
      </c>
      <c r="AB45" s="33">
        <v>0</v>
      </c>
      <c r="AC45" s="33">
        <v>0</v>
      </c>
      <c r="AD45" s="20">
        <v>0</v>
      </c>
      <c r="AE45" s="20">
        <v>0</v>
      </c>
      <c r="AF45" s="20">
        <v>0</v>
      </c>
      <c r="AG45" s="20">
        <v>0</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0</v>
      </c>
      <c r="K46" s="20"/>
      <c r="L46" s="20"/>
      <c r="M46" s="20">
        <v>0</v>
      </c>
      <c r="N46" s="20"/>
      <c r="O46" s="20">
        <v>0</v>
      </c>
      <c r="P46" s="20"/>
      <c r="Q46" s="20"/>
      <c r="R46" s="66">
        <v>0</v>
      </c>
      <c r="S46" s="20">
        <v>0</v>
      </c>
      <c r="T46" s="82">
        <v>0</v>
      </c>
      <c r="U46" s="20">
        <v>0</v>
      </c>
      <c r="V46" s="20">
        <v>0</v>
      </c>
      <c r="W46" s="33">
        <v>0</v>
      </c>
      <c r="X46" s="33">
        <v>0</v>
      </c>
      <c r="Y46" s="33">
        <v>0</v>
      </c>
      <c r="Z46" s="33">
        <v>0</v>
      </c>
      <c r="AA46" s="33">
        <v>0</v>
      </c>
      <c r="AB46" s="33">
        <v>0</v>
      </c>
      <c r="AC46" s="33">
        <v>0</v>
      </c>
      <c r="AD46" s="20">
        <v>0</v>
      </c>
      <c r="AE46" s="20">
        <v>0</v>
      </c>
      <c r="AF46" s="20">
        <v>0</v>
      </c>
      <c r="AG46" s="20">
        <v>0</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20.312000000000001</v>
      </c>
      <c r="K47" s="20"/>
      <c r="L47" s="20"/>
      <c r="M47" s="20">
        <v>20.312000000000001</v>
      </c>
      <c r="N47" s="20"/>
      <c r="O47" s="20">
        <v>20.312000000000001</v>
      </c>
      <c r="P47" s="20"/>
      <c r="Q47" s="20"/>
      <c r="R47" s="92">
        <v>20.43</v>
      </c>
      <c r="S47" s="20">
        <v>20.312000000000001</v>
      </c>
      <c r="T47" s="82">
        <v>20.312000000000001</v>
      </c>
      <c r="U47" s="20">
        <v>20.312000000000001</v>
      </c>
      <c r="V47" s="20">
        <v>20.312000000000001</v>
      </c>
      <c r="W47" s="33">
        <v>20.312000000000001</v>
      </c>
      <c r="X47" s="33">
        <v>20.312000000000001</v>
      </c>
      <c r="Y47" s="33">
        <v>20.312000000000001</v>
      </c>
      <c r="Z47" s="33">
        <v>0</v>
      </c>
      <c r="AA47" s="33">
        <v>0</v>
      </c>
      <c r="AB47" s="33">
        <v>0</v>
      </c>
      <c r="AC47" s="33">
        <v>0</v>
      </c>
      <c r="AD47" s="20">
        <v>0</v>
      </c>
      <c r="AE47" s="20">
        <v>0</v>
      </c>
      <c r="AF47" s="20">
        <v>0</v>
      </c>
      <c r="AG47" s="20">
        <v>0</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0</v>
      </c>
      <c r="K48" s="20"/>
      <c r="L48" s="20"/>
      <c r="M48" s="20">
        <v>0</v>
      </c>
      <c r="N48" s="20"/>
      <c r="O48" s="20">
        <v>0</v>
      </c>
      <c r="P48" s="20"/>
      <c r="Q48" s="20"/>
      <c r="R48" s="66">
        <v>0</v>
      </c>
      <c r="S48" s="20">
        <v>0</v>
      </c>
      <c r="T48" s="82">
        <v>0</v>
      </c>
      <c r="U48" s="20">
        <v>0</v>
      </c>
      <c r="V48" s="20">
        <v>0</v>
      </c>
      <c r="W48" s="33">
        <v>1712.9159999999999</v>
      </c>
      <c r="X48" s="33">
        <v>1785.57</v>
      </c>
      <c r="Y48" s="33">
        <v>1959.3030000000001</v>
      </c>
      <c r="Z48" s="33">
        <v>2082.5639999999999</v>
      </c>
      <c r="AA48" s="33">
        <v>2130.5659999999998</v>
      </c>
      <c r="AB48" s="33">
        <v>184.81100000000001</v>
      </c>
      <c r="AC48" s="33">
        <v>2459</v>
      </c>
      <c r="AD48" s="20">
        <v>2685.8229999999999</v>
      </c>
      <c r="AE48" s="20">
        <v>3024.6909999999998</v>
      </c>
      <c r="AF48" s="20">
        <v>3082.26</v>
      </c>
      <c r="AG48" s="20">
        <v>5881.9319999999998</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11562.396000000001</v>
      </c>
      <c r="K49" s="20"/>
      <c r="L49" s="20"/>
      <c r="M49" s="20">
        <v>28963.39</v>
      </c>
      <c r="N49" s="20"/>
      <c r="O49" s="20">
        <v>14629.039000000001</v>
      </c>
      <c r="P49" s="20"/>
      <c r="Q49" s="20"/>
      <c r="R49" s="66">
        <v>17817.187000000002</v>
      </c>
      <c r="S49" s="20">
        <v>14670.246999999999</v>
      </c>
      <c r="T49" s="82">
        <v>28.599</v>
      </c>
      <c r="U49" s="20">
        <v>0</v>
      </c>
      <c r="V49" s="20">
        <v>0</v>
      </c>
      <c r="W49" s="33">
        <v>0</v>
      </c>
      <c r="X49" s="33">
        <v>0</v>
      </c>
      <c r="Y49" s="33">
        <v>0</v>
      </c>
      <c r="Z49" s="33">
        <v>0</v>
      </c>
      <c r="AA49" s="33">
        <v>0</v>
      </c>
      <c r="AB49" s="33">
        <v>0</v>
      </c>
      <c r="AC49" s="33">
        <v>0</v>
      </c>
      <c r="AD49" s="20"/>
      <c r="AE49" s="20"/>
      <c r="AF49" s="20">
        <v>0</v>
      </c>
      <c r="AG49" s="20">
        <v>0</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0</v>
      </c>
      <c r="K50" s="20"/>
      <c r="L50" s="20"/>
      <c r="M50" s="20">
        <v>0</v>
      </c>
      <c r="N50" s="20"/>
      <c r="O50" s="20">
        <v>0</v>
      </c>
      <c r="P50" s="20"/>
      <c r="Q50" s="20"/>
      <c r="R50" s="66">
        <v>0</v>
      </c>
      <c r="S50" s="20">
        <v>0</v>
      </c>
      <c r="T50" s="82">
        <v>205.61600000000001</v>
      </c>
      <c r="U50" s="20">
        <v>142.517</v>
      </c>
      <c r="V50" s="20">
        <v>0</v>
      </c>
      <c r="W50" s="33">
        <v>0</v>
      </c>
      <c r="X50" s="33">
        <v>0</v>
      </c>
      <c r="Y50" s="33">
        <v>0</v>
      </c>
      <c r="Z50" s="33">
        <v>0</v>
      </c>
      <c r="AA50" s="33">
        <v>0</v>
      </c>
      <c r="AB50" s="33">
        <v>0</v>
      </c>
      <c r="AC50" s="33">
        <v>0</v>
      </c>
      <c r="AD50" s="20"/>
      <c r="AE50" s="20"/>
      <c r="AF50" s="20">
        <v>0</v>
      </c>
      <c r="AG50" s="20">
        <v>0</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0</v>
      </c>
      <c r="K51" s="51"/>
      <c r="L51" s="51"/>
      <c r="M51" s="51">
        <v>0</v>
      </c>
      <c r="N51" s="51"/>
      <c r="O51" s="51">
        <v>0</v>
      </c>
      <c r="P51" s="51"/>
      <c r="Q51" s="51"/>
      <c r="R51" s="67">
        <v>0</v>
      </c>
      <c r="S51" s="51">
        <v>0</v>
      </c>
      <c r="T51" s="113">
        <v>0</v>
      </c>
      <c r="U51" s="51">
        <v>0</v>
      </c>
      <c r="V51" s="51">
        <v>0</v>
      </c>
      <c r="W51" s="50">
        <v>0</v>
      </c>
      <c r="X51" s="50">
        <v>0</v>
      </c>
      <c r="Y51" s="50">
        <v>79990.740000000005</v>
      </c>
      <c r="Z51" s="50">
        <v>84648.491999999998</v>
      </c>
      <c r="AA51" s="50">
        <v>89603.130999999994</v>
      </c>
      <c r="AB51" s="50">
        <v>0</v>
      </c>
      <c r="AC51" s="50">
        <v>0</v>
      </c>
      <c r="AD51" s="51"/>
      <c r="AE51" s="51"/>
      <c r="AF51" s="51">
        <v>0</v>
      </c>
      <c r="AG51" s="51">
        <v>0</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70186.992000000013</v>
      </c>
      <c r="M52" s="104">
        <f>SUM(M54:M62)</f>
        <v>60028.622000000003</v>
      </c>
      <c r="O52" s="104">
        <f>SUM(O54:O62)</f>
        <v>68283.957999999999</v>
      </c>
      <c r="R52" s="104">
        <f t="shared" ref="R52:AG52" si="14">SUM(R54:R62)</f>
        <v>66447.404999999999</v>
      </c>
      <c r="S52" s="104">
        <f t="shared" si="14"/>
        <v>55795.75</v>
      </c>
      <c r="T52" s="114">
        <f t="shared" si="14"/>
        <v>60299.697</v>
      </c>
      <c r="U52" s="104">
        <f t="shared" si="14"/>
        <v>59189.77</v>
      </c>
      <c r="V52" s="104">
        <f t="shared" si="14"/>
        <v>63243.237000000001</v>
      </c>
      <c r="W52" s="104">
        <f t="shared" si="14"/>
        <v>64995.413</v>
      </c>
      <c r="X52" s="104">
        <f t="shared" si="14"/>
        <v>65720.748999999996</v>
      </c>
      <c r="Y52" s="104">
        <f t="shared" si="14"/>
        <v>74342.611000000004</v>
      </c>
      <c r="Z52" s="104">
        <f t="shared" si="14"/>
        <v>76226.566000000006</v>
      </c>
      <c r="AA52" s="104">
        <f t="shared" si="14"/>
        <v>84625.862999999998</v>
      </c>
      <c r="AB52" s="104">
        <f t="shared" si="14"/>
        <v>101494.356</v>
      </c>
      <c r="AC52" s="104">
        <f t="shared" si="14"/>
        <v>96968</v>
      </c>
      <c r="AD52" s="104">
        <f t="shared" si="14"/>
        <v>95077.361999999994</v>
      </c>
      <c r="AE52" s="104">
        <f t="shared" si="14"/>
        <v>101569.15300000001</v>
      </c>
      <c r="AF52" s="104">
        <f t="shared" si="14"/>
        <v>92434.656000000003</v>
      </c>
      <c r="AG52" s="104">
        <f t="shared" si="14"/>
        <v>92003.975000000006</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F53" s="20">
        <v>0</v>
      </c>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0</v>
      </c>
      <c r="K54" s="20"/>
      <c r="L54" s="20"/>
      <c r="M54" s="65">
        <v>0</v>
      </c>
      <c r="N54" s="20"/>
      <c r="O54" s="20">
        <v>0</v>
      </c>
      <c r="P54" s="20"/>
      <c r="Q54" s="20"/>
      <c r="R54" s="66">
        <v>0</v>
      </c>
      <c r="S54" s="20">
        <v>0</v>
      </c>
      <c r="T54" s="82">
        <v>0</v>
      </c>
      <c r="U54" s="20">
        <v>0</v>
      </c>
      <c r="V54" s="20">
        <v>0</v>
      </c>
      <c r="W54" s="33">
        <v>0</v>
      </c>
      <c r="X54" s="33">
        <v>0</v>
      </c>
      <c r="Y54" s="33">
        <v>0</v>
      </c>
      <c r="Z54" s="33">
        <v>0</v>
      </c>
      <c r="AA54" s="33">
        <v>0</v>
      </c>
      <c r="AB54" s="33">
        <v>0</v>
      </c>
      <c r="AC54" s="33">
        <v>0</v>
      </c>
      <c r="AD54" s="20"/>
      <c r="AE54" s="20"/>
      <c r="AF54" s="20">
        <v>0</v>
      </c>
      <c r="AG54" s="20">
        <v>0</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0</v>
      </c>
      <c r="K55" s="20"/>
      <c r="L55" s="20"/>
      <c r="M55" s="20">
        <v>0</v>
      </c>
      <c r="N55" s="20"/>
      <c r="O55" s="20">
        <v>0</v>
      </c>
      <c r="P55" s="20"/>
      <c r="Q55" s="20"/>
      <c r="R55" s="66">
        <v>0</v>
      </c>
      <c r="S55" s="20">
        <v>0</v>
      </c>
      <c r="T55" s="82">
        <v>0</v>
      </c>
      <c r="U55" s="20">
        <v>0</v>
      </c>
      <c r="V55" s="20">
        <v>0</v>
      </c>
      <c r="W55" s="33">
        <v>0</v>
      </c>
      <c r="X55" s="33">
        <v>0</v>
      </c>
      <c r="Y55" s="33">
        <v>0</v>
      </c>
      <c r="Z55" s="33">
        <v>0</v>
      </c>
      <c r="AA55" s="33">
        <v>0</v>
      </c>
      <c r="AB55" s="33">
        <v>0</v>
      </c>
      <c r="AC55" s="33">
        <v>0</v>
      </c>
      <c r="AD55" s="20"/>
      <c r="AE55" s="20"/>
      <c r="AF55" s="20">
        <v>0</v>
      </c>
      <c r="AG55" s="20">
        <v>0</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0</v>
      </c>
      <c r="K56" s="20"/>
      <c r="L56" s="20"/>
      <c r="M56" s="20">
        <v>22</v>
      </c>
      <c r="N56" s="20"/>
      <c r="O56" s="20">
        <v>0</v>
      </c>
      <c r="P56" s="20"/>
      <c r="Q56" s="20"/>
      <c r="R56" s="66">
        <v>0</v>
      </c>
      <c r="S56" s="20">
        <v>0</v>
      </c>
      <c r="T56" s="82">
        <v>0</v>
      </c>
      <c r="U56" s="20">
        <v>0</v>
      </c>
      <c r="V56" s="20">
        <v>0</v>
      </c>
      <c r="W56" s="33">
        <v>0</v>
      </c>
      <c r="X56" s="33">
        <v>0</v>
      </c>
      <c r="Y56" s="33">
        <v>0</v>
      </c>
      <c r="Z56" s="33">
        <v>0</v>
      </c>
      <c r="AA56" s="33">
        <v>0</v>
      </c>
      <c r="AB56" s="33">
        <v>0</v>
      </c>
      <c r="AC56" s="33">
        <v>0</v>
      </c>
      <c r="AD56" s="20"/>
      <c r="AE56" s="20"/>
      <c r="AF56" s="20">
        <v>0</v>
      </c>
      <c r="AG56" s="20">
        <v>0</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0</v>
      </c>
      <c r="K57" s="20"/>
      <c r="L57" s="20"/>
      <c r="M57" s="20">
        <v>0</v>
      </c>
      <c r="N57" s="20"/>
      <c r="O57" s="20">
        <v>0</v>
      </c>
      <c r="P57" s="20"/>
      <c r="Q57" s="20"/>
      <c r="R57" s="92">
        <v>0</v>
      </c>
      <c r="S57" s="20">
        <v>0</v>
      </c>
      <c r="T57" s="82">
        <v>0</v>
      </c>
      <c r="U57" s="20">
        <v>0</v>
      </c>
      <c r="V57" s="20">
        <v>0</v>
      </c>
      <c r="W57" s="33">
        <v>0</v>
      </c>
      <c r="X57" s="33">
        <v>0</v>
      </c>
      <c r="Y57" s="33">
        <v>0</v>
      </c>
      <c r="Z57" s="33">
        <v>0</v>
      </c>
      <c r="AA57" s="33">
        <v>0</v>
      </c>
      <c r="AB57" s="33">
        <v>0</v>
      </c>
      <c r="AC57" s="33">
        <v>0</v>
      </c>
      <c r="AD57" s="20"/>
      <c r="AE57" s="20"/>
      <c r="AF57" s="20">
        <v>0</v>
      </c>
      <c r="AG57" s="20">
        <v>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30</v>
      </c>
      <c r="K58" s="20"/>
      <c r="L58" s="20"/>
      <c r="M58" s="20">
        <v>30</v>
      </c>
      <c r="N58" s="20"/>
      <c r="O58" s="20">
        <v>0</v>
      </c>
      <c r="P58" s="20"/>
      <c r="Q58" s="20"/>
      <c r="R58" s="92">
        <v>0</v>
      </c>
      <c r="S58" s="20">
        <v>0</v>
      </c>
      <c r="T58" s="82">
        <v>0</v>
      </c>
      <c r="U58" s="20">
        <v>592.17999999999995</v>
      </c>
      <c r="V58" s="20">
        <v>607.71400000000006</v>
      </c>
      <c r="W58" s="33">
        <v>0</v>
      </c>
      <c r="X58" s="33">
        <v>0</v>
      </c>
      <c r="Y58" s="33">
        <v>0</v>
      </c>
      <c r="Z58" s="33">
        <v>0</v>
      </c>
      <c r="AA58" s="33">
        <v>0</v>
      </c>
      <c r="AB58" s="33">
        <v>0</v>
      </c>
      <c r="AC58" s="33">
        <v>0</v>
      </c>
      <c r="AD58" s="20"/>
      <c r="AE58" s="20"/>
      <c r="AF58" s="20">
        <v>0</v>
      </c>
      <c r="AG58" s="20">
        <v>0</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69605.994000000006</v>
      </c>
      <c r="K59" s="20"/>
      <c r="L59" s="20"/>
      <c r="M59" s="20">
        <v>59862.622000000003</v>
      </c>
      <c r="N59" s="20"/>
      <c r="O59" s="20">
        <v>68283.957999999999</v>
      </c>
      <c r="P59" s="20"/>
      <c r="Q59" s="20"/>
      <c r="R59" s="92">
        <v>66447.404999999999</v>
      </c>
      <c r="S59" s="20">
        <v>55795.75</v>
      </c>
      <c r="T59" s="82">
        <v>60299.697</v>
      </c>
      <c r="U59" s="20">
        <v>58597.59</v>
      </c>
      <c r="V59" s="20">
        <v>62635.523000000001</v>
      </c>
      <c r="W59" s="33">
        <v>64995.413</v>
      </c>
      <c r="X59" s="33">
        <v>65720.748999999996</v>
      </c>
      <c r="Y59" s="33">
        <v>74342.611000000004</v>
      </c>
      <c r="Z59" s="33">
        <v>76226.566000000006</v>
      </c>
      <c r="AA59" s="33">
        <v>84625.862999999998</v>
      </c>
      <c r="AB59" s="33">
        <v>101494.356</v>
      </c>
      <c r="AC59" s="33">
        <v>96968</v>
      </c>
      <c r="AD59" s="20">
        <v>95077.361999999994</v>
      </c>
      <c r="AE59" s="20">
        <v>101569.15300000001</v>
      </c>
      <c r="AF59" s="20">
        <v>92434.656000000003</v>
      </c>
      <c r="AG59" s="20">
        <v>92003.975000000006</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505.99799999999999</v>
      </c>
      <c r="K60" s="20"/>
      <c r="L60" s="20"/>
      <c r="M60" s="20">
        <v>0</v>
      </c>
      <c r="N60" s="20"/>
      <c r="O60" s="20">
        <v>0</v>
      </c>
      <c r="P60" s="20"/>
      <c r="Q60" s="20"/>
      <c r="R60" s="66">
        <v>0</v>
      </c>
      <c r="S60" s="20">
        <v>0</v>
      </c>
      <c r="T60" s="82">
        <v>0</v>
      </c>
      <c r="U60" s="20">
        <v>0</v>
      </c>
      <c r="V60" s="20">
        <v>0</v>
      </c>
      <c r="W60" s="33">
        <v>0</v>
      </c>
      <c r="X60" s="33">
        <v>0</v>
      </c>
      <c r="Y60" s="33">
        <v>0</v>
      </c>
      <c r="Z60" s="33">
        <v>0</v>
      </c>
      <c r="AA60" s="33">
        <v>0</v>
      </c>
      <c r="AB60" s="33">
        <v>0</v>
      </c>
      <c r="AC60" s="33">
        <v>0</v>
      </c>
      <c r="AD60" s="20"/>
      <c r="AE60" s="20"/>
      <c r="AF60" s="20">
        <v>0</v>
      </c>
      <c r="AG60" s="20">
        <v>0</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0</v>
      </c>
      <c r="K61" s="20"/>
      <c r="L61" s="20"/>
      <c r="M61" s="20">
        <v>0</v>
      </c>
      <c r="N61" s="20"/>
      <c r="O61" s="20">
        <v>0</v>
      </c>
      <c r="P61" s="20"/>
      <c r="Q61" s="20"/>
      <c r="R61" s="66">
        <v>0</v>
      </c>
      <c r="S61" s="20">
        <v>0</v>
      </c>
      <c r="T61" s="82">
        <v>0</v>
      </c>
      <c r="U61" s="20">
        <v>0</v>
      </c>
      <c r="V61" s="20">
        <v>0</v>
      </c>
      <c r="W61" s="33">
        <v>0</v>
      </c>
      <c r="X61" s="33">
        <v>0</v>
      </c>
      <c r="Y61" s="33">
        <v>0</v>
      </c>
      <c r="Z61" s="33">
        <v>0</v>
      </c>
      <c r="AA61" s="33">
        <v>0</v>
      </c>
      <c r="AB61" s="33">
        <v>0</v>
      </c>
      <c r="AC61" s="33">
        <v>0</v>
      </c>
      <c r="AD61" s="20"/>
      <c r="AE61" s="20"/>
      <c r="AF61" s="20">
        <v>0</v>
      </c>
      <c r="AG61" s="20">
        <v>0</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45</v>
      </c>
      <c r="K62" s="51"/>
      <c r="L62" s="51"/>
      <c r="M62" s="51">
        <v>114</v>
      </c>
      <c r="N62" s="51"/>
      <c r="O62" s="51">
        <v>0</v>
      </c>
      <c r="P62" s="51"/>
      <c r="Q62" s="51"/>
      <c r="R62" s="67">
        <v>0</v>
      </c>
      <c r="S62" s="51">
        <v>0</v>
      </c>
      <c r="T62" s="113">
        <v>0</v>
      </c>
      <c r="U62" s="51">
        <v>0</v>
      </c>
      <c r="V62" s="51">
        <v>0</v>
      </c>
      <c r="W62" s="50">
        <v>0</v>
      </c>
      <c r="X62" s="50">
        <v>0</v>
      </c>
      <c r="Y62" s="50">
        <v>0</v>
      </c>
      <c r="Z62" s="50">
        <v>0</v>
      </c>
      <c r="AA62" s="50">
        <v>0</v>
      </c>
      <c r="AB62" s="50">
        <v>0</v>
      </c>
      <c r="AC62" s="50">
        <v>0</v>
      </c>
      <c r="AD62" s="51"/>
      <c r="AE62" s="51"/>
      <c r="AF62" s="51">
        <v>0</v>
      </c>
      <c r="AG62" s="51">
        <v>0</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73495</v>
      </c>
      <c r="K63" s="86"/>
      <c r="L63" s="86"/>
      <c r="M63" s="86">
        <v>69337.120999999999</v>
      </c>
      <c r="N63" s="86"/>
      <c r="O63" s="86">
        <v>67422.107690000004</v>
      </c>
      <c r="P63" s="86"/>
      <c r="Q63" s="86"/>
      <c r="R63" s="88">
        <v>43258.574000000001</v>
      </c>
      <c r="S63" s="86">
        <v>46932.724999999999</v>
      </c>
      <c r="T63" s="89">
        <v>46067.845999999998</v>
      </c>
      <c r="U63" s="86">
        <v>50543.591999999997</v>
      </c>
      <c r="V63" s="86">
        <v>50861.262999999999</v>
      </c>
      <c r="W63" s="87">
        <v>51580.601999999999</v>
      </c>
      <c r="X63" s="87">
        <v>61266.493000000002</v>
      </c>
      <c r="Y63" s="87">
        <v>62635.553999999996</v>
      </c>
      <c r="Z63" s="87">
        <v>62769.786</v>
      </c>
      <c r="AA63" s="87">
        <v>62070</v>
      </c>
      <c r="AB63" s="87">
        <v>0</v>
      </c>
      <c r="AC63" s="87">
        <v>0</v>
      </c>
      <c r="AD63" s="51"/>
      <c r="AE63" s="51"/>
      <c r="AF63" s="51">
        <v>0</v>
      </c>
      <c r="AG63" s="51">
        <v>0</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4">
    <tabColor indexed="62"/>
  </sheetPr>
  <dimension ref="A1:HB92"/>
  <sheetViews>
    <sheetView showZeros="0" zoomScaleNormal="100" workbookViewId="0">
      <pane xSplit="1" ySplit="3" topLeftCell="Z4" activePane="bottomRight" state="frozen"/>
      <selection activeCell="O44" sqref="O44"/>
      <selection pane="topRight" activeCell="O44" sqref="O44"/>
      <selection pane="bottomLeft" activeCell="O44" sqref="O44"/>
      <selection pane="bottomRight" activeCell="AH8" sqref="AH8"/>
    </sheetView>
  </sheetViews>
  <sheetFormatPr defaultColWidth="9.7109375" defaultRowHeight="12.75"/>
  <cols>
    <col min="1" max="1" width="19.5703125" style="13" bestFit="1" customWidth="1"/>
    <col min="2" max="22" width="13.85546875" style="13" customWidth="1"/>
    <col min="23" max="28" width="13.85546875" style="53" customWidth="1"/>
    <col min="29" max="29" width="14.42578125" style="53" bestFit="1" customWidth="1"/>
    <col min="30" max="31" width="10.7109375" style="13" bestFit="1" customWidth="1"/>
    <col min="32" max="33" width="10.710937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92</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t="s">
        <v>0</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t="s">
        <v>81</v>
      </c>
      <c r="T3" s="81" t="s">
        <v>103</v>
      </c>
      <c r="U3" s="52" t="s">
        <v>106</v>
      </c>
      <c r="V3" s="52" t="s">
        <v>107</v>
      </c>
      <c r="W3" s="52" t="s">
        <v>85</v>
      </c>
      <c r="X3" s="52" t="s">
        <v>108</v>
      </c>
      <c r="Y3" s="52" t="s">
        <v>101</v>
      </c>
      <c r="Z3" s="52">
        <v>2008</v>
      </c>
      <c r="AA3" s="52" t="s">
        <v>147</v>
      </c>
      <c r="AB3" s="52" t="s">
        <v>153</v>
      </c>
      <c r="AC3" s="52" t="s">
        <v>155</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51">
        <f>7236878+11565949</f>
        <v>18802827</v>
      </c>
      <c r="C4" s="51">
        <f>8068818+13092435</f>
        <v>21161253</v>
      </c>
      <c r="D4" s="51">
        <f>8695851+14064374</f>
        <v>22760225</v>
      </c>
      <c r="E4" s="86"/>
      <c r="F4" s="86"/>
      <c r="G4" s="86"/>
      <c r="H4" s="86"/>
      <c r="I4" s="86">
        <v>28711120.736000001</v>
      </c>
      <c r="J4" s="100">
        <f t="shared" ref="J4" si="0">+J5+J23+J38+J52+J63</f>
        <v>28225691.919</v>
      </c>
      <c r="K4" s="86">
        <v>29348295.965</v>
      </c>
      <c r="L4" s="86">
        <v>29818134.276999999</v>
      </c>
      <c r="M4" s="100">
        <f t="shared" ref="M4" si="1">+M5+M23+M38+M52+M63</f>
        <v>30375545.460999999</v>
      </c>
      <c r="N4" s="86">
        <v>31711041.640000001</v>
      </c>
      <c r="O4" s="100">
        <f t="shared" ref="O4" si="2">+O5+O23+O38+O52+O63</f>
        <v>33364112.565699995</v>
      </c>
      <c r="P4" s="86"/>
      <c r="Q4" s="86"/>
      <c r="R4" s="100">
        <f t="shared" ref="R4:AA4" si="3">+R5+R23+R38+R52+R63</f>
        <v>38474111.190000005</v>
      </c>
      <c r="S4" s="100">
        <f t="shared" si="3"/>
        <v>41070332.825999998</v>
      </c>
      <c r="T4" s="111">
        <f t="shared" si="3"/>
        <v>41803980.241000004</v>
      </c>
      <c r="U4" s="100">
        <f t="shared" si="3"/>
        <v>40854751.542000003</v>
      </c>
      <c r="V4" s="100">
        <f t="shared" si="3"/>
        <v>40300092.953999996</v>
      </c>
      <c r="W4" s="100">
        <f t="shared" si="3"/>
        <v>41465407.272</v>
      </c>
      <c r="X4" s="100">
        <f t="shared" si="3"/>
        <v>43587540.434</v>
      </c>
      <c r="Y4" s="100">
        <f t="shared" si="3"/>
        <v>46760334.475999996</v>
      </c>
      <c r="Z4" s="100">
        <f t="shared" si="3"/>
        <v>50601911.659999996</v>
      </c>
      <c r="AA4" s="100">
        <f t="shared" si="3"/>
        <v>43519253.829000004</v>
      </c>
      <c r="AB4" s="100">
        <f t="shared" ref="AB4:AC4" si="4">+AB5+AB23+AB38+AB52+AB63</f>
        <v>45283674.435999997</v>
      </c>
      <c r="AC4" s="100">
        <f t="shared" si="4"/>
        <v>45476933</v>
      </c>
      <c r="AD4" s="100">
        <f t="shared" ref="AD4:AE4" si="5">+AD5+AD23+AD38+AD52+AD63</f>
        <v>42468761.960000001</v>
      </c>
      <c r="AE4" s="100">
        <f t="shared" si="5"/>
        <v>40664314.947999991</v>
      </c>
      <c r="AF4" s="100">
        <f t="shared" ref="AF4" si="6">+AF5+AF23+AF38+AF52+AF63</f>
        <v>43639073.344999991</v>
      </c>
      <c r="AG4" s="100">
        <f t="shared" ref="AG4" si="7">+AG5+AG23+AG38+AG52+AG63</f>
        <v>45010330.327</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J5" s="101">
        <f t="shared" ref="J5" si="8">SUM(J7:J22)</f>
        <v>10080807.43</v>
      </c>
      <c r="K5" s="12"/>
      <c r="L5" s="12"/>
      <c r="M5" s="101">
        <f t="shared" ref="M5" si="9">SUM(M7:M22)</f>
        <v>11499402.641000001</v>
      </c>
      <c r="N5" s="12"/>
      <c r="O5" s="101">
        <f t="shared" ref="O5" si="10">SUM(O7:O22)</f>
        <v>12517792.816129999</v>
      </c>
      <c r="P5" s="12"/>
      <c r="Q5" s="12"/>
      <c r="R5" s="101">
        <f t="shared" ref="R5:AA5" si="11">SUM(R7:R22)</f>
        <v>14929898.603</v>
      </c>
      <c r="S5" s="101">
        <f t="shared" si="11"/>
        <v>15794091.416999999</v>
      </c>
      <c r="T5" s="114">
        <f t="shared" si="11"/>
        <v>16081616.788000001</v>
      </c>
      <c r="U5" s="101">
        <f t="shared" si="11"/>
        <v>16074663.681000002</v>
      </c>
      <c r="V5" s="101">
        <f t="shared" si="11"/>
        <v>16043484.072000001</v>
      </c>
      <c r="W5" s="101">
        <f t="shared" si="11"/>
        <v>16548949.23</v>
      </c>
      <c r="X5" s="101">
        <f t="shared" si="11"/>
        <v>17725735.899</v>
      </c>
      <c r="Y5" s="101">
        <f t="shared" si="11"/>
        <v>19331163.922000002</v>
      </c>
      <c r="Z5" s="101">
        <f t="shared" si="11"/>
        <v>21080251.370000001</v>
      </c>
      <c r="AA5" s="101">
        <f t="shared" si="11"/>
        <v>17447320.261999998</v>
      </c>
      <c r="AB5" s="101">
        <f t="shared" ref="AB5:AC5" si="12">SUM(AB7:AB22)</f>
        <v>18438720.952</v>
      </c>
      <c r="AC5" s="101">
        <f t="shared" si="12"/>
        <v>18575455</v>
      </c>
      <c r="AD5" s="101">
        <f t="shared" ref="AD5:AE5" si="13">SUM(AD7:AD22)</f>
        <v>17981529.541000001</v>
      </c>
      <c r="AE5" s="101">
        <f t="shared" si="13"/>
        <v>16630428.494999999</v>
      </c>
      <c r="AF5" s="101">
        <f t="shared" ref="AF5" si="14">SUM(AF7:AF22)</f>
        <v>17722854.592</v>
      </c>
      <c r="AG5" s="101">
        <f t="shared" ref="AG5" si="15">SUM(AG7:AG22)</f>
        <v>18164502.951999996</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130332+226503</f>
        <v>356835</v>
      </c>
      <c r="C7" s="12">
        <f>164016+279113</f>
        <v>443129</v>
      </c>
      <c r="D7" s="12">
        <f>190943+321546</f>
        <v>512489</v>
      </c>
      <c r="E7" s="12"/>
      <c r="F7" s="12"/>
      <c r="G7" s="12"/>
      <c r="H7" s="12"/>
      <c r="I7" s="12">
        <v>566782.33799999999</v>
      </c>
      <c r="J7" s="32">
        <v>569567.83400000003</v>
      </c>
      <c r="K7" s="12">
        <v>588144.46699999995</v>
      </c>
      <c r="L7" s="12">
        <v>622218.04299999995</v>
      </c>
      <c r="M7" s="12">
        <v>705838.98899999994</v>
      </c>
      <c r="N7" s="12">
        <v>690293</v>
      </c>
      <c r="O7" s="12">
        <v>687868.26699999999</v>
      </c>
      <c r="P7" s="12"/>
      <c r="Q7" s="12"/>
      <c r="R7" s="44">
        <v>780581.49</v>
      </c>
      <c r="S7" s="12">
        <v>771865.54299999995</v>
      </c>
      <c r="T7" s="82">
        <v>832486.75699999998</v>
      </c>
      <c r="U7" s="12">
        <v>855413.98699999996</v>
      </c>
      <c r="V7" s="12">
        <v>847080.84499999997</v>
      </c>
      <c r="W7" s="32">
        <v>886827.33900000004</v>
      </c>
      <c r="X7" s="32">
        <v>1016986.078</v>
      </c>
      <c r="Y7" s="32">
        <v>1205723.1599999999</v>
      </c>
      <c r="Z7" s="32">
        <v>1397239.0430000001</v>
      </c>
      <c r="AA7" s="32">
        <v>1107832.351</v>
      </c>
      <c r="AB7" s="32">
        <v>1007280.254</v>
      </c>
      <c r="AC7" s="32">
        <v>1001333</v>
      </c>
      <c r="AD7" s="12">
        <v>1049223.22</v>
      </c>
      <c r="AE7" s="12">
        <v>1013027.491</v>
      </c>
      <c r="AF7" s="12">
        <v>1032885.474</v>
      </c>
      <c r="AG7" s="12">
        <v>1039910.741</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61336+114854</f>
        <v>176190</v>
      </c>
      <c r="C8" s="12">
        <f>76955+144049</f>
        <v>221004</v>
      </c>
      <c r="D8" s="12">
        <f>79945+150333</f>
        <v>230278</v>
      </c>
      <c r="E8" s="12"/>
      <c r="F8" s="12"/>
      <c r="G8" s="12"/>
      <c r="H8" s="12"/>
      <c r="I8" s="12">
        <v>282045.03000000003</v>
      </c>
      <c r="J8" s="32">
        <v>307882.70500000002</v>
      </c>
      <c r="K8" s="12">
        <v>329747.12199999997</v>
      </c>
      <c r="L8" s="12">
        <v>333192.30599999998</v>
      </c>
      <c r="M8" s="12">
        <v>338382.65600000002</v>
      </c>
      <c r="N8" s="12">
        <v>361611.86900000001</v>
      </c>
      <c r="O8" s="12">
        <v>388970.30699999997</v>
      </c>
      <c r="P8" s="12"/>
      <c r="Q8" s="12"/>
      <c r="R8" s="63">
        <v>461409.19199999998</v>
      </c>
      <c r="S8" s="12">
        <v>466403.94099999999</v>
      </c>
      <c r="T8" s="82">
        <v>485606.76799999998</v>
      </c>
      <c r="U8" s="12">
        <v>474364.29399999999</v>
      </c>
      <c r="V8" s="12">
        <v>459022.03</v>
      </c>
      <c r="W8" s="32">
        <v>472339.103</v>
      </c>
      <c r="X8" s="32">
        <v>496341.65500000003</v>
      </c>
      <c r="Y8" s="32">
        <v>510746.86200000002</v>
      </c>
      <c r="Z8" s="32">
        <v>553239.92799999996</v>
      </c>
      <c r="AA8" s="32">
        <v>524498.48699999996</v>
      </c>
      <c r="AB8" s="32">
        <v>579247.79299999995</v>
      </c>
      <c r="AC8" s="32">
        <v>575775</v>
      </c>
      <c r="AD8" s="12">
        <v>575939.46299999999</v>
      </c>
      <c r="AE8" s="12">
        <v>579543.85499999998</v>
      </c>
      <c r="AF8" s="12">
        <v>597372.92500000005</v>
      </c>
      <c r="AG8" s="12">
        <v>563025.71600000001</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53813+13888</f>
        <v>67701</v>
      </c>
      <c r="E9" s="12"/>
      <c r="F9" s="12"/>
      <c r="G9" s="12"/>
      <c r="H9" s="12"/>
      <c r="I9" s="12">
        <v>84228.637000000002</v>
      </c>
      <c r="J9" s="32">
        <v>85781.913</v>
      </c>
      <c r="K9" s="12"/>
      <c r="L9" s="12"/>
      <c r="M9" s="12">
        <v>94401.072</v>
      </c>
      <c r="N9" s="12">
        <v>76894.100999999995</v>
      </c>
      <c r="O9" s="12">
        <v>80662.399999999994</v>
      </c>
      <c r="P9" s="12"/>
      <c r="Q9" s="12"/>
      <c r="R9" s="63">
        <v>120213.838</v>
      </c>
      <c r="S9" s="61">
        <v>137114.429</v>
      </c>
      <c r="T9" s="83">
        <v>134079.70300000001</v>
      </c>
      <c r="U9" s="61">
        <v>133290.65700000001</v>
      </c>
      <c r="V9" s="61">
        <v>136966.20499999999</v>
      </c>
      <c r="W9" s="32">
        <v>148671.66200000001</v>
      </c>
      <c r="X9" s="32">
        <v>155391.46100000001</v>
      </c>
      <c r="Y9" s="32">
        <v>162614.26699999999</v>
      </c>
      <c r="Z9" s="32">
        <v>167158.465</v>
      </c>
      <c r="AA9" s="32">
        <v>163054.27799999999</v>
      </c>
      <c r="AB9" s="32">
        <v>155203.54199999999</v>
      </c>
      <c r="AC9" s="32">
        <v>150240</v>
      </c>
      <c r="AD9" s="12">
        <v>148993.90100000001</v>
      </c>
      <c r="AE9" s="12">
        <v>163394.677</v>
      </c>
      <c r="AF9" s="12">
        <v>158900.47200000001</v>
      </c>
      <c r="AG9" s="12">
        <v>154875.72399999999</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327305+278235</f>
        <v>605540</v>
      </c>
      <c r="C10" s="12">
        <f>358601+307478</f>
        <v>666079</v>
      </c>
      <c r="D10" s="12">
        <f>380647+335509</f>
        <v>716156</v>
      </c>
      <c r="E10" s="12"/>
      <c r="F10" s="12"/>
      <c r="G10" s="12"/>
      <c r="H10" s="12"/>
      <c r="I10" s="12">
        <v>1066371.791</v>
      </c>
      <c r="J10" s="32">
        <v>1013082.959</v>
      </c>
      <c r="K10" s="12">
        <v>1025568.735</v>
      </c>
      <c r="L10" s="12">
        <v>1089291.7679999999</v>
      </c>
      <c r="M10" s="12">
        <v>1173254.1240000001</v>
      </c>
      <c r="N10" s="12">
        <v>1249126.2860000001</v>
      </c>
      <c r="O10" s="12">
        <v>1325619.264</v>
      </c>
      <c r="P10" s="12"/>
      <c r="Q10" s="12"/>
      <c r="R10" s="63">
        <v>1684101.9180000001</v>
      </c>
      <c r="S10" s="12">
        <v>1811741.639</v>
      </c>
      <c r="T10" s="82">
        <v>1736913.561</v>
      </c>
      <c r="U10" s="12">
        <v>2043522.5360000001</v>
      </c>
      <c r="V10" s="12">
        <v>2111332.6260000002</v>
      </c>
      <c r="W10" s="32">
        <v>2252957.1919999998</v>
      </c>
      <c r="X10" s="32">
        <v>2402576.2280000001</v>
      </c>
      <c r="Y10" s="32">
        <v>2682395.9879999999</v>
      </c>
      <c r="Z10" s="32">
        <v>2709760.1310000001</v>
      </c>
      <c r="AA10" s="32">
        <v>2339923.182</v>
      </c>
      <c r="AB10" s="32">
        <v>2105518.943</v>
      </c>
      <c r="AC10" s="32">
        <v>2205832</v>
      </c>
      <c r="AD10" s="12">
        <v>2007509.281</v>
      </c>
      <c r="AE10" s="12">
        <v>1708187.699</v>
      </c>
      <c r="AF10" s="12">
        <v>2248166.2540000002</v>
      </c>
      <c r="AG10" s="12">
        <v>2461742.3199999998</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171403+321400</f>
        <v>492803</v>
      </c>
      <c r="C11" s="12">
        <f>188872+349784</f>
        <v>538656</v>
      </c>
      <c r="D11" s="12">
        <f>204338+378424</f>
        <v>582762</v>
      </c>
      <c r="E11" s="12"/>
      <c r="F11" s="12"/>
      <c r="G11" s="12"/>
      <c r="H11" s="12"/>
      <c r="I11" s="12">
        <v>759403.70799999998</v>
      </c>
      <c r="J11" s="32">
        <v>729613.99600000004</v>
      </c>
      <c r="K11" s="12">
        <v>790114.63500000001</v>
      </c>
      <c r="L11" s="12">
        <v>885700.32700000005</v>
      </c>
      <c r="M11" s="12">
        <v>970947.28700000001</v>
      </c>
      <c r="N11" s="12">
        <v>1045808.277</v>
      </c>
      <c r="O11" s="12">
        <v>1151394.632</v>
      </c>
      <c r="P11" s="12"/>
      <c r="Q11" s="12"/>
      <c r="R11" s="63">
        <v>1343794.8189999999</v>
      </c>
      <c r="S11" s="12">
        <v>1433536.209</v>
      </c>
      <c r="T11" s="82">
        <v>1453990.798</v>
      </c>
      <c r="U11" s="12">
        <v>1406608.92</v>
      </c>
      <c r="V11" s="12">
        <v>1340812.9650000001</v>
      </c>
      <c r="W11" s="32">
        <v>1365537.3940000001</v>
      </c>
      <c r="X11" s="32">
        <v>1492218.905</v>
      </c>
      <c r="Y11" s="32">
        <v>1611543.1070000001</v>
      </c>
      <c r="Z11" s="32">
        <v>1788080.5419999999</v>
      </c>
      <c r="AA11" s="32">
        <v>1478946.202</v>
      </c>
      <c r="AB11" s="32">
        <v>1367631.1059999999</v>
      </c>
      <c r="AC11" s="32">
        <v>1468738</v>
      </c>
      <c r="AD11" s="12">
        <v>1373128.5120000001</v>
      </c>
      <c r="AE11" s="12">
        <v>1466301.4280000001</v>
      </c>
      <c r="AF11" s="12">
        <v>1567962.7720000001</v>
      </c>
      <c r="AG11" s="12">
        <v>1625696.578</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236513+151450</f>
        <v>387963</v>
      </c>
      <c r="C12" s="12">
        <f>242982+155597</f>
        <v>398579</v>
      </c>
      <c r="D12" s="12">
        <f>255008+164086</f>
        <v>419094</v>
      </c>
      <c r="E12" s="12"/>
      <c r="F12" s="12"/>
      <c r="G12" s="12"/>
      <c r="H12" s="12"/>
      <c r="I12" s="12">
        <v>559384.69999999995</v>
      </c>
      <c r="J12" s="32">
        <v>589420.978</v>
      </c>
      <c r="K12" s="12">
        <v>563568.152</v>
      </c>
      <c r="L12" s="12">
        <v>579922.45299999998</v>
      </c>
      <c r="M12" s="12">
        <v>598685.05000000005</v>
      </c>
      <c r="N12" s="12">
        <v>614145.03300000005</v>
      </c>
      <c r="O12" s="12">
        <v>650296.696</v>
      </c>
      <c r="P12" s="12"/>
      <c r="Q12" s="12"/>
      <c r="R12" s="34">
        <v>714097.05599999998</v>
      </c>
      <c r="S12" s="12">
        <v>757418.05500000005</v>
      </c>
      <c r="T12" s="82">
        <v>751046.73</v>
      </c>
      <c r="U12" s="12">
        <v>749481.11</v>
      </c>
      <c r="V12" s="12">
        <v>750230.48800000001</v>
      </c>
      <c r="W12" s="32">
        <v>743479.12</v>
      </c>
      <c r="X12" s="32">
        <v>813163.35800000001</v>
      </c>
      <c r="Y12" s="32">
        <v>830473.24600000004</v>
      </c>
      <c r="Z12" s="32">
        <v>841219.47499999998</v>
      </c>
      <c r="AA12" s="32">
        <v>813232.23100000003</v>
      </c>
      <c r="AB12" s="32">
        <v>767415.02300000004</v>
      </c>
      <c r="AC12" s="32">
        <v>772106</v>
      </c>
      <c r="AD12" s="12">
        <v>769244.93400000001</v>
      </c>
      <c r="AE12" s="12">
        <v>728574.82700000005</v>
      </c>
      <c r="AF12" s="12">
        <v>731726.18</v>
      </c>
      <c r="AG12" s="12">
        <v>723630.20700000005</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137220+331165</f>
        <v>468385</v>
      </c>
      <c r="C13" s="12">
        <f>155358+361768</f>
        <v>517126</v>
      </c>
      <c r="D13" s="12">
        <f>155682+350160</f>
        <v>505842</v>
      </c>
      <c r="E13" s="12"/>
      <c r="F13" s="12"/>
      <c r="G13" s="12"/>
      <c r="H13" s="12"/>
      <c r="I13" s="12">
        <v>533198.05000000005</v>
      </c>
      <c r="J13" s="32">
        <v>544526.84</v>
      </c>
      <c r="K13" s="12">
        <v>537774.245</v>
      </c>
      <c r="L13" s="12">
        <v>531400.67799999996</v>
      </c>
      <c r="M13" s="12">
        <v>558762.44099999999</v>
      </c>
      <c r="N13" s="12">
        <v>550380.03200000001</v>
      </c>
      <c r="O13" s="12">
        <v>599878.61399999994</v>
      </c>
      <c r="P13" s="12"/>
      <c r="Q13" s="12"/>
      <c r="R13" s="34">
        <v>688987.08400000003</v>
      </c>
      <c r="S13" s="12">
        <v>707566.924</v>
      </c>
      <c r="T13" s="82">
        <v>857981.15399999998</v>
      </c>
      <c r="U13" s="12">
        <v>882735.31099999999</v>
      </c>
      <c r="V13" s="12">
        <v>918833.18500000006</v>
      </c>
      <c r="W13" s="32">
        <v>917610.60600000003</v>
      </c>
      <c r="X13" s="32">
        <v>918893.446</v>
      </c>
      <c r="Y13" s="32">
        <v>1042637.051</v>
      </c>
      <c r="Z13" s="32">
        <v>1220683.858</v>
      </c>
      <c r="AA13" s="32">
        <v>981752.79399999999</v>
      </c>
      <c r="AB13" s="32">
        <v>855834.18099999998</v>
      </c>
      <c r="AC13" s="32">
        <v>846770</v>
      </c>
      <c r="AD13" s="12">
        <v>786651.36</v>
      </c>
      <c r="AE13" s="12">
        <v>736244.22400000005</v>
      </c>
      <c r="AF13" s="12">
        <v>672396.31499999994</v>
      </c>
      <c r="AG13" s="12">
        <v>640951.70200000005</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340882</v>
      </c>
      <c r="C14" s="12">
        <f>0+366745</f>
        <v>366745</v>
      </c>
      <c r="D14" s="12">
        <v>405052</v>
      </c>
      <c r="E14" s="12"/>
      <c r="F14" s="12"/>
      <c r="G14" s="12"/>
      <c r="H14" s="12"/>
      <c r="I14" s="12">
        <v>622882.42599999998</v>
      </c>
      <c r="J14" s="32">
        <v>517026.245</v>
      </c>
      <c r="K14" s="12">
        <v>568020.15</v>
      </c>
      <c r="L14" s="12">
        <v>562624.50600000005</v>
      </c>
      <c r="M14" s="12">
        <v>570755.63699999999</v>
      </c>
      <c r="N14" s="12">
        <v>607258.27300000004</v>
      </c>
      <c r="O14" s="12">
        <v>625767.4719</v>
      </c>
      <c r="P14" s="12"/>
      <c r="Q14" s="12"/>
      <c r="R14" s="34">
        <v>740504.25899999996</v>
      </c>
      <c r="S14" s="12">
        <v>819106.66399999999</v>
      </c>
      <c r="T14" s="82">
        <v>889478.79</v>
      </c>
      <c r="U14" s="12">
        <v>797603.79</v>
      </c>
      <c r="V14" s="12">
        <v>769480.94400000002</v>
      </c>
      <c r="W14" s="32">
        <v>780607.46900000004</v>
      </c>
      <c r="X14" s="32">
        <v>832944.45799999998</v>
      </c>
      <c r="Y14" s="32">
        <v>961766.61800000002</v>
      </c>
      <c r="Z14" s="32">
        <v>1032013.871</v>
      </c>
      <c r="AA14" s="32">
        <v>888208.00100000005</v>
      </c>
      <c r="AB14" s="32">
        <v>963550.60400000005</v>
      </c>
      <c r="AC14" s="32">
        <v>1096635</v>
      </c>
      <c r="AD14" s="12">
        <v>1119617.986</v>
      </c>
      <c r="AE14" s="12">
        <v>1124134.8929999999</v>
      </c>
      <c r="AF14" s="12">
        <v>1159050.23</v>
      </c>
      <c r="AG14" s="12">
        <v>1266339.2620000001</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30011+203669</f>
        <v>233680</v>
      </c>
      <c r="C15" s="12">
        <f>31330+207229</f>
        <v>238559</v>
      </c>
      <c r="D15" s="12">
        <f>34046+225068</f>
        <v>259114</v>
      </c>
      <c r="E15" s="12"/>
      <c r="F15" s="12"/>
      <c r="G15" s="12"/>
      <c r="H15" s="12"/>
      <c r="I15" s="12">
        <v>288342.37300000002</v>
      </c>
      <c r="J15" s="32">
        <v>270039.54800000001</v>
      </c>
      <c r="K15" s="12">
        <v>297049.53700000001</v>
      </c>
      <c r="L15" s="12">
        <v>313515.89</v>
      </c>
      <c r="M15" s="12">
        <v>395177.04100000003</v>
      </c>
      <c r="N15" s="12">
        <v>421812.86800000002</v>
      </c>
      <c r="O15" s="12">
        <v>427166.90500000003</v>
      </c>
      <c r="P15" s="12"/>
      <c r="Q15" s="12"/>
      <c r="R15" s="34">
        <v>565263.46</v>
      </c>
      <c r="S15" s="12">
        <v>537639.91599999997</v>
      </c>
      <c r="T15" s="82">
        <v>527937.56499999994</v>
      </c>
      <c r="U15" s="12">
        <v>524535.23499999999</v>
      </c>
      <c r="V15" s="12">
        <v>552783.84100000001</v>
      </c>
      <c r="W15" s="32">
        <v>561171.74800000002</v>
      </c>
      <c r="X15" s="32">
        <v>553956.13300000003</v>
      </c>
      <c r="Y15" s="32">
        <v>638142.09299999999</v>
      </c>
      <c r="Z15" s="32">
        <v>736796.26699999999</v>
      </c>
      <c r="AA15" s="32">
        <v>488979.36900000001</v>
      </c>
      <c r="AB15" s="32">
        <v>627093.40099999995</v>
      </c>
      <c r="AC15" s="32">
        <v>616195</v>
      </c>
      <c r="AD15" s="12">
        <v>666831.31499999994</v>
      </c>
      <c r="AE15" s="12">
        <v>627246.39099999995</v>
      </c>
      <c r="AF15" s="12">
        <v>655388.98499999999</v>
      </c>
      <c r="AG15" s="12">
        <v>684347.96799999999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156690+402304</f>
        <v>558994</v>
      </c>
      <c r="C16" s="20">
        <f>183065+467780</f>
        <v>650845</v>
      </c>
      <c r="D16" s="20">
        <f>200093+524077</f>
        <v>724170</v>
      </c>
      <c r="E16" s="20"/>
      <c r="F16" s="20"/>
      <c r="G16" s="20"/>
      <c r="H16" s="20"/>
      <c r="I16" s="20">
        <v>982465.69499999995</v>
      </c>
      <c r="J16" s="33">
        <v>985239.527</v>
      </c>
      <c r="K16" s="20">
        <v>1094075.301</v>
      </c>
      <c r="L16" s="20">
        <v>1146244.49</v>
      </c>
      <c r="M16" s="20">
        <v>1139113.4680000001</v>
      </c>
      <c r="N16" s="20">
        <v>1221587.4550000001</v>
      </c>
      <c r="O16" s="20">
        <v>1337371.165</v>
      </c>
      <c r="P16" s="20"/>
      <c r="Q16" s="20"/>
      <c r="R16" s="66">
        <v>1479981.3259999999</v>
      </c>
      <c r="S16" s="20">
        <v>1564608.1</v>
      </c>
      <c r="T16" s="82">
        <v>1445904.412</v>
      </c>
      <c r="U16" s="20">
        <v>1499198.1410000001</v>
      </c>
      <c r="V16" s="20">
        <v>1583057.452</v>
      </c>
      <c r="W16" s="33">
        <v>1728540.7830000001</v>
      </c>
      <c r="X16" s="33">
        <v>1922823.0919999999</v>
      </c>
      <c r="Y16" s="33">
        <v>2172310.2940000002</v>
      </c>
      <c r="Z16" s="33">
        <v>2417578.33</v>
      </c>
      <c r="AA16" s="33">
        <v>2187614.0460000001</v>
      </c>
      <c r="AB16" s="33">
        <v>2311354.0720000002</v>
      </c>
      <c r="AC16" s="33">
        <v>2324866</v>
      </c>
      <c r="AD16" s="20">
        <v>2304622.835</v>
      </c>
      <c r="AE16" s="20">
        <v>2396348.5860000001</v>
      </c>
      <c r="AF16" s="20">
        <v>2321180.594</v>
      </c>
      <c r="AG16" s="20">
        <v>2331625.6179999998</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277245</v>
      </c>
      <c r="C17" s="20">
        <f>0+280953</f>
        <v>280953</v>
      </c>
      <c r="D17" s="20">
        <f>0+332931</f>
        <v>332931</v>
      </c>
      <c r="E17" s="20"/>
      <c r="F17" s="20"/>
      <c r="G17" s="20"/>
      <c r="H17" s="20"/>
      <c r="I17" s="20">
        <v>377399.47700000001</v>
      </c>
      <c r="J17" s="33">
        <v>410527.91899999999</v>
      </c>
      <c r="K17" s="20">
        <v>419194.03499999997</v>
      </c>
      <c r="L17" s="20">
        <v>404476.20400000003</v>
      </c>
      <c r="M17" s="20">
        <v>423439.94</v>
      </c>
      <c r="N17" s="20">
        <v>431118.47100000002</v>
      </c>
      <c r="O17" s="20">
        <v>460370.27045000001</v>
      </c>
      <c r="P17" s="20"/>
      <c r="Q17" s="20"/>
      <c r="R17" s="66">
        <v>564966.42799999996</v>
      </c>
      <c r="S17" s="20">
        <v>610066.02500000002</v>
      </c>
      <c r="T17" s="82">
        <v>605564.08900000004</v>
      </c>
      <c r="U17" s="20">
        <v>587758.86899999995</v>
      </c>
      <c r="V17" s="20">
        <v>587111.03200000001</v>
      </c>
      <c r="W17" s="33">
        <v>601879.82799999998</v>
      </c>
      <c r="X17" s="33">
        <v>648573.15899999999</v>
      </c>
      <c r="Y17" s="33">
        <v>739268.25199999998</v>
      </c>
      <c r="Z17" s="33">
        <v>760453.07</v>
      </c>
      <c r="AA17" s="33">
        <v>632075.63100000005</v>
      </c>
      <c r="AB17" s="33">
        <v>745525.62399999995</v>
      </c>
      <c r="AC17" s="33">
        <v>744511</v>
      </c>
      <c r="AD17" s="20">
        <v>723288.90300000005</v>
      </c>
      <c r="AE17" s="20">
        <v>723441.77800000005</v>
      </c>
      <c r="AF17" s="20">
        <v>731440.15599999996</v>
      </c>
      <c r="AG17" s="20">
        <v>725749.36100000003</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151622+149912</f>
        <v>301534</v>
      </c>
      <c r="C18" s="20">
        <f>183880+177843</f>
        <v>361723</v>
      </c>
      <c r="D18" s="20">
        <f>203021+188266</f>
        <v>391287</v>
      </c>
      <c r="E18" s="20"/>
      <c r="F18" s="20"/>
      <c r="G18" s="20"/>
      <c r="H18" s="20"/>
      <c r="I18" s="20">
        <v>468644.663</v>
      </c>
      <c r="J18" s="33">
        <v>451431.14299999998</v>
      </c>
      <c r="K18" s="20">
        <v>467553.03200000001</v>
      </c>
      <c r="L18" s="20">
        <v>459737.94300000003</v>
      </c>
      <c r="M18" s="20">
        <v>489080.23300000001</v>
      </c>
      <c r="N18" s="20">
        <v>513302.83600000001</v>
      </c>
      <c r="O18" s="20">
        <v>543465.14300000004</v>
      </c>
      <c r="P18" s="20"/>
      <c r="Q18" s="20"/>
      <c r="R18" s="66">
        <v>658631.12399999995</v>
      </c>
      <c r="S18" s="20">
        <v>669493.60199999996</v>
      </c>
      <c r="T18" s="82">
        <v>634651.06900000002</v>
      </c>
      <c r="U18" s="20">
        <v>570537.73899999994</v>
      </c>
      <c r="V18" s="20">
        <v>513818.527</v>
      </c>
      <c r="W18" s="33">
        <v>524429.42799999996</v>
      </c>
      <c r="X18" s="33">
        <v>562050.875</v>
      </c>
      <c r="Y18" s="33">
        <v>635927.43099999998</v>
      </c>
      <c r="Z18" s="33">
        <v>680923.49899999995</v>
      </c>
      <c r="AA18" s="33">
        <v>407947.78200000001</v>
      </c>
      <c r="AB18" s="33">
        <v>480646.98599999998</v>
      </c>
      <c r="AC18" s="33">
        <v>375759</v>
      </c>
      <c r="AD18" s="20">
        <v>360553.511</v>
      </c>
      <c r="AE18" s="20">
        <v>395480.37099999998</v>
      </c>
      <c r="AF18" s="20">
        <v>421748.61099999998</v>
      </c>
      <c r="AG18" s="20">
        <v>451544.17</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81819+212982</f>
        <v>294801</v>
      </c>
      <c r="C19" s="20">
        <f>99246+258852</f>
        <v>358098</v>
      </c>
      <c r="D19" s="20">
        <f>131851+284945</f>
        <v>416796</v>
      </c>
      <c r="E19" s="20"/>
      <c r="F19" s="20"/>
      <c r="G19" s="20"/>
      <c r="H19" s="20"/>
      <c r="I19" s="20">
        <v>551577.64800000004</v>
      </c>
      <c r="J19" s="33">
        <v>517891.25400000002</v>
      </c>
      <c r="K19" s="20">
        <v>582779.68900000001</v>
      </c>
      <c r="L19" s="20">
        <v>623111.47600000002</v>
      </c>
      <c r="M19" s="20">
        <v>660867.12</v>
      </c>
      <c r="N19" s="20">
        <v>690564.52</v>
      </c>
      <c r="O19" s="20">
        <v>698971.55678999994</v>
      </c>
      <c r="P19" s="20"/>
      <c r="Q19" s="20"/>
      <c r="R19" s="90">
        <v>728422.70700000005</v>
      </c>
      <c r="S19" s="20">
        <v>779311.6</v>
      </c>
      <c r="T19" s="82">
        <v>791502.55900000001</v>
      </c>
      <c r="U19" s="20">
        <v>806019.99100000004</v>
      </c>
      <c r="V19" s="20">
        <v>803698.83200000005</v>
      </c>
      <c r="W19" s="33">
        <v>850310.09299999999</v>
      </c>
      <c r="X19" s="33">
        <v>868236.10100000002</v>
      </c>
      <c r="Y19" s="33">
        <v>926489.87800000003</v>
      </c>
      <c r="Z19" s="33">
        <v>1003041.906</v>
      </c>
      <c r="AA19" s="33">
        <v>930734.51</v>
      </c>
      <c r="AB19" s="33">
        <v>866243.44700000004</v>
      </c>
      <c r="AC19" s="33">
        <v>999146</v>
      </c>
      <c r="AD19" s="20">
        <v>789602.69499999995</v>
      </c>
      <c r="AE19" s="20">
        <v>812371.473</v>
      </c>
      <c r="AF19" s="20">
        <v>868271.81700000004</v>
      </c>
      <c r="AG19" s="20">
        <v>879101.70400000003</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582658+1207974</f>
        <v>1790632</v>
      </c>
      <c r="C20" s="20">
        <f>616385+1264803</f>
        <v>1881188</v>
      </c>
      <c r="D20" s="20">
        <f>585429+1204352</f>
        <v>1789781</v>
      </c>
      <c r="E20" s="20"/>
      <c r="F20" s="20"/>
      <c r="G20" s="20"/>
      <c r="H20" s="20"/>
      <c r="I20" s="20">
        <v>2053314.517</v>
      </c>
      <c r="J20" s="33">
        <v>2191980.2740000002</v>
      </c>
      <c r="K20" s="20">
        <v>2316047.9700000002</v>
      </c>
      <c r="L20" s="20">
        <v>2479153.6850000001</v>
      </c>
      <c r="M20" s="20">
        <v>2433332.1910000001</v>
      </c>
      <c r="N20" s="20">
        <v>2567837.889</v>
      </c>
      <c r="O20" s="20">
        <v>2538831.068</v>
      </c>
      <c r="P20" s="20"/>
      <c r="Q20" s="20"/>
      <c r="R20" s="66">
        <v>3040663.88</v>
      </c>
      <c r="S20" s="20">
        <v>3259228.051</v>
      </c>
      <c r="T20" s="82">
        <v>3434558.0260000001</v>
      </c>
      <c r="U20" s="20">
        <v>3357437.0329999998</v>
      </c>
      <c r="V20" s="20">
        <v>3395930.1039999998</v>
      </c>
      <c r="W20" s="33">
        <v>3369311.1719999998</v>
      </c>
      <c r="X20" s="33">
        <v>3569723.4010000001</v>
      </c>
      <c r="Y20" s="33">
        <v>3618273.2949999999</v>
      </c>
      <c r="Z20" s="33">
        <v>4089853.4640000002</v>
      </c>
      <c r="AA20" s="33">
        <v>2867756.3760000002</v>
      </c>
      <c r="AB20" s="33">
        <v>4173462.6609999998</v>
      </c>
      <c r="AC20" s="33">
        <v>3928222</v>
      </c>
      <c r="AD20" s="20">
        <v>3839341.273</v>
      </c>
      <c r="AE20" s="20">
        <v>2599660.415</v>
      </c>
      <c r="AF20" s="20">
        <v>2960330.9049999998</v>
      </c>
      <c r="AG20" s="20">
        <v>3050476.0090000001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146032+270661</f>
        <v>416693</v>
      </c>
      <c r="C21" s="20">
        <f>228245+321500</f>
        <v>549745</v>
      </c>
      <c r="D21" s="20">
        <f>251778+351025</f>
        <v>602803</v>
      </c>
      <c r="E21" s="20"/>
      <c r="F21" s="20"/>
      <c r="G21" s="20"/>
      <c r="H21" s="20"/>
      <c r="I21" s="20">
        <v>707159.70700000005</v>
      </c>
      <c r="J21" s="33">
        <v>633042.83700000006</v>
      </c>
      <c r="K21" s="20">
        <v>617361.76199999999</v>
      </c>
      <c r="L21" s="20">
        <v>635048.48699999996</v>
      </c>
      <c r="M21" s="20">
        <v>662084.55599999998</v>
      </c>
      <c r="N21" s="20">
        <v>655906.13199999998</v>
      </c>
      <c r="O21" s="20">
        <v>692939.13399999996</v>
      </c>
      <c r="P21" s="20"/>
      <c r="Q21" s="20"/>
      <c r="R21" s="66">
        <v>1014571.662</v>
      </c>
      <c r="S21" s="20">
        <v>1104026.4339999999</v>
      </c>
      <c r="T21" s="82">
        <v>1127810.327</v>
      </c>
      <c r="U21" s="20">
        <v>1017232.661</v>
      </c>
      <c r="V21" s="20">
        <v>927906.16</v>
      </c>
      <c r="W21" s="33">
        <v>1029291.674</v>
      </c>
      <c r="X21" s="33">
        <v>1147144.584</v>
      </c>
      <c r="Y21" s="33">
        <v>1259873.682</v>
      </c>
      <c r="Z21" s="33">
        <v>1329138.037</v>
      </c>
      <c r="AA21" s="33">
        <v>1277161.94</v>
      </c>
      <c r="AB21" s="33">
        <v>1103301.477</v>
      </c>
      <c r="AC21" s="33">
        <v>1130534</v>
      </c>
      <c r="AD21" s="20">
        <v>1100008.176</v>
      </c>
      <c r="AE21" s="20">
        <v>1191443.827</v>
      </c>
      <c r="AF21" s="20">
        <v>1254575.233</v>
      </c>
      <c r="AG21" s="20">
        <v>1227697.084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90394+73724</f>
        <v>164118</v>
      </c>
      <c r="C22" s="51">
        <f>106066+83433</f>
        <v>189499</v>
      </c>
      <c r="D22" s="51">
        <f>111739+88016</f>
        <v>199755</v>
      </c>
      <c r="E22" s="51"/>
      <c r="F22" s="51"/>
      <c r="G22" s="51"/>
      <c r="H22" s="51"/>
      <c r="I22" s="51">
        <v>252501.27299999999</v>
      </c>
      <c r="J22" s="50">
        <v>263751.45799999998</v>
      </c>
      <c r="K22" s="51">
        <v>265720.55</v>
      </c>
      <c r="L22" s="51">
        <v>279684.73800000001</v>
      </c>
      <c r="M22" s="51">
        <v>285280.83600000001</v>
      </c>
      <c r="N22" s="51">
        <v>306152.42300000001</v>
      </c>
      <c r="O22" s="51">
        <v>308219.92199</v>
      </c>
      <c r="P22" s="51"/>
      <c r="Q22" s="51"/>
      <c r="R22" s="51">
        <v>343708.36</v>
      </c>
      <c r="S22" s="51">
        <v>364964.28499999997</v>
      </c>
      <c r="T22" s="113">
        <v>372104.48</v>
      </c>
      <c r="U22" s="51">
        <v>368923.40700000001</v>
      </c>
      <c r="V22" s="51">
        <v>345418.83600000001</v>
      </c>
      <c r="W22" s="50">
        <v>315984.61900000001</v>
      </c>
      <c r="X22" s="50">
        <v>324712.96500000003</v>
      </c>
      <c r="Y22" s="50">
        <v>332978.69799999997</v>
      </c>
      <c r="Z22" s="50">
        <v>353071.484</v>
      </c>
      <c r="AA22" s="50">
        <v>357603.08199999999</v>
      </c>
      <c r="AB22" s="50">
        <v>329411.83799999999</v>
      </c>
      <c r="AC22" s="50">
        <v>338793</v>
      </c>
      <c r="AD22" s="51">
        <v>366972.17599999998</v>
      </c>
      <c r="AE22" s="51">
        <v>365026.56</v>
      </c>
      <c r="AF22" s="51">
        <v>341457.66899999999</v>
      </c>
      <c r="AG22" s="51">
        <v>337788.788</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 t="shared" ref="J23" si="16">SUM(J25:J37)</f>
        <v>6768004.0889999997</v>
      </c>
      <c r="M23" s="104">
        <f t="shared" ref="M23" si="17">SUM(M25:M37)</f>
        <v>6498781.817999999</v>
      </c>
      <c r="O23" s="104">
        <f t="shared" ref="O23" si="18">SUM(O25:O37)</f>
        <v>7364637.8521899991</v>
      </c>
      <c r="R23" s="104">
        <f t="shared" ref="R23:AG23" si="19">SUM(R25:R37)</f>
        <v>8529276.972000001</v>
      </c>
      <c r="S23" s="104">
        <f t="shared" si="19"/>
        <v>9400007.6009999998</v>
      </c>
      <c r="T23" s="114">
        <f t="shared" si="19"/>
        <v>9942197.6030000001</v>
      </c>
      <c r="U23" s="104">
        <f t="shared" si="19"/>
        <v>9803978.7809999995</v>
      </c>
      <c r="V23" s="104">
        <f t="shared" si="19"/>
        <v>9521669.2699999977</v>
      </c>
      <c r="W23" s="104">
        <f t="shared" si="19"/>
        <v>9453249.0199999996</v>
      </c>
      <c r="X23" s="104">
        <f t="shared" si="19"/>
        <v>9584289.0069999993</v>
      </c>
      <c r="Y23" s="104">
        <f t="shared" si="19"/>
        <v>10498141.120999999</v>
      </c>
      <c r="Z23" s="104">
        <f t="shared" si="19"/>
        <v>11406870.43</v>
      </c>
      <c r="AA23" s="104">
        <f t="shared" si="19"/>
        <v>9329462.9700000007</v>
      </c>
      <c r="AB23" s="104">
        <f t="shared" si="19"/>
        <v>9452162.3909999989</v>
      </c>
      <c r="AC23" s="104">
        <f t="shared" si="19"/>
        <v>9636091</v>
      </c>
      <c r="AD23" s="104">
        <f t="shared" si="19"/>
        <v>8089859.9989999998</v>
      </c>
      <c r="AE23" s="104">
        <f t="shared" si="19"/>
        <v>8364813.2939999998</v>
      </c>
      <c r="AF23" s="104">
        <f t="shared" si="19"/>
        <v>9076788.2889999989</v>
      </c>
      <c r="AG23" s="104">
        <f t="shared" si="19"/>
        <v>9596177.5850000028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v>0</v>
      </c>
      <c r="AB24" s="91"/>
      <c r="AC24" s="91"/>
      <c r="AD24" s="65">
        <v>0</v>
      </c>
      <c r="AF24" s="65">
        <v>0</v>
      </c>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155001.367</v>
      </c>
      <c r="K25" s="20"/>
      <c r="L25" s="20"/>
      <c r="M25" s="20">
        <v>158923.92800000001</v>
      </c>
      <c r="N25" s="20"/>
      <c r="O25" s="20">
        <v>168761.141</v>
      </c>
      <c r="P25" s="20"/>
      <c r="Q25" s="20"/>
      <c r="R25" s="66">
        <v>162957.79</v>
      </c>
      <c r="S25" s="20">
        <v>176436.435</v>
      </c>
      <c r="T25" s="82">
        <v>185339.97200000001</v>
      </c>
      <c r="U25" s="20">
        <v>193932.63500000001</v>
      </c>
      <c r="V25" s="20">
        <v>199837.837</v>
      </c>
      <c r="W25" s="33">
        <v>213263.24400000001</v>
      </c>
      <c r="X25" s="33">
        <v>230897.96799999999</v>
      </c>
      <c r="Y25" s="33">
        <v>262438.02100000001</v>
      </c>
      <c r="Z25" s="33">
        <v>300499.09100000001</v>
      </c>
      <c r="AA25" s="33">
        <v>290025.21899999998</v>
      </c>
      <c r="AB25" s="33">
        <v>303226.67300000001</v>
      </c>
      <c r="AC25" s="33">
        <v>313561</v>
      </c>
      <c r="AD25" s="20">
        <v>323284.07699999999</v>
      </c>
      <c r="AE25" s="20">
        <v>336690.77799999999</v>
      </c>
      <c r="AF25" s="20">
        <v>354822.95899999997</v>
      </c>
      <c r="AG25" s="20">
        <v>353306.32900000003</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518041.36599999998</v>
      </c>
      <c r="K26" s="20"/>
      <c r="L26" s="20"/>
      <c r="M26" s="20">
        <v>575402.46</v>
      </c>
      <c r="N26" s="20"/>
      <c r="O26" s="20">
        <v>629356.39199999999</v>
      </c>
      <c r="P26" s="20"/>
      <c r="Q26" s="20"/>
      <c r="R26" s="66">
        <v>744595.48400000005</v>
      </c>
      <c r="S26" s="20">
        <v>766324.40099999995</v>
      </c>
      <c r="T26" s="82">
        <v>747726.61</v>
      </c>
      <c r="U26" s="20">
        <v>763387.45</v>
      </c>
      <c r="V26" s="20">
        <v>760410.6</v>
      </c>
      <c r="W26" s="33">
        <v>808701</v>
      </c>
      <c r="X26" s="33">
        <v>871880.1</v>
      </c>
      <c r="Y26" s="33">
        <v>980623.45</v>
      </c>
      <c r="Z26" s="33">
        <v>1067002.45</v>
      </c>
      <c r="AA26" s="33">
        <v>909540.125</v>
      </c>
      <c r="AB26" s="33">
        <v>859761.625</v>
      </c>
      <c r="AC26" s="33">
        <v>858553</v>
      </c>
      <c r="AD26" s="20">
        <v>699284.8</v>
      </c>
      <c r="AE26" s="20">
        <v>673142.72499999998</v>
      </c>
      <c r="AF26" s="20">
        <v>707574.27500000002</v>
      </c>
      <c r="AG26" s="20">
        <v>744542.85</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3600074.7570000002</v>
      </c>
      <c r="K27" s="20"/>
      <c r="L27" s="20"/>
      <c r="M27" s="20">
        <v>3108043.3849999998</v>
      </c>
      <c r="N27" s="20"/>
      <c r="O27" s="20">
        <v>3732131.5350000001</v>
      </c>
      <c r="P27" s="20"/>
      <c r="Q27" s="20"/>
      <c r="R27" s="66">
        <v>4416960.7810000004</v>
      </c>
      <c r="S27" s="20">
        <v>5056989.9550000001</v>
      </c>
      <c r="T27" s="82">
        <v>5461501.0480000004</v>
      </c>
      <c r="U27" s="20">
        <v>5415056.9160000002</v>
      </c>
      <c r="V27" s="20">
        <v>5092428.6239999998</v>
      </c>
      <c r="W27" s="33">
        <v>4807837.932</v>
      </c>
      <c r="X27" s="33">
        <v>5013783.0659999996</v>
      </c>
      <c r="Y27" s="33">
        <v>5454609.091</v>
      </c>
      <c r="Z27" s="33">
        <v>5789998.3540000003</v>
      </c>
      <c r="AA27" s="33">
        <v>4283984.6730000004</v>
      </c>
      <c r="AB27" s="33">
        <v>4952770.8140000002</v>
      </c>
      <c r="AC27" s="33">
        <v>5108879</v>
      </c>
      <c r="AD27" s="20">
        <v>3952799.7769999998</v>
      </c>
      <c r="AE27" s="20">
        <v>4189706.9679999999</v>
      </c>
      <c r="AF27" s="20">
        <v>4644558.7359999996</v>
      </c>
      <c r="AG27" s="20">
        <v>4941723.6509999996</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343126.57</v>
      </c>
      <c r="K28" s="20"/>
      <c r="L28" s="20"/>
      <c r="M28" s="20">
        <v>370292.31599999999</v>
      </c>
      <c r="N28" s="20"/>
      <c r="O28" s="20">
        <v>423525.44699999999</v>
      </c>
      <c r="P28" s="20"/>
      <c r="Q28" s="20"/>
      <c r="R28" s="66">
        <v>492775.52299999999</v>
      </c>
      <c r="S28" s="20">
        <v>521928.288</v>
      </c>
      <c r="T28" s="82">
        <v>502780.25900000002</v>
      </c>
      <c r="U28" s="20">
        <v>442160.17700000003</v>
      </c>
      <c r="V28" s="20">
        <v>333532.37599999999</v>
      </c>
      <c r="W28" s="33">
        <v>385112.29499999998</v>
      </c>
      <c r="X28" s="33">
        <v>2833.9119999999998</v>
      </c>
      <c r="Y28" s="33">
        <v>3250</v>
      </c>
      <c r="Z28" s="33">
        <v>11761.344999999999</v>
      </c>
      <c r="AA28" s="33">
        <v>22747.3</v>
      </c>
      <c r="AB28" s="33">
        <v>23450</v>
      </c>
      <c r="AC28" s="33">
        <v>21374</v>
      </c>
      <c r="AD28" s="20">
        <v>16814.415000000001</v>
      </c>
      <c r="AE28" s="20">
        <v>16631.423999999999</v>
      </c>
      <c r="AF28" s="20">
        <v>18410.96</v>
      </c>
      <c r="AG28" s="20">
        <v>17220.883000000002</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258758.04500000001</v>
      </c>
      <c r="K29" s="20"/>
      <c r="L29" s="20"/>
      <c r="M29" s="20">
        <v>272264.27100000001</v>
      </c>
      <c r="N29" s="20"/>
      <c r="O29" s="20">
        <v>208670.01300000001</v>
      </c>
      <c r="P29" s="20"/>
      <c r="Q29" s="20"/>
      <c r="R29" s="66">
        <v>191963.818</v>
      </c>
      <c r="S29" s="20">
        <v>195365.11499999999</v>
      </c>
      <c r="T29" s="82">
        <v>205846.56700000001</v>
      </c>
      <c r="U29" s="20">
        <v>212848.47099999999</v>
      </c>
      <c r="V29" s="20">
        <v>220497.111</v>
      </c>
      <c r="W29" s="33">
        <v>229925.19200000001</v>
      </c>
      <c r="X29" s="33">
        <v>250189.296</v>
      </c>
      <c r="Y29" s="33">
        <v>272226.652</v>
      </c>
      <c r="Z29" s="33">
        <v>314000.087</v>
      </c>
      <c r="AA29" s="33">
        <v>301636.31300000002</v>
      </c>
      <c r="AB29" s="33">
        <v>233107.63</v>
      </c>
      <c r="AC29" s="33">
        <v>225566</v>
      </c>
      <c r="AD29" s="20">
        <v>232905.26500000001</v>
      </c>
      <c r="AE29" s="20">
        <v>233022.84700000001</v>
      </c>
      <c r="AF29" s="20">
        <v>237363.61300000001</v>
      </c>
      <c r="AG29" s="20">
        <v>255527.503</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174305.68299999999</v>
      </c>
      <c r="K30" s="20"/>
      <c r="L30" s="20"/>
      <c r="M30" s="20">
        <v>202268.86900000001</v>
      </c>
      <c r="N30" s="20"/>
      <c r="O30" s="20">
        <v>212479.96100000001</v>
      </c>
      <c r="P30" s="20"/>
      <c r="Q30" s="20"/>
      <c r="R30" s="66">
        <v>248220.77100000001</v>
      </c>
      <c r="S30" s="20">
        <v>260791.095</v>
      </c>
      <c r="T30" s="82">
        <v>297071.288</v>
      </c>
      <c r="U30" s="20">
        <v>270426.13400000002</v>
      </c>
      <c r="V30" s="20">
        <v>283744.92099999997</v>
      </c>
      <c r="W30" s="33">
        <v>292451.712</v>
      </c>
      <c r="X30" s="33">
        <v>301351.16600000003</v>
      </c>
      <c r="Y30" s="33">
        <v>312487.701</v>
      </c>
      <c r="Z30" s="33">
        <v>326684.53600000002</v>
      </c>
      <c r="AA30" s="33">
        <v>332559.09499999997</v>
      </c>
      <c r="AB30" s="33">
        <v>285923.587</v>
      </c>
      <c r="AC30" s="33">
        <v>274549</v>
      </c>
      <c r="AD30" s="20">
        <v>262013.94500000001</v>
      </c>
      <c r="AE30" s="20">
        <v>281835.96999999997</v>
      </c>
      <c r="AF30" s="20">
        <v>293052.011</v>
      </c>
      <c r="AG30" s="20">
        <v>314556.51199999999</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119681.11900000001</v>
      </c>
      <c r="K31" s="20"/>
      <c r="L31" s="20"/>
      <c r="M31" s="20">
        <v>102131.257</v>
      </c>
      <c r="N31" s="20"/>
      <c r="O31" s="20">
        <v>114644.04399999999</v>
      </c>
      <c r="P31" s="20"/>
      <c r="Q31" s="20"/>
      <c r="R31" s="90">
        <v>119527.78200000001</v>
      </c>
      <c r="S31" s="20">
        <v>125118.122</v>
      </c>
      <c r="T31" s="82">
        <v>128375.857</v>
      </c>
      <c r="U31" s="20">
        <v>127714.167</v>
      </c>
      <c r="V31" s="20">
        <v>133809.74900000001</v>
      </c>
      <c r="W31" s="33">
        <v>125087.579</v>
      </c>
      <c r="X31" s="33">
        <v>137428.14600000001</v>
      </c>
      <c r="Y31" s="33">
        <v>139835.17199999999</v>
      </c>
      <c r="Z31" s="33">
        <v>161742.06099999999</v>
      </c>
      <c r="AA31" s="33">
        <v>173145.701</v>
      </c>
      <c r="AB31" s="33">
        <v>154773.89000000001</v>
      </c>
      <c r="AC31" s="33">
        <v>154122</v>
      </c>
      <c r="AD31" s="20">
        <v>170456.36199999999</v>
      </c>
      <c r="AE31" s="20">
        <v>171498.64600000001</v>
      </c>
      <c r="AF31" s="20">
        <v>186114.21</v>
      </c>
      <c r="AG31" s="20">
        <v>199430</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135562.67000000001</v>
      </c>
      <c r="K32" s="20"/>
      <c r="L32" s="20"/>
      <c r="M32" s="20">
        <v>157044.49299999999</v>
      </c>
      <c r="N32" s="20"/>
      <c r="O32" s="20">
        <v>179321.29300000001</v>
      </c>
      <c r="P32" s="20"/>
      <c r="Q32" s="20"/>
      <c r="R32" s="92">
        <v>210617.318</v>
      </c>
      <c r="S32" s="20">
        <v>225914.084</v>
      </c>
      <c r="T32" s="82">
        <v>258708.09099999999</v>
      </c>
      <c r="U32" s="20">
        <v>263005.14799999999</v>
      </c>
      <c r="V32" s="20">
        <v>402220.74800000002</v>
      </c>
      <c r="W32" s="33">
        <v>421289.94</v>
      </c>
      <c r="X32" s="33">
        <v>465989.28100000002</v>
      </c>
      <c r="Y32" s="33">
        <v>518442.21600000001</v>
      </c>
      <c r="Z32" s="33">
        <v>543566.96400000004</v>
      </c>
      <c r="AA32" s="33">
        <v>415621.20199999999</v>
      </c>
      <c r="AB32" s="33">
        <v>260612.21299999999</v>
      </c>
      <c r="AC32" s="33">
        <v>355862</v>
      </c>
      <c r="AD32" s="20">
        <v>305000.79100000003</v>
      </c>
      <c r="AE32" s="20">
        <v>303923.92200000002</v>
      </c>
      <c r="AF32" s="20">
        <v>313715.71500000003</v>
      </c>
      <c r="AG32" s="20">
        <v>313807.90600000002</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263235.42</v>
      </c>
      <c r="K33" s="20"/>
      <c r="L33" s="20"/>
      <c r="M33" s="20">
        <v>319403.24800000002</v>
      </c>
      <c r="N33" s="20"/>
      <c r="O33" s="20">
        <v>371084.85119000002</v>
      </c>
      <c r="P33" s="20"/>
      <c r="Q33" s="20"/>
      <c r="R33" s="92">
        <v>398894.58799999999</v>
      </c>
      <c r="S33" s="20">
        <v>405643.02399999998</v>
      </c>
      <c r="T33" s="82">
        <v>423919.43199999997</v>
      </c>
      <c r="U33" s="20">
        <v>436129.73</v>
      </c>
      <c r="V33" s="20">
        <v>461582.39299999998</v>
      </c>
      <c r="W33" s="33">
        <v>479963.88699999999</v>
      </c>
      <c r="X33" s="33">
        <v>508088.53700000001</v>
      </c>
      <c r="Y33" s="33">
        <v>554098.81900000002</v>
      </c>
      <c r="Z33" s="33">
        <v>654978.93999999994</v>
      </c>
      <c r="AA33" s="33">
        <v>608596.56999999995</v>
      </c>
      <c r="AB33" s="33">
        <v>572094.98699999996</v>
      </c>
      <c r="AC33" s="33">
        <v>528353</v>
      </c>
      <c r="AD33" s="20">
        <v>496221.80200000003</v>
      </c>
      <c r="AE33" s="20">
        <v>523312.11300000001</v>
      </c>
      <c r="AF33" s="20">
        <v>547250.82499999995</v>
      </c>
      <c r="AG33" s="20">
        <v>577176.74100000004</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316039.35499999998</v>
      </c>
      <c r="K34" s="20"/>
      <c r="L34" s="20"/>
      <c r="M34" s="20">
        <v>292099.30099999998</v>
      </c>
      <c r="N34" s="20"/>
      <c r="O34" s="20">
        <v>295028.01799999998</v>
      </c>
      <c r="P34" s="20"/>
      <c r="Q34" s="20"/>
      <c r="R34" s="66">
        <v>360441.83100000001</v>
      </c>
      <c r="S34" s="20">
        <v>404458.25</v>
      </c>
      <c r="T34" s="82">
        <v>390630.163</v>
      </c>
      <c r="U34" s="20">
        <v>373624.27500000002</v>
      </c>
      <c r="V34" s="20">
        <v>352703.05599999998</v>
      </c>
      <c r="W34" s="33">
        <v>349214.80499999999</v>
      </c>
      <c r="X34" s="33">
        <v>366205.49900000001</v>
      </c>
      <c r="Y34" s="33">
        <v>382937.53700000001</v>
      </c>
      <c r="Z34" s="33">
        <v>459106.31199999998</v>
      </c>
      <c r="AA34" s="33">
        <v>321300.03499999997</v>
      </c>
      <c r="AB34" s="33">
        <v>374722.80099999998</v>
      </c>
      <c r="AC34" s="33">
        <v>377408</v>
      </c>
      <c r="AD34" s="20">
        <v>318871.32400000002</v>
      </c>
      <c r="AE34" s="20">
        <v>324510.05699999997</v>
      </c>
      <c r="AF34" s="20">
        <v>350542.625</v>
      </c>
      <c r="AG34" s="20">
        <v>384882.14500000002</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259617.01699999999</v>
      </c>
      <c r="K35" s="20"/>
      <c r="L35" s="20"/>
      <c r="M35" s="20">
        <v>329534.179</v>
      </c>
      <c r="N35" s="20"/>
      <c r="O35" s="20">
        <v>365514.95400000003</v>
      </c>
      <c r="P35" s="20"/>
      <c r="Q35" s="20"/>
      <c r="R35" s="66">
        <v>424802.09700000001</v>
      </c>
      <c r="S35" s="20">
        <v>451868.15500000003</v>
      </c>
      <c r="T35" s="82">
        <v>510504.84100000001</v>
      </c>
      <c r="U35" s="20">
        <v>489874.33500000002</v>
      </c>
      <c r="V35" s="20">
        <v>495330.99599999998</v>
      </c>
      <c r="W35" s="33">
        <v>516562.65899999999</v>
      </c>
      <c r="X35" s="33">
        <v>551153.68099999998</v>
      </c>
      <c r="Y35" s="33">
        <v>577686.57499999995</v>
      </c>
      <c r="Z35" s="33">
        <v>644718.69099999999</v>
      </c>
      <c r="AA35" s="33">
        <v>601711.97900000005</v>
      </c>
      <c r="AB35" s="33">
        <v>534332.52899999998</v>
      </c>
      <c r="AC35" s="33">
        <v>548641</v>
      </c>
      <c r="AD35" s="20">
        <v>592955.90099999995</v>
      </c>
      <c r="AE35" s="20">
        <v>581808.07999999996</v>
      </c>
      <c r="AF35" s="20">
        <v>616205.70400000003</v>
      </c>
      <c r="AG35" s="20">
        <v>676975.26500000001</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543338.37800000003</v>
      </c>
      <c r="K36" s="20"/>
      <c r="L36" s="20"/>
      <c r="M36" s="20">
        <v>528965.74600000004</v>
      </c>
      <c r="N36" s="20"/>
      <c r="O36" s="20">
        <v>576839.05500000005</v>
      </c>
      <c r="P36" s="20"/>
      <c r="Q36" s="20"/>
      <c r="R36" s="66">
        <v>665322.696</v>
      </c>
      <c r="S36" s="20">
        <v>708246.81400000001</v>
      </c>
      <c r="T36" s="82">
        <v>720107.03500000003</v>
      </c>
      <c r="U36" s="20">
        <v>692794.46100000001</v>
      </c>
      <c r="V36" s="20">
        <v>657268.31700000004</v>
      </c>
      <c r="W36" s="33">
        <v>684250.42799999996</v>
      </c>
      <c r="X36" s="33">
        <v>734275.929</v>
      </c>
      <c r="Y36" s="33">
        <v>865522.94799999997</v>
      </c>
      <c r="Z36" s="33">
        <v>948139.84</v>
      </c>
      <c r="AA36" s="33">
        <v>861130.83799999999</v>
      </c>
      <c r="AB36" s="33">
        <v>694930.07400000002</v>
      </c>
      <c r="AC36" s="33">
        <v>656012</v>
      </c>
      <c r="AD36" s="20">
        <v>500770.95699999999</v>
      </c>
      <c r="AE36" s="20">
        <v>496007.61</v>
      </c>
      <c r="AF36" s="20">
        <v>590621.67000000004</v>
      </c>
      <c r="AG36" s="20">
        <v>580802.27500000002</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81222.342000000004</v>
      </c>
      <c r="K37" s="51"/>
      <c r="L37" s="51"/>
      <c r="M37" s="51">
        <v>82408.365000000005</v>
      </c>
      <c r="N37" s="51"/>
      <c r="O37" s="51">
        <v>87281.148000000001</v>
      </c>
      <c r="P37" s="51"/>
      <c r="Q37" s="51"/>
      <c r="R37" s="67">
        <v>92196.493000000002</v>
      </c>
      <c r="S37" s="51">
        <v>100923.863</v>
      </c>
      <c r="T37" s="113">
        <v>109686.44</v>
      </c>
      <c r="U37" s="51">
        <v>123024.882</v>
      </c>
      <c r="V37" s="51">
        <v>128302.542</v>
      </c>
      <c r="W37" s="50">
        <v>139588.34700000001</v>
      </c>
      <c r="X37" s="50">
        <v>150212.42600000001</v>
      </c>
      <c r="Y37" s="50">
        <v>173982.93900000001</v>
      </c>
      <c r="Z37" s="50">
        <v>184671.75899999999</v>
      </c>
      <c r="AA37" s="50">
        <v>207463.92</v>
      </c>
      <c r="AB37" s="50">
        <v>202455.568</v>
      </c>
      <c r="AC37" s="50">
        <v>213211</v>
      </c>
      <c r="AD37" s="51">
        <v>218480.58300000001</v>
      </c>
      <c r="AE37" s="51">
        <v>232722.15400000001</v>
      </c>
      <c r="AF37" s="51">
        <v>216554.986</v>
      </c>
      <c r="AG37" s="51">
        <v>236225.52499999999</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 t="shared" ref="J38" si="20">SUM(J40:J51)</f>
        <v>7264371.0070000002</v>
      </c>
      <c r="M38" s="104">
        <f t="shared" ref="M38" si="21">SUM(M40:M51)</f>
        <v>7706541.1429999983</v>
      </c>
      <c r="O38" s="104">
        <f t="shared" ref="O38" si="22">SUM(O40:O51)</f>
        <v>8471512.9173799995</v>
      </c>
      <c r="R38" s="104">
        <f t="shared" ref="R38:AG38" si="23">SUM(R40:R51)</f>
        <v>9667319.6330000013</v>
      </c>
      <c r="S38" s="104">
        <f t="shared" si="23"/>
        <v>10365949.614</v>
      </c>
      <c r="T38" s="114">
        <f t="shared" si="23"/>
        <v>10103595.335000001</v>
      </c>
      <c r="U38" s="104">
        <f t="shared" si="23"/>
        <v>9903626.6120000016</v>
      </c>
      <c r="V38" s="104">
        <f t="shared" si="23"/>
        <v>9633079.9129999988</v>
      </c>
      <c r="W38" s="104">
        <f t="shared" si="23"/>
        <v>9580718.2539999988</v>
      </c>
      <c r="X38" s="104">
        <f t="shared" si="23"/>
        <v>9715997.5099999998</v>
      </c>
      <c r="Y38" s="104">
        <f t="shared" si="23"/>
        <v>9832093.430999998</v>
      </c>
      <c r="Z38" s="104">
        <f t="shared" si="23"/>
        <v>10602736.895000001</v>
      </c>
      <c r="AA38" s="104">
        <f t="shared" si="23"/>
        <v>10449846.903000001</v>
      </c>
      <c r="AB38" s="104">
        <f t="shared" si="23"/>
        <v>10121041.630000001</v>
      </c>
      <c r="AC38" s="104">
        <f t="shared" si="23"/>
        <v>9939617</v>
      </c>
      <c r="AD38" s="104">
        <f t="shared" si="23"/>
        <v>9323116.1359999981</v>
      </c>
      <c r="AE38" s="104">
        <f t="shared" si="23"/>
        <v>9387996.5690000001</v>
      </c>
      <c r="AF38" s="104">
        <f t="shared" si="23"/>
        <v>9618173.771999998</v>
      </c>
      <c r="AG38" s="104">
        <f t="shared" si="23"/>
        <v>9783246.220999999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v>0</v>
      </c>
      <c r="AB39" s="91"/>
      <c r="AC39" s="91"/>
      <c r="AD39" s="65">
        <v>0</v>
      </c>
      <c r="AF39" s="65">
        <v>0</v>
      </c>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993633.201</v>
      </c>
      <c r="K40" s="20"/>
      <c r="L40" s="20"/>
      <c r="M40" s="20">
        <v>1069239.2579999999</v>
      </c>
      <c r="N40" s="20"/>
      <c r="O40" s="20">
        <v>1203816.125</v>
      </c>
      <c r="P40" s="20"/>
      <c r="Q40" s="20"/>
      <c r="R40" s="66">
        <v>1333639.21</v>
      </c>
      <c r="S40" s="20">
        <v>1415970.548</v>
      </c>
      <c r="T40" s="82">
        <v>1456328.8740000001</v>
      </c>
      <c r="U40" s="20">
        <v>1356733.1159999999</v>
      </c>
      <c r="V40" s="20">
        <v>1422855.7180000001</v>
      </c>
      <c r="W40" s="33">
        <v>1250475.183</v>
      </c>
      <c r="X40" s="33">
        <v>1249354.5179999999</v>
      </c>
      <c r="Y40" s="33">
        <v>1275420.2339999999</v>
      </c>
      <c r="Z40" s="33">
        <v>1319428.851</v>
      </c>
      <c r="AA40" s="33">
        <v>1338621.446</v>
      </c>
      <c r="AB40" s="33">
        <v>1335479.0430000001</v>
      </c>
      <c r="AC40" s="33">
        <v>1330349</v>
      </c>
      <c r="AD40" s="20">
        <v>1339809.297</v>
      </c>
      <c r="AE40" s="20">
        <v>1318806.8670000001</v>
      </c>
      <c r="AF40" s="20">
        <v>1284662.4790000001</v>
      </c>
      <c r="AG40" s="20">
        <v>1192980.767</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834341.48699999996</v>
      </c>
      <c r="K41" s="20"/>
      <c r="L41" s="20"/>
      <c r="M41" s="20">
        <v>842732.69</v>
      </c>
      <c r="N41" s="20"/>
      <c r="O41" s="20">
        <v>921073.24600000004</v>
      </c>
      <c r="P41" s="20"/>
      <c r="Q41" s="20"/>
      <c r="R41" s="66">
        <v>1081126.8540000001</v>
      </c>
      <c r="S41" s="20">
        <v>1117576.3770000001</v>
      </c>
      <c r="T41" s="82">
        <v>1107162.112</v>
      </c>
      <c r="U41" s="20">
        <v>1119188.818</v>
      </c>
      <c r="V41" s="20">
        <v>1168285.4569999999</v>
      </c>
      <c r="W41" s="33">
        <v>1193900.297</v>
      </c>
      <c r="X41" s="33">
        <v>1188447.567</v>
      </c>
      <c r="Y41" s="33">
        <v>1202616.9169999999</v>
      </c>
      <c r="Z41" s="33">
        <v>1253653.5009999999</v>
      </c>
      <c r="AA41" s="33">
        <v>1280846.554</v>
      </c>
      <c r="AB41" s="33">
        <v>1244476.902</v>
      </c>
      <c r="AC41" s="33">
        <v>1236909</v>
      </c>
      <c r="AD41" s="20">
        <v>1199600.2239999999</v>
      </c>
      <c r="AE41" s="20">
        <v>1133909.4990000001</v>
      </c>
      <c r="AF41" s="20">
        <v>1172673.54</v>
      </c>
      <c r="AG41" s="20">
        <v>1192717.398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425418.20400000003</v>
      </c>
      <c r="K42" s="20"/>
      <c r="L42" s="20"/>
      <c r="M42" s="20">
        <v>498693.72100000002</v>
      </c>
      <c r="N42" s="20"/>
      <c r="O42" s="20">
        <v>551602.23600000003</v>
      </c>
      <c r="P42" s="20"/>
      <c r="Q42" s="20"/>
      <c r="R42" s="66">
        <v>636464.23899999994</v>
      </c>
      <c r="S42" s="20">
        <v>656127.31799999997</v>
      </c>
      <c r="T42" s="82">
        <v>649878.74800000002</v>
      </c>
      <c r="U42" s="20">
        <v>631218.70700000005</v>
      </c>
      <c r="V42" s="20">
        <v>598667.81799999997</v>
      </c>
      <c r="W42" s="33">
        <v>598278.15300000005</v>
      </c>
      <c r="X42" s="33">
        <v>626490.43799999997</v>
      </c>
      <c r="Y42" s="33">
        <v>650417.78599999996</v>
      </c>
      <c r="Z42" s="33">
        <v>711009.81799999997</v>
      </c>
      <c r="AA42" s="33">
        <v>679974.42700000003</v>
      </c>
      <c r="AB42" s="33">
        <v>603828.74</v>
      </c>
      <c r="AC42" s="33">
        <v>548779</v>
      </c>
      <c r="AD42" s="20">
        <v>521048.96</v>
      </c>
      <c r="AE42" s="20">
        <v>544762.21</v>
      </c>
      <c r="AF42" s="20">
        <v>579238.72199999995</v>
      </c>
      <c r="AG42" s="20">
        <v>593867.97499999998</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395951.446</v>
      </c>
      <c r="K43" s="20"/>
      <c r="L43" s="20"/>
      <c r="M43" s="20">
        <v>437830.87400000001</v>
      </c>
      <c r="N43" s="20"/>
      <c r="O43" s="20">
        <v>456958.81438</v>
      </c>
      <c r="P43" s="20"/>
      <c r="Q43" s="20"/>
      <c r="R43" s="66">
        <v>547884.61100000003</v>
      </c>
      <c r="S43" s="20">
        <v>565097.522</v>
      </c>
      <c r="T43" s="82">
        <v>584004.18700000003</v>
      </c>
      <c r="U43" s="20">
        <v>555854.58200000005</v>
      </c>
      <c r="V43" s="20">
        <v>558037.61100000003</v>
      </c>
      <c r="W43" s="33">
        <v>577903.84299999999</v>
      </c>
      <c r="X43" s="33">
        <v>607743.93400000001</v>
      </c>
      <c r="Y43" s="33">
        <v>628991.44499999995</v>
      </c>
      <c r="Z43" s="33">
        <v>654621.93700000003</v>
      </c>
      <c r="AA43" s="33">
        <v>626675.40500000003</v>
      </c>
      <c r="AB43" s="33">
        <v>594378.54099999997</v>
      </c>
      <c r="AC43" s="33">
        <v>603651</v>
      </c>
      <c r="AD43" s="20">
        <v>588009.41500000004</v>
      </c>
      <c r="AE43" s="20">
        <v>594343.66200000001</v>
      </c>
      <c r="AF43" s="20">
        <v>578806.09299999999</v>
      </c>
      <c r="AG43" s="20">
        <v>594262.00600000005</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1240247.8230000001</v>
      </c>
      <c r="K44" s="20"/>
      <c r="L44" s="20"/>
      <c r="M44" s="20">
        <v>1243016.6200000001</v>
      </c>
      <c r="N44" s="20"/>
      <c r="O44" s="20">
        <v>1376089.855</v>
      </c>
      <c r="P44" s="20"/>
      <c r="Q44" s="20"/>
      <c r="R44" s="66">
        <v>1577126.439</v>
      </c>
      <c r="S44" s="20">
        <v>1678040.4269999999</v>
      </c>
      <c r="T44" s="82">
        <v>1687333.192</v>
      </c>
      <c r="U44" s="20">
        <v>1626287.0859999999</v>
      </c>
      <c r="V44" s="20">
        <v>1458621.0959999999</v>
      </c>
      <c r="W44" s="33">
        <v>1520640.4680000001</v>
      </c>
      <c r="X44" s="33">
        <v>1493217.5449999999</v>
      </c>
      <c r="Y44" s="33">
        <v>1361786.3729999999</v>
      </c>
      <c r="Z44" s="33">
        <v>1650119.3570000001</v>
      </c>
      <c r="AA44" s="33">
        <v>1531265.084</v>
      </c>
      <c r="AB44" s="33">
        <v>1492197.074</v>
      </c>
      <c r="AC44" s="33">
        <v>1420201</v>
      </c>
      <c r="AD44" s="20">
        <v>1207194.209</v>
      </c>
      <c r="AE44" s="20">
        <v>1243571.8759999999</v>
      </c>
      <c r="AF44" s="20">
        <v>1267097.1200000001</v>
      </c>
      <c r="AG44" s="20">
        <v>1345076.51</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605269.71299999999</v>
      </c>
      <c r="K45" s="20"/>
      <c r="L45" s="20"/>
      <c r="M45" s="20">
        <v>621137.77300000004</v>
      </c>
      <c r="N45" s="20"/>
      <c r="O45" s="20">
        <v>660875.88899999997</v>
      </c>
      <c r="P45" s="20"/>
      <c r="Q45" s="20"/>
      <c r="R45" s="66">
        <v>807378.03700000001</v>
      </c>
      <c r="S45" s="20">
        <v>843829.90300000005</v>
      </c>
      <c r="T45" s="82">
        <v>878327.27399999998</v>
      </c>
      <c r="U45" s="20">
        <v>871340.47400000005</v>
      </c>
      <c r="V45" s="20">
        <v>799918.16500000004</v>
      </c>
      <c r="W45" s="33">
        <v>767539.91500000004</v>
      </c>
      <c r="X45" s="33">
        <v>855266.147</v>
      </c>
      <c r="Y45" s="33">
        <v>883569.17599999998</v>
      </c>
      <c r="Z45" s="33">
        <v>1000507.058</v>
      </c>
      <c r="AA45" s="33">
        <v>969365.39199999999</v>
      </c>
      <c r="AB45" s="33">
        <v>886753.38399999996</v>
      </c>
      <c r="AC45" s="33">
        <v>853493</v>
      </c>
      <c r="AD45" s="20">
        <v>780334.27800000005</v>
      </c>
      <c r="AE45" s="20">
        <v>785091.30900000001</v>
      </c>
      <c r="AF45" s="20">
        <v>842292.50600000005</v>
      </c>
      <c r="AG45" s="20">
        <v>882541.26500000001</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443154.52100000001</v>
      </c>
      <c r="K46" s="20"/>
      <c r="L46" s="20"/>
      <c r="M46" s="20">
        <v>513507.11099999998</v>
      </c>
      <c r="N46" s="20"/>
      <c r="O46" s="20">
        <v>617306.28300000005</v>
      </c>
      <c r="P46" s="20"/>
      <c r="Q46" s="20"/>
      <c r="R46" s="66">
        <v>694059.51699999999</v>
      </c>
      <c r="S46" s="20">
        <v>915940.152</v>
      </c>
      <c r="T46" s="82">
        <v>656231.63399999996</v>
      </c>
      <c r="U46" s="20">
        <v>671978.17799999996</v>
      </c>
      <c r="V46" s="20">
        <v>662293.00600000005</v>
      </c>
      <c r="W46" s="33">
        <v>694971.1</v>
      </c>
      <c r="X46" s="33">
        <v>700568.98600000003</v>
      </c>
      <c r="Y46" s="33">
        <v>717480.14300000004</v>
      </c>
      <c r="Z46" s="33">
        <v>753792.89899999998</v>
      </c>
      <c r="AA46" s="33">
        <v>795143.88800000004</v>
      </c>
      <c r="AB46" s="33">
        <v>811895.47100000002</v>
      </c>
      <c r="AC46" s="33">
        <v>737586</v>
      </c>
      <c r="AD46" s="20">
        <v>676269.27599999995</v>
      </c>
      <c r="AE46" s="20">
        <v>680444.43</v>
      </c>
      <c r="AF46" s="20">
        <v>694721.98800000001</v>
      </c>
      <c r="AG46" s="20">
        <v>736723.00199999998</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295481.78000000003</v>
      </c>
      <c r="K47" s="20"/>
      <c r="L47" s="20"/>
      <c r="M47" s="20">
        <v>321502.424</v>
      </c>
      <c r="N47" s="20"/>
      <c r="O47" s="20">
        <v>354538.239</v>
      </c>
      <c r="P47" s="20"/>
      <c r="Q47" s="20"/>
      <c r="R47" s="92">
        <v>390736.01199999999</v>
      </c>
      <c r="S47" s="20">
        <v>410472.99900000001</v>
      </c>
      <c r="T47" s="82">
        <v>433679.92</v>
      </c>
      <c r="U47" s="20">
        <v>435292.53200000001</v>
      </c>
      <c r="V47" s="20">
        <v>413917.30300000001</v>
      </c>
      <c r="W47" s="33">
        <v>422868.88400000002</v>
      </c>
      <c r="X47" s="33">
        <v>449200.58199999999</v>
      </c>
      <c r="Y47" s="33">
        <v>477964.01500000001</v>
      </c>
      <c r="Z47" s="33">
        <v>493249.70799999998</v>
      </c>
      <c r="AA47" s="33">
        <v>383437.56099999999</v>
      </c>
      <c r="AB47" s="33">
        <v>518630.288</v>
      </c>
      <c r="AC47" s="33">
        <v>516993</v>
      </c>
      <c r="AD47" s="20">
        <v>513526.842</v>
      </c>
      <c r="AE47" s="20">
        <v>526046.446</v>
      </c>
      <c r="AF47" s="20">
        <v>557014.22499999998</v>
      </c>
      <c r="AG47" s="20">
        <v>579078.67200000002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118911.268</v>
      </c>
      <c r="K48" s="20"/>
      <c r="L48" s="20"/>
      <c r="M48" s="20">
        <v>127600.40399999999</v>
      </c>
      <c r="N48" s="20"/>
      <c r="O48" s="20">
        <v>131797.90100000001</v>
      </c>
      <c r="P48" s="20"/>
      <c r="Q48" s="20"/>
      <c r="R48" s="66">
        <v>141948.63399999999</v>
      </c>
      <c r="S48" s="20">
        <v>161197.85999999999</v>
      </c>
      <c r="T48" s="82">
        <v>156669.223</v>
      </c>
      <c r="U48" s="20">
        <v>166589.48300000001</v>
      </c>
      <c r="V48" s="20">
        <v>146561.57199999999</v>
      </c>
      <c r="W48" s="33">
        <v>160719.723</v>
      </c>
      <c r="X48" s="33">
        <v>165835.00099999999</v>
      </c>
      <c r="Y48" s="33">
        <v>180645.65900000001</v>
      </c>
      <c r="Z48" s="33">
        <v>202259.31899999999</v>
      </c>
      <c r="AA48" s="33">
        <v>209948.84400000001</v>
      </c>
      <c r="AB48" s="33">
        <v>229769.90900000001</v>
      </c>
      <c r="AC48" s="33">
        <v>229068</v>
      </c>
      <c r="AD48" s="20">
        <v>232857.89300000001</v>
      </c>
      <c r="AE48" s="20">
        <v>268347.67099999997</v>
      </c>
      <c r="AF48" s="20">
        <v>276125.87900000002</v>
      </c>
      <c r="AG48" s="20">
        <v>285078.777</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1094864.598</v>
      </c>
      <c r="K49" s="20"/>
      <c r="L49" s="20"/>
      <c r="M49" s="20">
        <v>1160633.835</v>
      </c>
      <c r="N49" s="20"/>
      <c r="O49" s="20">
        <v>1298796.5830000001</v>
      </c>
      <c r="P49" s="20"/>
      <c r="Q49" s="20"/>
      <c r="R49" s="66">
        <v>1467549.51</v>
      </c>
      <c r="S49" s="20">
        <v>1523754.602</v>
      </c>
      <c r="T49" s="82">
        <v>1520538.976</v>
      </c>
      <c r="U49" s="20">
        <v>1459688.1070000001</v>
      </c>
      <c r="V49" s="20">
        <v>1469930.9739999999</v>
      </c>
      <c r="W49" s="33">
        <v>1457183.9509999999</v>
      </c>
      <c r="X49" s="33">
        <v>1451792.28</v>
      </c>
      <c r="Y49" s="33">
        <v>1478499.3729999999</v>
      </c>
      <c r="Z49" s="33">
        <v>1544241.281</v>
      </c>
      <c r="AA49" s="33">
        <v>1562873.55</v>
      </c>
      <c r="AB49" s="33">
        <v>1393837.706</v>
      </c>
      <c r="AC49" s="33">
        <v>1418113</v>
      </c>
      <c r="AD49" s="20">
        <v>1383837.8589999999</v>
      </c>
      <c r="AE49" s="20">
        <v>1362970.382</v>
      </c>
      <c r="AF49" s="20">
        <v>1393891.28</v>
      </c>
      <c r="AG49" s="20">
        <v>1421365.2860000001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87443.3</v>
      </c>
      <c r="K50" s="20"/>
      <c r="L50" s="20"/>
      <c r="M50" s="20">
        <v>99059.543000000005</v>
      </c>
      <c r="N50" s="20"/>
      <c r="O50" s="20">
        <v>103307.47199999999</v>
      </c>
      <c r="P50" s="20"/>
      <c r="Q50" s="20"/>
      <c r="R50" s="66">
        <v>118417.02800000001</v>
      </c>
      <c r="S50" s="20">
        <v>119041.348</v>
      </c>
      <c r="T50" s="82">
        <v>128326.33100000001</v>
      </c>
      <c r="U50" s="20">
        <v>130107.446</v>
      </c>
      <c r="V50" s="20">
        <v>133242.81</v>
      </c>
      <c r="W50" s="33">
        <v>137912.03200000001</v>
      </c>
      <c r="X50" s="33">
        <v>143069.671</v>
      </c>
      <c r="Y50" s="33">
        <v>152834.78</v>
      </c>
      <c r="Z50" s="33">
        <v>159061.42300000001</v>
      </c>
      <c r="AA50" s="33">
        <v>154337.02299999999</v>
      </c>
      <c r="AB50" s="33">
        <v>152065.48300000001</v>
      </c>
      <c r="AC50" s="33">
        <v>144300</v>
      </c>
      <c r="AD50" s="20">
        <v>146999.614</v>
      </c>
      <c r="AE50" s="20">
        <v>155452.69099999999</v>
      </c>
      <c r="AF50" s="20">
        <v>166297.802</v>
      </c>
      <c r="AG50" s="20">
        <v>171510.78200000001</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729653.66599999997</v>
      </c>
      <c r="K51" s="51"/>
      <c r="L51" s="51"/>
      <c r="M51" s="51">
        <v>771586.89</v>
      </c>
      <c r="N51" s="51"/>
      <c r="O51" s="51">
        <v>795350.27399999998</v>
      </c>
      <c r="P51" s="51"/>
      <c r="Q51" s="51"/>
      <c r="R51" s="67">
        <v>870989.54200000002</v>
      </c>
      <c r="S51" s="51">
        <v>958900.55799999996</v>
      </c>
      <c r="T51" s="113">
        <v>845114.86399999994</v>
      </c>
      <c r="U51" s="51">
        <v>879348.08299999998</v>
      </c>
      <c r="V51" s="51">
        <v>800748.38300000003</v>
      </c>
      <c r="W51" s="50">
        <v>798324.70499999996</v>
      </c>
      <c r="X51" s="50">
        <v>785010.84100000001</v>
      </c>
      <c r="Y51" s="50">
        <v>821867.53</v>
      </c>
      <c r="Z51" s="50">
        <v>860791.74300000002</v>
      </c>
      <c r="AA51" s="50">
        <v>917357.72900000005</v>
      </c>
      <c r="AB51" s="50">
        <v>857729.08900000004</v>
      </c>
      <c r="AC51" s="50">
        <v>900175</v>
      </c>
      <c r="AD51" s="51">
        <v>733628.26899999997</v>
      </c>
      <c r="AE51" s="51">
        <v>774249.52599999995</v>
      </c>
      <c r="AF51" s="51">
        <v>805352.13800000004</v>
      </c>
      <c r="AG51" s="51">
        <v>788043.78099999996</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 t="shared" ref="J52" si="24">SUM(J54:J62)</f>
        <v>4112509.3930000002</v>
      </c>
      <c r="M52" s="104">
        <f t="shared" ref="M52" si="25">SUM(M54:M62)</f>
        <v>4670819.8590000002</v>
      </c>
      <c r="O52" s="104">
        <f>SUM(O54:O62)</f>
        <v>5010168.9799999986</v>
      </c>
      <c r="R52" s="104">
        <f t="shared" ref="R52:AG52" si="26">SUM(R54:R62)</f>
        <v>5347615.9820000008</v>
      </c>
      <c r="S52" s="104">
        <f t="shared" si="26"/>
        <v>5507265.2210000008</v>
      </c>
      <c r="T52" s="114">
        <f t="shared" si="26"/>
        <v>5671303.6420000009</v>
      </c>
      <c r="U52" s="104">
        <f t="shared" si="26"/>
        <v>5068328.8029999994</v>
      </c>
      <c r="V52" s="104">
        <f t="shared" si="26"/>
        <v>5097720.9440000011</v>
      </c>
      <c r="W52" s="104">
        <f t="shared" si="26"/>
        <v>5877253.3300000001</v>
      </c>
      <c r="X52" s="104">
        <f t="shared" si="26"/>
        <v>6554964.277999999</v>
      </c>
      <c r="Y52" s="104">
        <f t="shared" si="26"/>
        <v>7092419.5729999999</v>
      </c>
      <c r="Z52" s="104">
        <f t="shared" si="26"/>
        <v>7504503.7889999999</v>
      </c>
      <c r="AA52" s="104">
        <f t="shared" si="26"/>
        <v>6292623.6940000001</v>
      </c>
      <c r="AB52" s="104">
        <f t="shared" si="26"/>
        <v>7209679.4630000005</v>
      </c>
      <c r="AC52" s="104">
        <f t="shared" si="26"/>
        <v>7259350</v>
      </c>
      <c r="AD52" s="104">
        <f t="shared" si="26"/>
        <v>7006894.1620000005</v>
      </c>
      <c r="AE52" s="104">
        <f t="shared" si="26"/>
        <v>6205671.9699999997</v>
      </c>
      <c r="AF52" s="104">
        <f t="shared" si="26"/>
        <v>7154566.0720000006</v>
      </c>
      <c r="AG52" s="104">
        <f t="shared" si="26"/>
        <v>7392945.9959999993</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v>0</v>
      </c>
      <c r="AB53" s="91"/>
      <c r="AC53" s="91"/>
      <c r="AD53" s="65">
        <v>0</v>
      </c>
      <c r="AF53" s="65">
        <v>0</v>
      </c>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271791.02899999998</v>
      </c>
      <c r="K54" s="20"/>
      <c r="L54" s="20"/>
      <c r="M54" s="65">
        <v>370893.97600000002</v>
      </c>
      <c r="N54" s="20"/>
      <c r="O54" s="20">
        <v>358512.05099999998</v>
      </c>
      <c r="P54" s="20"/>
      <c r="Q54" s="20"/>
      <c r="R54" s="66">
        <v>529849.15</v>
      </c>
      <c r="S54" s="20">
        <v>519353.10200000001</v>
      </c>
      <c r="T54" s="82">
        <v>556563.84100000001</v>
      </c>
      <c r="U54" s="20">
        <v>553732.01</v>
      </c>
      <c r="V54" s="20">
        <v>560897.07400000002</v>
      </c>
      <c r="W54" s="33">
        <v>590555.81099999999</v>
      </c>
      <c r="X54" s="33">
        <v>624219.09100000001</v>
      </c>
      <c r="Y54" s="33">
        <v>682950.13399999996</v>
      </c>
      <c r="Z54" s="33">
        <v>752967.84400000004</v>
      </c>
      <c r="AA54" s="33">
        <v>767428.16500000004</v>
      </c>
      <c r="AB54" s="33">
        <v>772124.73400000005</v>
      </c>
      <c r="AC54" s="33">
        <v>792583</v>
      </c>
      <c r="AD54" s="20">
        <v>689483.28099999996</v>
      </c>
      <c r="AE54" s="20">
        <v>716301.19299999997</v>
      </c>
      <c r="AF54" s="20">
        <v>831167.49399999995</v>
      </c>
      <c r="AG54" s="20">
        <v>909060.04799999995</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119046.15399999999</v>
      </c>
      <c r="K55" s="20"/>
      <c r="L55" s="20"/>
      <c r="M55" s="20">
        <v>123600.692</v>
      </c>
      <c r="N55" s="20"/>
      <c r="O55" s="20">
        <v>142023.628</v>
      </c>
      <c r="P55" s="20"/>
      <c r="Q55" s="20"/>
      <c r="R55" s="66">
        <v>150530.073</v>
      </c>
      <c r="S55" s="20">
        <v>160082.484</v>
      </c>
      <c r="T55" s="82">
        <v>166925.38500000001</v>
      </c>
      <c r="U55" s="20">
        <v>169162.37899999999</v>
      </c>
      <c r="V55" s="20">
        <v>167295.93799999999</v>
      </c>
      <c r="W55" s="33">
        <v>172349.28099999999</v>
      </c>
      <c r="X55" s="33">
        <v>176327.82</v>
      </c>
      <c r="Y55" s="33">
        <v>183586.54699999999</v>
      </c>
      <c r="Z55" s="33">
        <v>193714.47399999999</v>
      </c>
      <c r="AA55" s="33">
        <v>188108.93900000001</v>
      </c>
      <c r="AB55" s="33">
        <v>184394.02499999999</v>
      </c>
      <c r="AC55" s="33">
        <v>188029</v>
      </c>
      <c r="AD55" s="20">
        <v>186580.70600000001</v>
      </c>
      <c r="AE55" s="20">
        <v>182060.60800000001</v>
      </c>
      <c r="AF55" s="20">
        <v>184960.33799999999</v>
      </c>
      <c r="AG55" s="20">
        <v>183035.19</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352106.56599999999</v>
      </c>
      <c r="K56" s="20"/>
      <c r="L56" s="20"/>
      <c r="M56" s="20">
        <v>450947.837</v>
      </c>
      <c r="N56" s="20"/>
      <c r="O56" s="20">
        <v>529800.13199999998</v>
      </c>
      <c r="P56" s="20"/>
      <c r="Q56" s="20"/>
      <c r="R56" s="66">
        <v>653665.70299999998</v>
      </c>
      <c r="S56" s="20">
        <v>728699.39800000004</v>
      </c>
      <c r="T56" s="82">
        <v>686236.79299999995</v>
      </c>
      <c r="U56" s="20">
        <v>653333.80799999996</v>
      </c>
      <c r="V56" s="20">
        <v>585624.70600000001</v>
      </c>
      <c r="W56" s="33">
        <v>686303.60900000005</v>
      </c>
      <c r="X56" s="33">
        <v>762052.37399999995</v>
      </c>
      <c r="Y56" s="33">
        <v>839350.71200000006</v>
      </c>
      <c r="Z56" s="33">
        <v>896190.87399999995</v>
      </c>
      <c r="AA56" s="33">
        <v>703868.13399999996</v>
      </c>
      <c r="AB56" s="33">
        <v>655418.90300000005</v>
      </c>
      <c r="AC56" s="33">
        <v>750007</v>
      </c>
      <c r="AD56" s="20">
        <v>755465.74100000004</v>
      </c>
      <c r="AE56" s="20">
        <v>763165.71799999999</v>
      </c>
      <c r="AF56" s="20">
        <v>857246.13399999996</v>
      </c>
      <c r="AG56" s="20">
        <v>924444.36100000003</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54040</v>
      </c>
      <c r="K57" s="20"/>
      <c r="L57" s="20"/>
      <c r="M57" s="20">
        <v>63500</v>
      </c>
      <c r="N57" s="20"/>
      <c r="O57" s="20">
        <v>63750</v>
      </c>
      <c r="P57" s="20"/>
      <c r="Q57" s="20"/>
      <c r="R57" s="92">
        <v>71766.997000000003</v>
      </c>
      <c r="S57" s="20">
        <v>75365.349000000002</v>
      </c>
      <c r="T57" s="82">
        <v>79133.611000000004</v>
      </c>
      <c r="U57" s="20">
        <v>83090.297999999995</v>
      </c>
      <c r="V57" s="20">
        <v>83090.274999999994</v>
      </c>
      <c r="W57" s="33">
        <v>85583</v>
      </c>
      <c r="X57" s="33">
        <v>87450</v>
      </c>
      <c r="Y57" s="33">
        <v>92250</v>
      </c>
      <c r="Z57" s="33">
        <v>96000</v>
      </c>
      <c r="AA57" s="33">
        <v>97286.043999999994</v>
      </c>
      <c r="AB57" s="33">
        <v>97286</v>
      </c>
      <c r="AC57" s="33">
        <v>97286</v>
      </c>
      <c r="AD57" s="20">
        <v>50950.071000000004</v>
      </c>
      <c r="AE57" s="20">
        <v>53647.218000000001</v>
      </c>
      <c r="AF57" s="20">
        <v>69000</v>
      </c>
      <c r="AG57" s="20">
        <v>81000</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507926.19</v>
      </c>
      <c r="K58" s="20"/>
      <c r="L58" s="20"/>
      <c r="M58" s="20">
        <v>563432.69499999995</v>
      </c>
      <c r="N58" s="20"/>
      <c r="O58" s="20">
        <v>941797.03899999999</v>
      </c>
      <c r="P58" s="20"/>
      <c r="Q58" s="20"/>
      <c r="R58" s="92">
        <v>627095.71699999995</v>
      </c>
      <c r="S58" s="20">
        <v>665270.36300000001</v>
      </c>
      <c r="T58" s="82">
        <v>708251.67500000005</v>
      </c>
      <c r="U58" s="20">
        <v>782728.23800000001</v>
      </c>
      <c r="V58" s="20">
        <v>810223.054</v>
      </c>
      <c r="W58" s="33">
        <v>1384544.7930000001</v>
      </c>
      <c r="X58" s="33">
        <v>1481630.659</v>
      </c>
      <c r="Y58" s="33">
        <v>1407349.9040000001</v>
      </c>
      <c r="Z58" s="33">
        <v>1436349.746</v>
      </c>
      <c r="AA58" s="33">
        <v>973603.88300000003</v>
      </c>
      <c r="AB58" s="33">
        <v>1409728.0160000001</v>
      </c>
      <c r="AC58" s="33">
        <v>1358685</v>
      </c>
      <c r="AD58" s="20">
        <v>1360176.3959999999</v>
      </c>
      <c r="AE58" s="20">
        <v>991492.22</v>
      </c>
      <c r="AF58" s="20">
        <v>1434487.9920000001</v>
      </c>
      <c r="AG58" s="20">
        <v>1425894.628</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1807941.3289999999</v>
      </c>
      <c r="K59" s="20"/>
      <c r="L59" s="20"/>
      <c r="M59" s="20">
        <v>2022754.6510000001</v>
      </c>
      <c r="N59" s="20"/>
      <c r="O59" s="20">
        <v>1846829.3359999999</v>
      </c>
      <c r="P59" s="20"/>
      <c r="Q59" s="20"/>
      <c r="R59" s="92">
        <v>2061103.6810000001</v>
      </c>
      <c r="S59" s="20">
        <v>2241338.8640000001</v>
      </c>
      <c r="T59" s="82">
        <v>2653351.0129999998</v>
      </c>
      <c r="U59" s="20">
        <v>2198161.0129999998</v>
      </c>
      <c r="V59" s="20">
        <v>2295371.5240000002</v>
      </c>
      <c r="W59" s="33">
        <v>2342101.5520000001</v>
      </c>
      <c r="X59" s="33">
        <v>2784401.8369999998</v>
      </c>
      <c r="Y59" s="33">
        <v>3220045.2009999999</v>
      </c>
      <c r="Z59" s="33">
        <v>3453554.1579999998</v>
      </c>
      <c r="AA59" s="33">
        <v>2920233.6880000001</v>
      </c>
      <c r="AB59" s="33">
        <v>3476429.074</v>
      </c>
      <c r="AC59" s="33">
        <v>3461863</v>
      </c>
      <c r="AD59" s="20">
        <v>3396550.5989999999</v>
      </c>
      <c r="AE59" s="20">
        <v>2937525.3059999999</v>
      </c>
      <c r="AF59" s="20">
        <v>3207891.4070000001</v>
      </c>
      <c r="AG59" s="20">
        <v>3291118.8139999998</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883121.04299999995</v>
      </c>
      <c r="K60" s="20"/>
      <c r="L60" s="20"/>
      <c r="M60" s="20">
        <v>949940.53899999999</v>
      </c>
      <c r="N60" s="20"/>
      <c r="O60" s="20">
        <v>985571.56599999999</v>
      </c>
      <c r="P60" s="20"/>
      <c r="Q60" s="20"/>
      <c r="R60" s="66">
        <v>1094368.118</v>
      </c>
      <c r="S60" s="20">
        <v>946848.75300000003</v>
      </c>
      <c r="T60" s="82">
        <v>641453.76399999997</v>
      </c>
      <c r="U60" s="20">
        <v>448234.65600000002</v>
      </c>
      <c r="V60" s="20">
        <v>413575.48</v>
      </c>
      <c r="W60" s="33">
        <v>431645.51299999998</v>
      </c>
      <c r="X60" s="33">
        <v>452289.16399999999</v>
      </c>
      <c r="Y60" s="33">
        <v>472889.89</v>
      </c>
      <c r="Z60" s="33">
        <v>490033.05499999999</v>
      </c>
      <c r="AA60" s="33">
        <v>483228.663</v>
      </c>
      <c r="AB60" s="33">
        <v>448947.69</v>
      </c>
      <c r="AC60" s="33">
        <v>449669</v>
      </c>
      <c r="AD60" s="20">
        <v>408150.28499999997</v>
      </c>
      <c r="AE60" s="20">
        <v>408349.41800000001</v>
      </c>
      <c r="AF60" s="20">
        <v>407912.08600000001</v>
      </c>
      <c r="AG60" s="20">
        <v>408131.16800000001</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82221.581999999995</v>
      </c>
      <c r="K61" s="20"/>
      <c r="L61" s="20"/>
      <c r="M61" s="20">
        <v>89178.240000000005</v>
      </c>
      <c r="N61" s="20"/>
      <c r="O61" s="20">
        <v>100610.895</v>
      </c>
      <c r="P61" s="20"/>
      <c r="Q61" s="20"/>
      <c r="R61" s="66">
        <v>114898.44</v>
      </c>
      <c r="S61" s="20">
        <v>121921.40700000001</v>
      </c>
      <c r="T61" s="82">
        <v>127850.16</v>
      </c>
      <c r="U61" s="20">
        <v>125458.436</v>
      </c>
      <c r="V61" s="20">
        <v>126174.212</v>
      </c>
      <c r="W61" s="33">
        <v>126802.71400000001</v>
      </c>
      <c r="X61" s="33">
        <v>127257.182</v>
      </c>
      <c r="Y61" s="33">
        <v>128383.37699999999</v>
      </c>
      <c r="Z61" s="33">
        <v>119736.315</v>
      </c>
      <c r="AA61" s="33">
        <v>102214.30100000001</v>
      </c>
      <c r="AB61" s="33">
        <v>94438.798999999999</v>
      </c>
      <c r="AC61" s="33">
        <v>94186</v>
      </c>
      <c r="AD61" s="20">
        <v>96724.928</v>
      </c>
      <c r="AE61" s="20">
        <v>97341.801999999996</v>
      </c>
      <c r="AF61" s="20">
        <v>103877.156</v>
      </c>
      <c r="AG61" s="20">
        <v>112572.928</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34315.5</v>
      </c>
      <c r="K62" s="51"/>
      <c r="L62" s="51"/>
      <c r="M62" s="51">
        <v>36571.228999999999</v>
      </c>
      <c r="N62" s="51"/>
      <c r="O62" s="51">
        <v>41274.332999999999</v>
      </c>
      <c r="P62" s="51"/>
      <c r="Q62" s="51"/>
      <c r="R62" s="67">
        <v>44338.103000000003</v>
      </c>
      <c r="S62" s="51">
        <v>48385.500999999997</v>
      </c>
      <c r="T62" s="113">
        <v>51537.4</v>
      </c>
      <c r="U62" s="51">
        <v>54427.964999999997</v>
      </c>
      <c r="V62" s="51">
        <v>55468.680999999997</v>
      </c>
      <c r="W62" s="50">
        <v>57367.057000000001</v>
      </c>
      <c r="X62" s="50">
        <v>59336.150999999998</v>
      </c>
      <c r="Y62" s="50">
        <v>65613.808000000005</v>
      </c>
      <c r="Z62" s="50">
        <v>65957.323000000004</v>
      </c>
      <c r="AA62" s="50">
        <v>56651.877</v>
      </c>
      <c r="AB62" s="50">
        <v>70912.221999999994</v>
      </c>
      <c r="AC62" s="50">
        <v>67042</v>
      </c>
      <c r="AD62" s="51">
        <v>62812.154999999999</v>
      </c>
      <c r="AE62" s="51">
        <v>55788.487000000001</v>
      </c>
      <c r="AF62" s="51">
        <v>58023.464999999997</v>
      </c>
      <c r="AG62" s="51">
        <v>57688.858999999997</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0</v>
      </c>
      <c r="K63" s="86"/>
      <c r="L63" s="86"/>
      <c r="M63" s="86">
        <v>0</v>
      </c>
      <c r="N63" s="86"/>
      <c r="O63" s="86">
        <v>0</v>
      </c>
      <c r="P63" s="86"/>
      <c r="Q63" s="86"/>
      <c r="R63" s="88">
        <v>0</v>
      </c>
      <c r="S63" s="86">
        <v>3018.973</v>
      </c>
      <c r="T63" s="89">
        <v>5266.8729999999996</v>
      </c>
      <c r="U63" s="86">
        <v>4153.665</v>
      </c>
      <c r="V63" s="86">
        <v>4138.7550000000001</v>
      </c>
      <c r="W63" s="87">
        <v>5237.4380000000001</v>
      </c>
      <c r="X63" s="87">
        <v>6553.74</v>
      </c>
      <c r="Y63" s="87">
        <v>6516.4290000000001</v>
      </c>
      <c r="Z63" s="87">
        <v>7549.1760000000004</v>
      </c>
      <c r="AA63" s="87"/>
      <c r="AB63" s="87">
        <v>62070</v>
      </c>
      <c r="AC63" s="87">
        <v>66420</v>
      </c>
      <c r="AD63" s="51">
        <v>67362.122000000003</v>
      </c>
      <c r="AE63" s="51">
        <v>75404.62</v>
      </c>
      <c r="AF63" s="51">
        <v>66690.62</v>
      </c>
      <c r="AG63" s="51">
        <v>73457.573000000004</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c r="AF88" s="12"/>
      <c r="AG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indexed="62"/>
  </sheetPr>
  <dimension ref="A1:HB92"/>
  <sheetViews>
    <sheetView zoomScaleNormal="100" workbookViewId="0">
      <pane xSplit="1" ySplit="3" topLeftCell="Y28" activePane="bottomRight" state="frozen"/>
      <selection activeCell="M5" sqref="M5:M6"/>
      <selection pane="topRight" activeCell="M5" sqref="M5:M6"/>
      <selection pane="bottomLeft" activeCell="M5" sqref="M5:M6"/>
      <selection pane="bottomRight" activeCell="AH8" sqref="AH8"/>
    </sheetView>
  </sheetViews>
  <sheetFormatPr defaultColWidth="9.7109375" defaultRowHeight="12.75"/>
  <cols>
    <col min="1" max="1" width="24.7109375" style="13" customWidth="1"/>
    <col min="2" max="22" width="13.85546875" style="13" customWidth="1"/>
    <col min="23" max="29" width="13.85546875" style="53" customWidth="1"/>
    <col min="30" max="31" width="10.7109375" style="13" bestFit="1"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94</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2474416+2521831</f>
        <v>4996247</v>
      </c>
      <c r="C4" s="86">
        <f>2740895+2718623</f>
        <v>5459518</v>
      </c>
      <c r="D4" s="86">
        <f>3037642+3016686</f>
        <v>6054328</v>
      </c>
      <c r="E4" s="86"/>
      <c r="F4" s="86"/>
      <c r="G4" s="86"/>
      <c r="H4" s="86"/>
      <c r="I4" s="86">
        <v>8957370.4069999997</v>
      </c>
      <c r="J4" s="100">
        <f>+J5+J23+J38+J52+J63</f>
        <v>9915015.925999999</v>
      </c>
      <c r="K4" s="86">
        <v>10964190.148</v>
      </c>
      <c r="L4" s="86">
        <v>11346532.344000001</v>
      </c>
      <c r="M4" s="100">
        <f>+M5+M23+M38+M52+M63</f>
        <v>11741775.952</v>
      </c>
      <c r="N4" s="86">
        <v>12314490.073000001</v>
      </c>
      <c r="O4" s="100">
        <f>+O5+O23+O38+O52+O63</f>
        <v>10910592.725430001</v>
      </c>
      <c r="P4" s="86"/>
      <c r="Q4" s="86"/>
      <c r="R4" s="100">
        <f t="shared" ref="R4:AA4" si="0">+R5+R23+R38+R52+R63</f>
        <v>15669654.822000001</v>
      </c>
      <c r="S4" s="100">
        <f t="shared" si="0"/>
        <v>17515608.657000002</v>
      </c>
      <c r="T4" s="111">
        <f t="shared" si="0"/>
        <v>19999434.073999997</v>
      </c>
      <c r="U4" s="100">
        <f t="shared" si="0"/>
        <v>22096749.629000001</v>
      </c>
      <c r="V4" s="100">
        <f t="shared" si="0"/>
        <v>23817965.342999998</v>
      </c>
      <c r="W4" s="100">
        <f t="shared" si="0"/>
        <v>25728437.236000001</v>
      </c>
      <c r="X4" s="100">
        <f t="shared" si="0"/>
        <v>25800995.397999998</v>
      </c>
      <c r="Y4" s="100">
        <f t="shared" si="0"/>
        <v>26138070.572000001</v>
      </c>
      <c r="Z4" s="100">
        <f t="shared" si="0"/>
        <v>27205823.32</v>
      </c>
      <c r="AA4" s="100">
        <f t="shared" si="0"/>
        <v>25928202.710999995</v>
      </c>
      <c r="AB4" s="100">
        <f t="shared" ref="AB4:AC4" si="1">+AB5+AB23+AB38+AB52+AB63</f>
        <v>33971988.356999993</v>
      </c>
      <c r="AC4" s="100">
        <f t="shared" si="1"/>
        <v>36449982</v>
      </c>
      <c r="AD4" s="100">
        <f t="shared" ref="AD4:AE4" si="2">+AD5+AD23+AD38+AD52+AD63</f>
        <v>35427370.398000002</v>
      </c>
      <c r="AE4" s="100">
        <f t="shared" si="2"/>
        <v>33755320.637000002</v>
      </c>
      <c r="AF4" s="100">
        <f t="shared" ref="AF4:AG4" si="3">+AF5+AF23+AF38+AF52+AF63</f>
        <v>33009286.446999997</v>
      </c>
      <c r="AG4" s="100">
        <f t="shared" si="3"/>
        <v>33043030.248999998</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1424923</v>
      </c>
      <c r="C5" s="101">
        <f t="shared" ref="C5:D5" si="4">SUM(C7:C22)</f>
        <v>1554277</v>
      </c>
      <c r="D5" s="101">
        <f t="shared" si="4"/>
        <v>1767024</v>
      </c>
      <c r="I5" s="101">
        <f t="shared" ref="I5:J5" si="5">SUM(I7:I22)</f>
        <v>2789105.5779999997</v>
      </c>
      <c r="J5" s="101">
        <f t="shared" si="5"/>
        <v>3136619.9020000002</v>
      </c>
      <c r="K5" s="12"/>
      <c r="L5" s="12"/>
      <c r="M5" s="101">
        <f t="shared" ref="M5:N5" si="6">SUM(M7:M22)</f>
        <v>3795131.7090000007</v>
      </c>
      <c r="N5" s="101">
        <f t="shared" si="6"/>
        <v>4045461.9209999996</v>
      </c>
      <c r="O5" s="101">
        <f t="shared" ref="O5" si="7">SUM(O7:O22)</f>
        <v>3550038.8907500007</v>
      </c>
      <c r="P5" s="12"/>
      <c r="Q5" s="12"/>
      <c r="R5" s="101">
        <f t="shared" ref="R5:AA5" si="8">SUM(R7:R22)</f>
        <v>5175720.8819999993</v>
      </c>
      <c r="S5" s="101">
        <f t="shared" si="8"/>
        <v>5922225.7069999995</v>
      </c>
      <c r="T5" s="114">
        <f t="shared" si="8"/>
        <v>7236203.754999999</v>
      </c>
      <c r="U5" s="101">
        <f t="shared" si="8"/>
        <v>8262967.75</v>
      </c>
      <c r="V5" s="101">
        <f t="shared" si="8"/>
        <v>9045626.3440000005</v>
      </c>
      <c r="W5" s="101">
        <f t="shared" si="8"/>
        <v>9717666.0280000009</v>
      </c>
      <c r="X5" s="101">
        <f t="shared" si="8"/>
        <v>9645363.2419999987</v>
      </c>
      <c r="Y5" s="101">
        <f t="shared" si="8"/>
        <v>9689241.2480000015</v>
      </c>
      <c r="Z5" s="101">
        <f t="shared" si="8"/>
        <v>10237071.719999999</v>
      </c>
      <c r="AA5" s="101">
        <f t="shared" si="8"/>
        <v>9302242.4579999987</v>
      </c>
      <c r="AB5" s="101">
        <f t="shared" ref="AB5:AC5" si="9">SUM(AB7:AB22)</f>
        <v>13051932.219999999</v>
      </c>
      <c r="AC5" s="101">
        <f t="shared" si="9"/>
        <v>13707468</v>
      </c>
      <c r="AD5" s="101">
        <f t="shared" ref="AD5:AE5" si="10">SUM(AD7:AD22)</f>
        <v>13127213.715999998</v>
      </c>
      <c r="AE5" s="101">
        <f t="shared" si="10"/>
        <v>12230991.67</v>
      </c>
      <c r="AF5" s="101">
        <f t="shared" ref="AF5:AG5" si="11">SUM(AF7:AF22)</f>
        <v>11934563.648</v>
      </c>
      <c r="AG5" s="101">
        <f t="shared" si="11"/>
        <v>12073453.963</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20860+88010</f>
        <v>108870</v>
      </c>
      <c r="C7" s="12">
        <f>23649+94521</f>
        <v>118170</v>
      </c>
      <c r="D7" s="12">
        <f>28046+103819</f>
        <v>131865</v>
      </c>
      <c r="E7" s="12"/>
      <c r="F7" s="12"/>
      <c r="G7" s="12"/>
      <c r="H7" s="12"/>
      <c r="I7" s="12">
        <v>208367.7</v>
      </c>
      <c r="J7" s="32">
        <v>237125.47500000001</v>
      </c>
      <c r="K7" s="12">
        <v>264687.40399999998</v>
      </c>
      <c r="L7" s="12">
        <v>262617.59000000003</v>
      </c>
      <c r="M7" s="12">
        <v>281283.277</v>
      </c>
      <c r="N7" s="12">
        <v>317866.27500000002</v>
      </c>
      <c r="O7" s="12">
        <v>297206.35700000002</v>
      </c>
      <c r="P7" s="12"/>
      <c r="Q7" s="12"/>
      <c r="R7" s="44">
        <v>425760.07500000001</v>
      </c>
      <c r="S7" s="12">
        <v>485049.90500000003</v>
      </c>
      <c r="T7" s="82">
        <v>567754.18799999997</v>
      </c>
      <c r="U7" s="12">
        <v>617235.35</v>
      </c>
      <c r="V7" s="12">
        <v>639879.18299999996</v>
      </c>
      <c r="W7" s="32">
        <v>672444.89199999999</v>
      </c>
      <c r="X7" s="32">
        <v>684187.47900000005</v>
      </c>
      <c r="Y7" s="32">
        <v>717804.995</v>
      </c>
      <c r="Z7" s="32">
        <v>774663.53399999999</v>
      </c>
      <c r="AA7" s="32">
        <v>781260.05500000005</v>
      </c>
      <c r="AB7" s="32">
        <v>848026.12199999997</v>
      </c>
      <c r="AC7" s="32">
        <v>902539</v>
      </c>
      <c r="AD7" s="12">
        <v>782457.49899999995</v>
      </c>
      <c r="AE7" s="12">
        <v>806005.02099999995</v>
      </c>
      <c r="AF7" s="12">
        <v>789273.43200000003</v>
      </c>
      <c r="AG7" s="12">
        <v>800086.66599999997</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11040+28872</f>
        <v>39912</v>
      </c>
      <c r="C8" s="12">
        <f>13167+29297</f>
        <v>42464</v>
      </c>
      <c r="D8" s="12">
        <f>15685+32207</f>
        <v>47892</v>
      </c>
      <c r="E8" s="12"/>
      <c r="F8" s="12"/>
      <c r="G8" s="12"/>
      <c r="H8" s="12"/>
      <c r="I8" s="12">
        <v>70930.881999999998</v>
      </c>
      <c r="J8" s="32">
        <v>81972.021999999997</v>
      </c>
      <c r="K8" s="12">
        <v>92855.107000000004</v>
      </c>
      <c r="L8" s="12">
        <v>95683.005999999994</v>
      </c>
      <c r="M8" s="12">
        <v>101415.819</v>
      </c>
      <c r="N8" s="12">
        <v>113393.254</v>
      </c>
      <c r="O8" s="12">
        <v>68008.004000000001</v>
      </c>
      <c r="P8" s="12"/>
      <c r="Q8" s="12"/>
      <c r="R8" s="63">
        <v>136035.927</v>
      </c>
      <c r="S8" s="12">
        <v>152093.60200000001</v>
      </c>
      <c r="T8" s="82">
        <v>198130.53899999999</v>
      </c>
      <c r="U8" s="12">
        <v>212704.209</v>
      </c>
      <c r="V8" s="12">
        <v>245532.16200000001</v>
      </c>
      <c r="W8" s="32">
        <v>248585.019</v>
      </c>
      <c r="X8" s="32">
        <v>254308.883</v>
      </c>
      <c r="Y8" s="32">
        <v>255228.72700000001</v>
      </c>
      <c r="Z8" s="32">
        <v>247073.875</v>
      </c>
      <c r="AA8" s="32">
        <v>202957.13500000001</v>
      </c>
      <c r="AB8" s="32">
        <v>342391.03899999999</v>
      </c>
      <c r="AC8" s="32">
        <v>384844</v>
      </c>
      <c r="AD8" s="12">
        <v>415920.67200000002</v>
      </c>
      <c r="AE8" s="12">
        <v>352181.21299999999</v>
      </c>
      <c r="AF8" s="12">
        <v>335465.08600000001</v>
      </c>
      <c r="AG8" s="12">
        <v>307413.01699999999</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16282+2901</f>
        <v>19183</v>
      </c>
      <c r="E9" s="12"/>
      <c r="F9" s="12"/>
      <c r="G9" s="12"/>
      <c r="H9" s="12"/>
      <c r="I9" s="12">
        <v>29187.155999999999</v>
      </c>
      <c r="J9" s="32">
        <v>33489.614000000001</v>
      </c>
      <c r="K9" s="12"/>
      <c r="L9" s="12"/>
      <c r="M9" s="12">
        <v>43173.224000000002</v>
      </c>
      <c r="N9" s="12">
        <v>45907.961000000003</v>
      </c>
      <c r="O9" s="12">
        <v>41830.648999999998</v>
      </c>
      <c r="P9" s="12"/>
      <c r="Q9" s="12"/>
      <c r="R9" s="63">
        <v>61641.462</v>
      </c>
      <c r="S9" s="61">
        <v>70886.156000000003</v>
      </c>
      <c r="T9" s="83">
        <v>73609.673999999999</v>
      </c>
      <c r="U9" s="61">
        <v>85778.017000000007</v>
      </c>
      <c r="V9" s="61">
        <v>96127.892000000007</v>
      </c>
      <c r="W9" s="32">
        <f>14655.322+82133.156</f>
        <v>96788.478000000003</v>
      </c>
      <c r="X9" s="32">
        <v>101886.742</v>
      </c>
      <c r="Y9" s="32">
        <v>113716.395</v>
      </c>
      <c r="Z9" s="32">
        <v>113211.179</v>
      </c>
      <c r="AA9" s="32">
        <v>115285.101</v>
      </c>
      <c r="AB9" s="32">
        <v>141361.31099999999</v>
      </c>
      <c r="AC9" s="32">
        <v>134093</v>
      </c>
      <c r="AD9" s="12">
        <v>142891.465</v>
      </c>
      <c r="AE9" s="12">
        <v>141220.97200000001</v>
      </c>
      <c r="AF9" s="12">
        <v>137390.39199999999</v>
      </c>
      <c r="AG9" s="12">
        <v>133809.33600000001</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77265+35353</f>
        <v>112618</v>
      </c>
      <c r="C10" s="12">
        <f>92139+42365</f>
        <v>134504</v>
      </c>
      <c r="D10" s="12">
        <f>109157+48510</f>
        <v>157667</v>
      </c>
      <c r="E10" s="12"/>
      <c r="F10" s="12"/>
      <c r="G10" s="12"/>
      <c r="H10" s="12"/>
      <c r="I10" s="12">
        <v>230727.73499999999</v>
      </c>
      <c r="J10" s="32">
        <v>262279.853</v>
      </c>
      <c r="K10" s="12">
        <v>290475.84399999998</v>
      </c>
      <c r="L10" s="12">
        <v>298891.68900000001</v>
      </c>
      <c r="M10" s="12">
        <v>320315.7</v>
      </c>
      <c r="N10" s="12">
        <v>356155.63699999999</v>
      </c>
      <c r="O10" s="12">
        <v>320344.26299999998</v>
      </c>
      <c r="P10" s="12"/>
      <c r="Q10" s="12"/>
      <c r="R10" s="63">
        <v>466367.69300000003</v>
      </c>
      <c r="S10" s="12">
        <v>517329.97700000001</v>
      </c>
      <c r="T10" s="82">
        <v>657954.31099999999</v>
      </c>
      <c r="U10" s="12">
        <v>896645.45499999996</v>
      </c>
      <c r="V10" s="12">
        <v>999427.23499999999</v>
      </c>
      <c r="W10" s="32">
        <v>1103496.7309999999</v>
      </c>
      <c r="X10" s="32">
        <v>1041316.621</v>
      </c>
      <c r="Y10" s="32">
        <v>994113.77099999995</v>
      </c>
      <c r="Z10" s="32">
        <v>1134521.898</v>
      </c>
      <c r="AA10" s="32">
        <v>1152221.9990000001</v>
      </c>
      <c r="AB10" s="32">
        <v>1406469.584</v>
      </c>
      <c r="AC10" s="32">
        <v>1435741</v>
      </c>
      <c r="AD10" s="12">
        <v>1438948.7590000001</v>
      </c>
      <c r="AE10" s="12">
        <v>1423267.64</v>
      </c>
      <c r="AF10" s="12">
        <v>1393390.1580000001</v>
      </c>
      <c r="AG10" s="12">
        <v>1412692.267</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34474+89839</f>
        <v>124313</v>
      </c>
      <c r="C11" s="12">
        <f>36898+91273</f>
        <v>128171</v>
      </c>
      <c r="D11" s="12">
        <f>42082+102753</f>
        <v>144835</v>
      </c>
      <c r="E11" s="12"/>
      <c r="F11" s="12"/>
      <c r="G11" s="12"/>
      <c r="H11" s="12"/>
      <c r="I11" s="12">
        <v>221797.753</v>
      </c>
      <c r="J11" s="32">
        <v>240534.861</v>
      </c>
      <c r="K11" s="12">
        <v>249981.69399999999</v>
      </c>
      <c r="L11" s="12">
        <v>253198.27799999999</v>
      </c>
      <c r="M11" s="12">
        <v>276188.48100000003</v>
      </c>
      <c r="N11" s="12">
        <v>307833.837</v>
      </c>
      <c r="O11" s="12">
        <v>280919.49099999998</v>
      </c>
      <c r="P11" s="12"/>
      <c r="Q11" s="12"/>
      <c r="R11" s="63">
        <v>376481.24099999998</v>
      </c>
      <c r="S11" s="12">
        <v>401731.97100000002</v>
      </c>
      <c r="T11" s="82">
        <v>485682.08600000001</v>
      </c>
      <c r="U11" s="12">
        <v>618710.71100000001</v>
      </c>
      <c r="V11" s="12">
        <v>668206.125</v>
      </c>
      <c r="W11" s="32">
        <v>651328.16899999999</v>
      </c>
      <c r="X11" s="32">
        <v>647361.25399999996</v>
      </c>
      <c r="Y11" s="32">
        <v>653365.12</v>
      </c>
      <c r="Z11" s="32">
        <v>708676.81400000001</v>
      </c>
      <c r="AA11" s="32">
        <v>714327.13300000003</v>
      </c>
      <c r="AB11" s="32">
        <v>1058417.0319999999</v>
      </c>
      <c r="AC11" s="32">
        <v>1101057</v>
      </c>
      <c r="AD11" s="12">
        <v>1193757.4140000001</v>
      </c>
      <c r="AE11" s="12">
        <v>1209439.905</v>
      </c>
      <c r="AF11" s="12">
        <v>1197630.6070000001</v>
      </c>
      <c r="AG11" s="12">
        <v>1244617.0020000001</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32119+26334</f>
        <v>58453</v>
      </c>
      <c r="C12" s="12">
        <f>29813+26069</f>
        <v>55882</v>
      </c>
      <c r="D12" s="12">
        <f>34786+28755</f>
        <v>63541</v>
      </c>
      <c r="E12" s="12"/>
      <c r="F12" s="12"/>
      <c r="G12" s="12"/>
      <c r="H12" s="12"/>
      <c r="I12" s="12">
        <v>102801.363</v>
      </c>
      <c r="J12" s="32">
        <v>122349</v>
      </c>
      <c r="K12" s="12">
        <v>135225.95699999999</v>
      </c>
      <c r="L12" s="12">
        <v>142697.91099999999</v>
      </c>
      <c r="M12" s="12">
        <v>140929.913</v>
      </c>
      <c r="N12" s="12">
        <v>143169.81899999999</v>
      </c>
      <c r="O12" s="12">
        <v>110470.53200000001</v>
      </c>
      <c r="P12" s="12"/>
      <c r="Q12" s="12"/>
      <c r="R12" s="34">
        <v>197002.49400000001</v>
      </c>
      <c r="S12" s="12">
        <v>228832.22</v>
      </c>
      <c r="T12" s="82">
        <v>300855.71500000003</v>
      </c>
      <c r="U12" s="12">
        <v>338175.10200000001</v>
      </c>
      <c r="V12" s="12">
        <v>377983.63299999997</v>
      </c>
      <c r="W12" s="32">
        <v>436965.99599999998</v>
      </c>
      <c r="X12" s="32">
        <v>491709.87</v>
      </c>
      <c r="Y12" s="32">
        <v>499615.77399999998</v>
      </c>
      <c r="Z12" s="32">
        <v>512167.71299999999</v>
      </c>
      <c r="AA12" s="32">
        <v>492578.99300000002</v>
      </c>
      <c r="AB12" s="32">
        <v>575394.92700000003</v>
      </c>
      <c r="AC12" s="32">
        <v>612185</v>
      </c>
      <c r="AD12" s="12">
        <v>573061.10499999998</v>
      </c>
      <c r="AE12" s="12">
        <v>535135.49100000004</v>
      </c>
      <c r="AF12" s="12">
        <v>516849.97700000001</v>
      </c>
      <c r="AG12" s="12">
        <v>514282.49800000002</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15304+56666</f>
        <v>71970</v>
      </c>
      <c r="C13" s="12">
        <f>17047+58956</f>
        <v>76003</v>
      </c>
      <c r="D13" s="12">
        <f>17670+69927</f>
        <v>87597</v>
      </c>
      <c r="E13" s="12"/>
      <c r="F13" s="12"/>
      <c r="G13" s="12"/>
      <c r="H13" s="12"/>
      <c r="I13" s="12">
        <v>153893.231</v>
      </c>
      <c r="J13" s="32">
        <v>159109.23699999999</v>
      </c>
      <c r="K13" s="12">
        <v>172264.53</v>
      </c>
      <c r="L13" s="12">
        <v>170162.24</v>
      </c>
      <c r="M13" s="12">
        <v>185609.505</v>
      </c>
      <c r="N13" s="12">
        <v>200728.36499999999</v>
      </c>
      <c r="O13" s="12">
        <v>132007.519</v>
      </c>
      <c r="P13" s="12"/>
      <c r="Q13" s="12"/>
      <c r="R13" s="34">
        <v>230919.46</v>
      </c>
      <c r="S13" s="12">
        <v>277572.467</v>
      </c>
      <c r="T13" s="82">
        <v>320648.28700000001</v>
      </c>
      <c r="U13" s="12">
        <v>354710.31199999998</v>
      </c>
      <c r="V13" s="12">
        <v>404309.609</v>
      </c>
      <c r="W13" s="32">
        <v>426458.12300000002</v>
      </c>
      <c r="X13" s="32">
        <v>422936.12800000003</v>
      </c>
      <c r="Y13" s="32">
        <v>419983.92599999998</v>
      </c>
      <c r="Z13" s="32">
        <v>423386.04399999999</v>
      </c>
      <c r="AA13" s="32">
        <v>358077.01</v>
      </c>
      <c r="AB13" s="32">
        <v>520413.60499999998</v>
      </c>
      <c r="AC13" s="32">
        <v>564738</v>
      </c>
      <c r="AD13" s="12">
        <v>500929.54800000001</v>
      </c>
      <c r="AE13" s="12">
        <v>469280.31199999998</v>
      </c>
      <c r="AF13" s="12">
        <v>446616.00300000003</v>
      </c>
      <c r="AG13" s="12">
        <v>417395.152</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v>104713</v>
      </c>
      <c r="C14" s="12">
        <f>0+112285</f>
        <v>112285</v>
      </c>
      <c r="D14" s="12">
        <f>0+124204</f>
        <v>124204</v>
      </c>
      <c r="E14" s="12"/>
      <c r="F14" s="12"/>
      <c r="G14" s="12"/>
      <c r="H14" s="12"/>
      <c r="I14" s="12">
        <v>195474.052</v>
      </c>
      <c r="J14" s="32">
        <v>201243.636</v>
      </c>
      <c r="K14" s="12">
        <v>222225.33900000001</v>
      </c>
      <c r="L14" s="12">
        <v>232827.43599999999</v>
      </c>
      <c r="M14" s="12">
        <v>233879.424</v>
      </c>
      <c r="N14" s="12">
        <v>265022.69900000002</v>
      </c>
      <c r="O14" s="12">
        <v>275342.86916</v>
      </c>
      <c r="P14" s="12"/>
      <c r="Q14" s="12"/>
      <c r="R14" s="34">
        <v>374300.23300000001</v>
      </c>
      <c r="S14" s="12">
        <v>397167.63099999999</v>
      </c>
      <c r="T14" s="82">
        <v>519645.391</v>
      </c>
      <c r="U14" s="12">
        <v>502136.027</v>
      </c>
      <c r="V14" s="12">
        <v>529056.21600000001</v>
      </c>
      <c r="W14" s="32">
        <v>623173.696</v>
      </c>
      <c r="X14" s="32">
        <v>627287.87600000005</v>
      </c>
      <c r="Y14" s="32">
        <v>642472.87600000005</v>
      </c>
      <c r="Z14" s="32">
        <v>691027.21100000001</v>
      </c>
      <c r="AA14" s="32">
        <v>473669.94799999997</v>
      </c>
      <c r="AB14" s="32">
        <v>823649.79</v>
      </c>
      <c r="AC14" s="32">
        <v>929550</v>
      </c>
      <c r="AD14" s="12">
        <v>887510.96499999997</v>
      </c>
      <c r="AE14" s="12">
        <v>855700.23899999994</v>
      </c>
      <c r="AF14" s="12">
        <v>814603.57700000005</v>
      </c>
      <c r="AG14" s="12">
        <v>812621.86800000002</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5805+51543</f>
        <v>57348</v>
      </c>
      <c r="C15" s="12">
        <f>6778+52526</f>
        <v>59304</v>
      </c>
      <c r="D15" s="12">
        <f>7940+58835</f>
        <v>66775</v>
      </c>
      <c r="E15" s="12"/>
      <c r="F15" s="12"/>
      <c r="G15" s="12"/>
      <c r="H15" s="12"/>
      <c r="I15" s="12">
        <v>119647.66899999999</v>
      </c>
      <c r="J15" s="32">
        <v>129193.44100000001</v>
      </c>
      <c r="K15" s="12">
        <v>139288.78599999999</v>
      </c>
      <c r="L15" s="12">
        <v>150356.74100000001</v>
      </c>
      <c r="M15" s="12">
        <v>155008.60399999999</v>
      </c>
      <c r="N15" s="12">
        <v>153572.04500000001</v>
      </c>
      <c r="O15" s="12">
        <v>117470.817</v>
      </c>
      <c r="P15" s="12"/>
      <c r="Q15" s="12"/>
      <c r="R15" s="34">
        <v>224428.753</v>
      </c>
      <c r="S15" s="12">
        <v>278086.58799999999</v>
      </c>
      <c r="T15" s="82">
        <v>353517.76299999998</v>
      </c>
      <c r="U15" s="12">
        <v>373987.23700000002</v>
      </c>
      <c r="V15" s="12">
        <v>381583.45400000003</v>
      </c>
      <c r="W15" s="32">
        <v>410169.712</v>
      </c>
      <c r="X15" s="32">
        <v>426212.946</v>
      </c>
      <c r="Y15" s="32">
        <v>487166.08100000001</v>
      </c>
      <c r="Z15" s="32">
        <v>446104.71500000003</v>
      </c>
      <c r="AA15" s="32">
        <v>413741.30599999998</v>
      </c>
      <c r="AB15" s="32">
        <v>532609.152</v>
      </c>
      <c r="AC15" s="32">
        <v>529241</v>
      </c>
      <c r="AD15" s="12">
        <v>488308.20799999998</v>
      </c>
      <c r="AE15" s="12">
        <v>418553.08299999998</v>
      </c>
      <c r="AF15" s="12">
        <v>395276.45699999999</v>
      </c>
      <c r="AG15" s="12">
        <v>410077.55599999998</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63413+75483</f>
        <v>138896</v>
      </c>
      <c r="C16" s="20">
        <f>88270+79573</f>
        <v>167843</v>
      </c>
      <c r="D16" s="20">
        <f>85246+85488</f>
        <v>170734</v>
      </c>
      <c r="E16" s="20"/>
      <c r="F16" s="20"/>
      <c r="G16" s="20"/>
      <c r="H16" s="20"/>
      <c r="I16" s="20">
        <v>253005.52799999999</v>
      </c>
      <c r="J16" s="33">
        <v>288768.84999999998</v>
      </c>
      <c r="K16" s="20">
        <v>335844.75400000002</v>
      </c>
      <c r="L16" s="20">
        <v>362704.44799999997</v>
      </c>
      <c r="M16" s="20">
        <v>390622.21500000003</v>
      </c>
      <c r="N16" s="20">
        <v>406028.40399999998</v>
      </c>
      <c r="O16" s="20">
        <v>370101.46899999998</v>
      </c>
      <c r="P16" s="20"/>
      <c r="Q16" s="20"/>
      <c r="R16" s="66">
        <v>501284.31099999999</v>
      </c>
      <c r="S16" s="20">
        <v>561505.39599999995</v>
      </c>
      <c r="T16" s="82">
        <v>681496.55900000001</v>
      </c>
      <c r="U16" s="20">
        <v>719330.93700000003</v>
      </c>
      <c r="V16" s="20">
        <v>791948.49800000002</v>
      </c>
      <c r="W16" s="33">
        <v>830217.62600000005</v>
      </c>
      <c r="X16" s="33">
        <v>857200.15300000005</v>
      </c>
      <c r="Y16" s="33">
        <v>874470.777</v>
      </c>
      <c r="Z16" s="33">
        <v>906379.33799999999</v>
      </c>
      <c r="AA16" s="33">
        <v>982805.78300000005</v>
      </c>
      <c r="AB16" s="33">
        <v>1191811.567</v>
      </c>
      <c r="AC16" s="33">
        <v>1302477</v>
      </c>
      <c r="AD16" s="20">
        <v>1281397.182</v>
      </c>
      <c r="AE16" s="20">
        <v>1275031.388</v>
      </c>
      <c r="AF16" s="20">
        <v>1320208.2749999999</v>
      </c>
      <c r="AG16" s="20">
        <v>1369505.267</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v>57249</v>
      </c>
      <c r="C17" s="20">
        <v>58555</v>
      </c>
      <c r="D17" s="20">
        <f>0+64763</f>
        <v>64763</v>
      </c>
      <c r="E17" s="20"/>
      <c r="F17" s="20"/>
      <c r="G17" s="20"/>
      <c r="H17" s="20"/>
      <c r="I17" s="20">
        <v>105041.329</v>
      </c>
      <c r="J17" s="33">
        <v>121702.753</v>
      </c>
      <c r="K17" s="20">
        <v>124425.783</v>
      </c>
      <c r="L17" s="20">
        <v>135181.66899999999</v>
      </c>
      <c r="M17" s="20">
        <v>132830.29999999999</v>
      </c>
      <c r="N17" s="20">
        <v>137249.94500000001</v>
      </c>
      <c r="O17" s="20">
        <v>101794.75620999999</v>
      </c>
      <c r="P17" s="20"/>
      <c r="Q17" s="20"/>
      <c r="R17" s="66">
        <v>193269.32</v>
      </c>
      <c r="S17" s="20">
        <v>212665.905</v>
      </c>
      <c r="T17" s="82">
        <v>260750.571</v>
      </c>
      <c r="U17" s="20">
        <v>283389.18800000002</v>
      </c>
      <c r="V17" s="20">
        <v>324720.85399999999</v>
      </c>
      <c r="W17" s="33">
        <v>337645.33799999999</v>
      </c>
      <c r="X17" s="33">
        <v>330184.39600000001</v>
      </c>
      <c r="Y17" s="33">
        <v>339231.386</v>
      </c>
      <c r="Z17" s="33">
        <v>377530.49800000002</v>
      </c>
      <c r="AA17" s="33">
        <v>260876.783</v>
      </c>
      <c r="AB17" s="33">
        <v>388487.114</v>
      </c>
      <c r="AC17" s="33">
        <v>423012</v>
      </c>
      <c r="AD17" s="20">
        <v>411177.26400000002</v>
      </c>
      <c r="AE17" s="20">
        <v>408839.10200000001</v>
      </c>
      <c r="AF17" s="20">
        <v>401437.08799999999</v>
      </c>
      <c r="AG17" s="20">
        <v>390403.42099999997</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28527+22752</f>
        <v>51279</v>
      </c>
      <c r="C18" s="20">
        <f>29258+26588</f>
        <v>55846</v>
      </c>
      <c r="D18" s="20">
        <f>34158+31488</f>
        <v>65646</v>
      </c>
      <c r="E18" s="20"/>
      <c r="F18" s="20"/>
      <c r="G18" s="20"/>
      <c r="H18" s="20"/>
      <c r="I18" s="20">
        <v>100164.88</v>
      </c>
      <c r="J18" s="33">
        <v>114707.427</v>
      </c>
      <c r="K18" s="20">
        <v>131264.804</v>
      </c>
      <c r="L18" s="20">
        <v>142438.905</v>
      </c>
      <c r="M18" s="20">
        <v>163819.228</v>
      </c>
      <c r="N18" s="20">
        <v>164440.40900000001</v>
      </c>
      <c r="O18" s="20">
        <v>138060.85500000001</v>
      </c>
      <c r="P18" s="20"/>
      <c r="Q18" s="20"/>
      <c r="R18" s="66">
        <v>219833.30600000001</v>
      </c>
      <c r="S18" s="20">
        <v>248069.46799999999</v>
      </c>
      <c r="T18" s="82">
        <v>274373.68</v>
      </c>
      <c r="U18" s="20">
        <v>323366.21100000001</v>
      </c>
      <c r="V18" s="20">
        <v>350336.07</v>
      </c>
      <c r="W18" s="33">
        <v>360192.62099999998</v>
      </c>
      <c r="X18" s="33">
        <v>366256.52600000001</v>
      </c>
      <c r="Y18" s="33">
        <v>354816.32500000001</v>
      </c>
      <c r="Z18" s="33">
        <v>381723.85600000003</v>
      </c>
      <c r="AA18" s="33">
        <v>282282.38699999999</v>
      </c>
      <c r="AB18" s="33">
        <v>494299.47</v>
      </c>
      <c r="AC18" s="33">
        <v>528785</v>
      </c>
      <c r="AD18" s="20">
        <v>501771.16</v>
      </c>
      <c r="AE18" s="20">
        <v>492494.58600000001</v>
      </c>
      <c r="AF18" s="20">
        <v>480239.29100000003</v>
      </c>
      <c r="AG18" s="20">
        <v>491486.783</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28123+47278</f>
        <v>75401</v>
      </c>
      <c r="C19" s="20">
        <f>30740+50382</f>
        <v>81122</v>
      </c>
      <c r="D19" s="20">
        <f>37518+55334</f>
        <v>92852</v>
      </c>
      <c r="E19" s="20"/>
      <c r="F19" s="20"/>
      <c r="G19" s="20"/>
      <c r="H19" s="20"/>
      <c r="I19" s="20">
        <v>132064.61799999999</v>
      </c>
      <c r="J19" s="33">
        <v>151587.79199999999</v>
      </c>
      <c r="K19" s="20">
        <v>166408.397</v>
      </c>
      <c r="L19" s="20">
        <v>168480.44500000001</v>
      </c>
      <c r="M19" s="20">
        <v>164870.875</v>
      </c>
      <c r="N19" s="20">
        <v>164614.36300000001</v>
      </c>
      <c r="O19" s="20">
        <v>125361.14038</v>
      </c>
      <c r="P19" s="20"/>
      <c r="Q19" s="20"/>
      <c r="R19" s="90">
        <v>201648.57500000001</v>
      </c>
      <c r="S19" s="20">
        <v>230821.72</v>
      </c>
      <c r="T19" s="82">
        <v>275027.68900000001</v>
      </c>
      <c r="U19" s="20">
        <v>325049.05</v>
      </c>
      <c r="V19" s="20">
        <v>347090.58299999998</v>
      </c>
      <c r="W19" s="33">
        <v>304894.92700000003</v>
      </c>
      <c r="X19" s="33">
        <v>398753.03200000001</v>
      </c>
      <c r="Y19" s="33">
        <v>419139.30300000001</v>
      </c>
      <c r="Z19" s="33">
        <v>425928.37</v>
      </c>
      <c r="AA19" s="33">
        <v>478710.03700000001</v>
      </c>
      <c r="AB19" s="33">
        <v>670607.83400000003</v>
      </c>
      <c r="AC19" s="33">
        <v>656483</v>
      </c>
      <c r="AD19" s="20">
        <v>622936.79299999995</v>
      </c>
      <c r="AE19" s="20">
        <v>582704.69400000002</v>
      </c>
      <c r="AF19" s="20">
        <v>554348.84499999997</v>
      </c>
      <c r="AG19" s="20">
        <v>538796.45700000005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96255+167334</f>
        <v>263589</v>
      </c>
      <c r="C20" s="20">
        <f>105356+191921</f>
        <v>297277</v>
      </c>
      <c r="D20" s="20">
        <f>119164+218260</f>
        <v>337424</v>
      </c>
      <c r="E20" s="20"/>
      <c r="F20" s="20"/>
      <c r="G20" s="20"/>
      <c r="H20" s="20"/>
      <c r="I20" s="20">
        <v>577008.85800000001</v>
      </c>
      <c r="J20" s="33">
        <v>668760.549</v>
      </c>
      <c r="K20" s="20">
        <v>741272.076</v>
      </c>
      <c r="L20" s="20">
        <v>764259.04</v>
      </c>
      <c r="M20" s="20">
        <v>816728.08</v>
      </c>
      <c r="N20" s="20">
        <v>876810.03899999999</v>
      </c>
      <c r="O20" s="20">
        <v>781198.86699999997</v>
      </c>
      <c r="P20" s="20"/>
      <c r="Q20" s="20"/>
      <c r="R20" s="66">
        <v>1074580.831</v>
      </c>
      <c r="S20" s="20">
        <v>1288928.297</v>
      </c>
      <c r="T20" s="82">
        <v>1576983.9169999999</v>
      </c>
      <c r="U20" s="20">
        <v>1791579.23</v>
      </c>
      <c r="V20" s="20">
        <v>2011792.7790000001</v>
      </c>
      <c r="W20" s="33">
        <v>2269007.5690000001</v>
      </c>
      <c r="X20" s="33">
        <v>2082690.4609999999</v>
      </c>
      <c r="Y20" s="33">
        <v>2025691.62</v>
      </c>
      <c r="Z20" s="33">
        <v>2144450.0389999999</v>
      </c>
      <c r="AA20" s="33">
        <v>1587793.513</v>
      </c>
      <c r="AB20" s="33">
        <v>2914361.4989999998</v>
      </c>
      <c r="AC20" s="33">
        <v>2956857</v>
      </c>
      <c r="AD20" s="20">
        <v>2688669.3139999998</v>
      </c>
      <c r="AE20" s="20">
        <v>2067523.341</v>
      </c>
      <c r="AF20" s="20">
        <v>1984138.4580000001</v>
      </c>
      <c r="AG20" s="20">
        <v>2066920.55</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69642+55227</f>
        <v>124869</v>
      </c>
      <c r="C21" s="20">
        <f>76340+57840</f>
        <v>134180</v>
      </c>
      <c r="D21" s="20">
        <f>87625+67922</f>
        <v>155547</v>
      </c>
      <c r="E21" s="20"/>
      <c r="F21" s="20"/>
      <c r="G21" s="20"/>
      <c r="H21" s="20"/>
      <c r="I21" s="20">
        <v>234424.27</v>
      </c>
      <c r="J21" s="33">
        <v>253128.14799999999</v>
      </c>
      <c r="K21" s="20">
        <v>275639.68099999998</v>
      </c>
      <c r="L21" s="20">
        <v>288232.69099999999</v>
      </c>
      <c r="M21" s="20">
        <v>303892.19900000002</v>
      </c>
      <c r="N21" s="20">
        <v>303648.96000000002</v>
      </c>
      <c r="O21" s="20">
        <v>317042.777</v>
      </c>
      <c r="P21" s="20"/>
      <c r="Q21" s="20"/>
      <c r="R21" s="66">
        <v>382937.08899999998</v>
      </c>
      <c r="S21" s="20">
        <v>447503.07199999999</v>
      </c>
      <c r="T21" s="82">
        <v>535765.97499999998</v>
      </c>
      <c r="U21" s="20">
        <v>638849.51599999995</v>
      </c>
      <c r="V21" s="20">
        <v>691920.81</v>
      </c>
      <c r="W21" s="33">
        <v>753116.18900000001</v>
      </c>
      <c r="X21" s="33">
        <v>727803.65399999998</v>
      </c>
      <c r="Y21" s="33">
        <v>709789.19200000004</v>
      </c>
      <c r="Z21" s="33">
        <v>761858.67099999997</v>
      </c>
      <c r="AA21" s="33">
        <v>814640.83700000006</v>
      </c>
      <c r="AB21" s="33">
        <v>910745.65700000001</v>
      </c>
      <c r="AC21" s="33">
        <v>981426</v>
      </c>
      <c r="AD21" s="20">
        <v>964526.71200000006</v>
      </c>
      <c r="AE21" s="20">
        <v>979548.85100000002</v>
      </c>
      <c r="AF21" s="20">
        <v>960807.272</v>
      </c>
      <c r="AG21" s="20">
        <v>967605.49600000004</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21244+14199</f>
        <v>35443</v>
      </c>
      <c r="C22" s="51">
        <f>17771+14900</f>
        <v>32671</v>
      </c>
      <c r="D22" s="51">
        <f>20063+16436</f>
        <v>36499</v>
      </c>
      <c r="E22" s="51"/>
      <c r="F22" s="51"/>
      <c r="G22" s="51"/>
      <c r="H22" s="51"/>
      <c r="I22" s="51">
        <v>54568.553999999996</v>
      </c>
      <c r="J22" s="50">
        <v>70667.244000000006</v>
      </c>
      <c r="K22" s="51">
        <v>77842.135999999999</v>
      </c>
      <c r="L22" s="51">
        <v>81032.929000000004</v>
      </c>
      <c r="M22" s="51">
        <v>84564.865000000005</v>
      </c>
      <c r="N22" s="51">
        <v>89019.909</v>
      </c>
      <c r="O22" s="51">
        <v>72878.524999999994</v>
      </c>
      <c r="P22" s="51"/>
      <c r="Q22" s="51"/>
      <c r="R22" s="51">
        <v>109230.11199999999</v>
      </c>
      <c r="S22" s="51">
        <v>123981.33199999999</v>
      </c>
      <c r="T22" s="113">
        <v>154007.41</v>
      </c>
      <c r="U22" s="51">
        <v>181321.198</v>
      </c>
      <c r="V22" s="51">
        <v>185711.24100000001</v>
      </c>
      <c r="W22" s="50">
        <v>193180.94200000001</v>
      </c>
      <c r="X22" s="50">
        <v>185267.22099999999</v>
      </c>
      <c r="Y22" s="50">
        <v>182634.98</v>
      </c>
      <c r="Z22" s="50">
        <v>188367.965</v>
      </c>
      <c r="AA22" s="50">
        <v>191014.43799999999</v>
      </c>
      <c r="AB22" s="50">
        <v>232886.51699999999</v>
      </c>
      <c r="AC22" s="50">
        <v>264440</v>
      </c>
      <c r="AD22" s="51">
        <v>232949.65599999999</v>
      </c>
      <c r="AE22" s="51">
        <v>214065.83199999999</v>
      </c>
      <c r="AF22" s="51">
        <v>206888.73</v>
      </c>
      <c r="AG22" s="51">
        <v>195740.62700000001</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2918207.6880000001</v>
      </c>
      <c r="M23" s="104">
        <f>SUM(M25:M37)</f>
        <v>3525113.2379999999</v>
      </c>
      <c r="O23" s="104">
        <f>SUM(O25:O37)</f>
        <v>3320696.9965599994</v>
      </c>
      <c r="R23" s="104">
        <f t="shared" ref="R23:AG23" si="12">SUM(R25:R37)</f>
        <v>4956429.1220000004</v>
      </c>
      <c r="S23" s="104">
        <f t="shared" si="12"/>
        <v>5432633.4509999994</v>
      </c>
      <c r="T23" s="104">
        <f t="shared" si="12"/>
        <v>5934055.0889999988</v>
      </c>
      <c r="U23" s="104">
        <f t="shared" si="12"/>
        <v>6738675.7370000007</v>
      </c>
      <c r="V23" s="104">
        <f t="shared" si="12"/>
        <v>7112311.2750000004</v>
      </c>
      <c r="W23" s="104">
        <f t="shared" si="12"/>
        <v>7724379.4389999993</v>
      </c>
      <c r="X23" s="104">
        <f t="shared" si="12"/>
        <v>7848716.3229999999</v>
      </c>
      <c r="Y23" s="104">
        <f t="shared" si="12"/>
        <v>8018707.051</v>
      </c>
      <c r="Z23" s="104">
        <f t="shared" si="12"/>
        <v>8165280.0150000006</v>
      </c>
      <c r="AA23" s="104">
        <f t="shared" si="12"/>
        <v>7867394.1429999983</v>
      </c>
      <c r="AB23" s="104">
        <f t="shared" si="12"/>
        <v>9934496.5099999998</v>
      </c>
      <c r="AC23" s="104">
        <f t="shared" si="12"/>
        <v>10849946</v>
      </c>
      <c r="AD23" s="104">
        <f t="shared" si="12"/>
        <v>10654646.489</v>
      </c>
      <c r="AE23" s="104">
        <f t="shared" si="12"/>
        <v>10500075.395</v>
      </c>
      <c r="AF23" s="104">
        <f t="shared" si="12"/>
        <v>10386750.367999999</v>
      </c>
      <c r="AG23" s="104">
        <f t="shared" si="12"/>
        <v>10435583.103</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T24" s="115"/>
      <c r="W24" s="91"/>
      <c r="X24" s="91"/>
      <c r="Y24" s="91"/>
      <c r="Z24" s="91"/>
      <c r="AA24" s="91"/>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43806.485000000001</v>
      </c>
      <c r="K25" s="20"/>
      <c r="L25" s="20"/>
      <c r="M25" s="20">
        <v>56657.18</v>
      </c>
      <c r="N25" s="20"/>
      <c r="O25" s="20">
        <v>46764.294000000002</v>
      </c>
      <c r="P25" s="20"/>
      <c r="Q25" s="20"/>
      <c r="R25" s="66">
        <v>69579.562999999995</v>
      </c>
      <c r="S25" s="20">
        <v>79811.28</v>
      </c>
      <c r="T25" s="82">
        <v>100915.99</v>
      </c>
      <c r="U25" s="20">
        <v>117155.78</v>
      </c>
      <c r="V25" s="20">
        <v>133765.30600000001</v>
      </c>
      <c r="W25" s="33">
        <v>138333.19899999999</v>
      </c>
      <c r="X25" s="33">
        <v>142407.11900000001</v>
      </c>
      <c r="Y25" s="33">
        <v>141431.087</v>
      </c>
      <c r="Z25" s="33">
        <v>138181.97399999999</v>
      </c>
      <c r="AA25" s="33">
        <v>137951.264</v>
      </c>
      <c r="AB25" s="33">
        <v>136877.33799999999</v>
      </c>
      <c r="AC25" s="33">
        <v>132086</v>
      </c>
      <c r="AD25" s="20">
        <v>85627.827999999994</v>
      </c>
      <c r="AE25" s="20">
        <v>145946.027</v>
      </c>
      <c r="AF25" s="20">
        <v>141386.17199999999</v>
      </c>
      <c r="AG25" s="20">
        <v>140778.375</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215444.49900000001</v>
      </c>
      <c r="K26" s="20"/>
      <c r="L26" s="20"/>
      <c r="M26" s="20">
        <v>285537.88199999998</v>
      </c>
      <c r="N26" s="20"/>
      <c r="O26" s="20">
        <v>238286.96799999999</v>
      </c>
      <c r="P26" s="20"/>
      <c r="Q26" s="20"/>
      <c r="R26" s="66">
        <v>332969.67099999997</v>
      </c>
      <c r="S26" s="20">
        <v>369907.11900000001</v>
      </c>
      <c r="T26" s="82">
        <v>410453</v>
      </c>
      <c r="U26" s="20">
        <v>481125.42200000002</v>
      </c>
      <c r="V26" s="20">
        <v>526454.84499999997</v>
      </c>
      <c r="W26" s="33">
        <v>565616.91399999999</v>
      </c>
      <c r="X26" s="33">
        <v>558951.45299999998</v>
      </c>
      <c r="Y26" s="33">
        <v>565695.04200000002</v>
      </c>
      <c r="Z26" s="33">
        <v>586101.375</v>
      </c>
      <c r="AA26" s="33">
        <v>613943.973</v>
      </c>
      <c r="AB26" s="33">
        <v>733991.33299999998</v>
      </c>
      <c r="AC26" s="33">
        <v>827955</v>
      </c>
      <c r="AD26" s="20">
        <v>849355.51699999999</v>
      </c>
      <c r="AE26" s="20">
        <v>846444.64800000004</v>
      </c>
      <c r="AF26" s="20">
        <v>810590.92099999997</v>
      </c>
      <c r="AG26" s="20">
        <v>790226.23699999996</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1215838.409</v>
      </c>
      <c r="K27" s="20"/>
      <c r="L27" s="20"/>
      <c r="M27" s="20">
        <v>1450016.416</v>
      </c>
      <c r="N27" s="20"/>
      <c r="O27" s="20">
        <v>1375214.82</v>
      </c>
      <c r="P27" s="20"/>
      <c r="Q27" s="20"/>
      <c r="R27" s="66">
        <v>2231690.5350000001</v>
      </c>
      <c r="S27" s="20">
        <v>2419773.8319999999</v>
      </c>
      <c r="T27" s="82">
        <v>2443397.8709999998</v>
      </c>
      <c r="U27" s="20">
        <v>2750981.2379999999</v>
      </c>
      <c r="V27" s="20">
        <v>3004933.9989999998</v>
      </c>
      <c r="W27" s="33">
        <v>3124191.1770000001</v>
      </c>
      <c r="X27" s="33">
        <v>3203147.21</v>
      </c>
      <c r="Y27" s="33">
        <v>3293900.165</v>
      </c>
      <c r="Z27" s="33">
        <v>3377418.4330000002</v>
      </c>
      <c r="AA27" s="33">
        <v>3181241.84</v>
      </c>
      <c r="AB27" s="33">
        <v>4127773.75</v>
      </c>
      <c r="AC27" s="33">
        <v>4542714</v>
      </c>
      <c r="AD27" s="20">
        <v>4531568.4280000003</v>
      </c>
      <c r="AE27" s="20">
        <v>4446256.8739999998</v>
      </c>
      <c r="AF27" s="20">
        <v>4449378.4560000002</v>
      </c>
      <c r="AG27" s="20">
        <v>4526601.04</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285035.73</v>
      </c>
      <c r="K28" s="20"/>
      <c r="L28" s="20"/>
      <c r="M28" s="20">
        <v>369021.016</v>
      </c>
      <c r="N28" s="20"/>
      <c r="O28" s="20">
        <v>349737.46174</v>
      </c>
      <c r="P28" s="20"/>
      <c r="Q28" s="20"/>
      <c r="R28" s="66">
        <v>544222.75</v>
      </c>
      <c r="S28" s="20">
        <v>586129.49800000002</v>
      </c>
      <c r="T28" s="82">
        <v>600699.18400000001</v>
      </c>
      <c r="U28" s="20">
        <v>671955.41200000001</v>
      </c>
      <c r="V28" s="20">
        <v>518772.891</v>
      </c>
      <c r="W28" s="33">
        <v>795969.38</v>
      </c>
      <c r="X28" s="33">
        <v>795137.98800000001</v>
      </c>
      <c r="Y28" s="33">
        <v>809001.04799999995</v>
      </c>
      <c r="Z28" s="33">
        <v>814625.71200000006</v>
      </c>
      <c r="AA28" s="33">
        <v>860397.89800000004</v>
      </c>
      <c r="AB28" s="33">
        <v>1005781.936</v>
      </c>
      <c r="AC28" s="33">
        <v>1100934</v>
      </c>
      <c r="AD28" s="20">
        <v>1092813.0009999999</v>
      </c>
      <c r="AE28" s="20">
        <v>1042541.123</v>
      </c>
      <c r="AF28" s="20">
        <v>1036772.948</v>
      </c>
      <c r="AG28" s="20">
        <v>1066008.8689999999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80037.726999999999</v>
      </c>
      <c r="K29" s="20"/>
      <c r="L29" s="20"/>
      <c r="M29" s="20">
        <v>100281.93</v>
      </c>
      <c r="N29" s="20"/>
      <c r="O29" s="20">
        <v>100742.84699999999</v>
      </c>
      <c r="P29" s="20"/>
      <c r="Q29" s="20"/>
      <c r="R29" s="66">
        <v>117487.74099999999</v>
      </c>
      <c r="S29" s="20">
        <v>181595.79</v>
      </c>
      <c r="T29" s="82">
        <v>160651.658</v>
      </c>
      <c r="U29" s="20">
        <v>195561.68299999999</v>
      </c>
      <c r="V29" s="20">
        <v>231858.84</v>
      </c>
      <c r="W29" s="33">
        <v>242554.296</v>
      </c>
      <c r="X29" s="33">
        <v>255019.367</v>
      </c>
      <c r="Y29" s="33">
        <v>255431.41699999999</v>
      </c>
      <c r="Z29" s="33">
        <v>255725.101</v>
      </c>
      <c r="AA29" s="33">
        <v>256091.761</v>
      </c>
      <c r="AB29" s="33">
        <v>297233.16600000003</v>
      </c>
      <c r="AC29" s="33">
        <v>319520</v>
      </c>
      <c r="AD29" s="20">
        <v>298648.147</v>
      </c>
      <c r="AE29" s="20">
        <v>313058.88699999999</v>
      </c>
      <c r="AF29" s="20">
        <v>312721.69699999999</v>
      </c>
      <c r="AG29" s="20">
        <v>283997.40600000002</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45786.192000000003</v>
      </c>
      <c r="K30" s="20"/>
      <c r="L30" s="20"/>
      <c r="M30" s="20">
        <v>49164.764000000003</v>
      </c>
      <c r="N30" s="20"/>
      <c r="O30" s="20">
        <v>30298.26</v>
      </c>
      <c r="P30" s="20"/>
      <c r="Q30" s="20"/>
      <c r="R30" s="66">
        <v>63544.999000000003</v>
      </c>
      <c r="S30" s="20">
        <v>75653.445000000007</v>
      </c>
      <c r="T30" s="82">
        <v>96627.914000000004</v>
      </c>
      <c r="U30" s="20">
        <v>115280.105</v>
      </c>
      <c r="V30" s="20">
        <v>123512.14200000001</v>
      </c>
      <c r="W30" s="33">
        <v>126100.408</v>
      </c>
      <c r="X30" s="33">
        <v>119741.461</v>
      </c>
      <c r="Y30" s="33">
        <v>119399.129</v>
      </c>
      <c r="Z30" s="33">
        <v>120865.338</v>
      </c>
      <c r="AA30" s="33">
        <v>147546.34</v>
      </c>
      <c r="AB30" s="33">
        <v>181917.345</v>
      </c>
      <c r="AC30" s="33">
        <v>211178</v>
      </c>
      <c r="AD30" s="20">
        <v>197983.33100000001</v>
      </c>
      <c r="AE30" s="20">
        <v>189302.53400000001</v>
      </c>
      <c r="AF30" s="20">
        <v>173104.44</v>
      </c>
      <c r="AG30" s="20">
        <v>169487.573</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46079.082999999999</v>
      </c>
      <c r="K31" s="20"/>
      <c r="L31" s="20"/>
      <c r="M31" s="20">
        <v>57717.610999999997</v>
      </c>
      <c r="N31" s="20"/>
      <c r="O31" s="20">
        <v>54300.91</v>
      </c>
      <c r="P31" s="20"/>
      <c r="Q31" s="20"/>
      <c r="R31" s="90">
        <v>90058.7</v>
      </c>
      <c r="S31" s="20">
        <v>106321.89200000001</v>
      </c>
      <c r="T31" s="82">
        <v>113346.24099999999</v>
      </c>
      <c r="U31" s="20">
        <v>145359.704</v>
      </c>
      <c r="V31" s="20">
        <v>155084.18100000001</v>
      </c>
      <c r="W31" s="33">
        <v>159580.39799999999</v>
      </c>
      <c r="X31" s="33">
        <v>160241.49299999999</v>
      </c>
      <c r="Y31" s="33">
        <v>159290.31700000001</v>
      </c>
      <c r="Z31" s="33">
        <v>161258.967</v>
      </c>
      <c r="AA31" s="33">
        <v>176794.992</v>
      </c>
      <c r="AB31" s="33">
        <v>191501.408</v>
      </c>
      <c r="AC31" s="33">
        <v>198852</v>
      </c>
      <c r="AD31" s="20">
        <v>194681.595</v>
      </c>
      <c r="AE31" s="20">
        <v>177232.25899999999</v>
      </c>
      <c r="AF31" s="20">
        <v>170318.389</v>
      </c>
      <c r="AG31" s="20">
        <v>171138.01800000001</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44255.976000000002</v>
      </c>
      <c r="K32" s="20"/>
      <c r="L32" s="20"/>
      <c r="M32" s="20">
        <v>53930.68</v>
      </c>
      <c r="N32" s="20"/>
      <c r="O32" s="20">
        <v>50998.89</v>
      </c>
      <c r="P32" s="20"/>
      <c r="Q32" s="20"/>
      <c r="R32" s="92">
        <v>70255.990000000005</v>
      </c>
      <c r="S32" s="20">
        <v>81314.146999999997</v>
      </c>
      <c r="T32" s="82">
        <v>105417.535</v>
      </c>
      <c r="U32" s="20">
        <v>122153.62699999999</v>
      </c>
      <c r="V32" s="20">
        <v>148203.18700000001</v>
      </c>
      <c r="W32" s="33">
        <v>162873.766</v>
      </c>
      <c r="X32" s="33">
        <v>178432.45</v>
      </c>
      <c r="Y32" s="33">
        <v>177302.848</v>
      </c>
      <c r="Z32" s="33">
        <v>200049.36900000001</v>
      </c>
      <c r="AA32" s="33">
        <v>171594.209</v>
      </c>
      <c r="AB32" s="33">
        <v>235017.74</v>
      </c>
      <c r="AC32" s="33">
        <v>189459</v>
      </c>
      <c r="AD32" s="20">
        <v>182381.50399999999</v>
      </c>
      <c r="AE32" s="20">
        <v>192493.834</v>
      </c>
      <c r="AF32" s="20">
        <v>191483.29800000001</v>
      </c>
      <c r="AG32" s="20">
        <v>189181.92300000001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151122.39799999999</v>
      </c>
      <c r="K33" s="20"/>
      <c r="L33" s="20"/>
      <c r="M33" s="20">
        <v>202867.397</v>
      </c>
      <c r="N33" s="20"/>
      <c r="O33" s="20">
        <v>178350.76781999998</v>
      </c>
      <c r="P33" s="20"/>
      <c r="Q33" s="20"/>
      <c r="R33" s="92">
        <v>222476.59299999999</v>
      </c>
      <c r="S33" s="20">
        <v>265233.61800000002</v>
      </c>
      <c r="T33" s="82">
        <v>330753.95299999998</v>
      </c>
      <c r="U33" s="20">
        <v>359052.92800000001</v>
      </c>
      <c r="V33" s="20">
        <v>369737.96100000001</v>
      </c>
      <c r="W33" s="33">
        <v>426733.85399999999</v>
      </c>
      <c r="X33" s="33">
        <v>427604.78</v>
      </c>
      <c r="Y33" s="33">
        <v>467128.54499999998</v>
      </c>
      <c r="Z33" s="33">
        <v>415678.47100000002</v>
      </c>
      <c r="AA33" s="33">
        <v>423739.14</v>
      </c>
      <c r="AB33" s="33">
        <v>471751.83600000001</v>
      </c>
      <c r="AC33" s="33">
        <v>484233</v>
      </c>
      <c r="AD33" s="20">
        <v>443691.44900000002</v>
      </c>
      <c r="AE33" s="20">
        <v>429161.658</v>
      </c>
      <c r="AF33" s="20">
        <v>438156.80800000002</v>
      </c>
      <c r="AG33" s="20">
        <v>436475.88400000002</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182383.717</v>
      </c>
      <c r="K34" s="20"/>
      <c r="L34" s="20"/>
      <c r="M34" s="20">
        <v>227770.43400000001</v>
      </c>
      <c r="N34" s="20"/>
      <c r="O34" s="20">
        <v>244042.85399999999</v>
      </c>
      <c r="P34" s="20"/>
      <c r="Q34" s="20"/>
      <c r="R34" s="66">
        <v>359466.34100000001</v>
      </c>
      <c r="S34" s="20">
        <v>323614.89199999999</v>
      </c>
      <c r="T34" s="82">
        <v>491609.092</v>
      </c>
      <c r="U34" s="20">
        <v>516566.527</v>
      </c>
      <c r="V34" s="20">
        <v>518413.85700000002</v>
      </c>
      <c r="W34" s="33">
        <v>562317.63699999999</v>
      </c>
      <c r="X34" s="33">
        <v>568573.03899999999</v>
      </c>
      <c r="Y34" s="33">
        <v>576416.86300000001</v>
      </c>
      <c r="Z34" s="33">
        <v>603931.09</v>
      </c>
      <c r="AA34" s="33">
        <v>353347.29499999998</v>
      </c>
      <c r="AB34" s="33">
        <v>723765.45400000003</v>
      </c>
      <c r="AC34" s="33">
        <v>704932</v>
      </c>
      <c r="AD34" s="20">
        <v>740231.81799999997</v>
      </c>
      <c r="AE34" s="20">
        <v>725471.45299999998</v>
      </c>
      <c r="AF34" s="20">
        <v>728074.05700000003</v>
      </c>
      <c r="AG34" s="20">
        <v>727567.17</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190498.747</v>
      </c>
      <c r="K35" s="20"/>
      <c r="L35" s="20"/>
      <c r="M35" s="20">
        <v>193942.84099999999</v>
      </c>
      <c r="N35" s="20"/>
      <c r="O35" s="20">
        <v>179494.141</v>
      </c>
      <c r="P35" s="20"/>
      <c r="Q35" s="20"/>
      <c r="R35" s="66">
        <v>249122.80600000001</v>
      </c>
      <c r="S35" s="20">
        <v>286455.78999999998</v>
      </c>
      <c r="T35" s="82">
        <v>332080.01</v>
      </c>
      <c r="U35" s="20">
        <v>377350.163</v>
      </c>
      <c r="V35" s="20">
        <v>413107.20000000001</v>
      </c>
      <c r="W35" s="33">
        <v>402375.391</v>
      </c>
      <c r="X35" s="33">
        <v>402381.908</v>
      </c>
      <c r="Y35" s="33">
        <v>395617.217</v>
      </c>
      <c r="Z35" s="33">
        <v>390181.89299999998</v>
      </c>
      <c r="AA35" s="33">
        <v>432147.886</v>
      </c>
      <c r="AB35" s="33">
        <v>535631.79700000002</v>
      </c>
      <c r="AC35" s="33">
        <v>689992</v>
      </c>
      <c r="AD35" s="20">
        <v>637808.35800000001</v>
      </c>
      <c r="AE35" s="20">
        <v>583787.58299999998</v>
      </c>
      <c r="AF35" s="20">
        <v>569754.62</v>
      </c>
      <c r="AG35" s="20">
        <v>580019.41899999999</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398274.87300000002</v>
      </c>
      <c r="K36" s="20"/>
      <c r="L36" s="20"/>
      <c r="M36" s="20">
        <v>457205.39500000002</v>
      </c>
      <c r="N36" s="20"/>
      <c r="O36" s="20">
        <v>454838.44199999998</v>
      </c>
      <c r="P36" s="20"/>
      <c r="Q36" s="20"/>
      <c r="R36" s="66">
        <v>581033.21200000006</v>
      </c>
      <c r="S36" s="20">
        <v>632511.28700000001</v>
      </c>
      <c r="T36" s="82">
        <v>717518.875</v>
      </c>
      <c r="U36" s="20">
        <v>842078.47400000005</v>
      </c>
      <c r="V36" s="20">
        <v>925333.12800000003</v>
      </c>
      <c r="W36" s="33">
        <v>972316.62300000002</v>
      </c>
      <c r="X36" s="33">
        <v>992070.61600000004</v>
      </c>
      <c r="Y36" s="33">
        <v>1011465.657</v>
      </c>
      <c r="Z36" s="33">
        <v>1050565.649</v>
      </c>
      <c r="AA36" s="33">
        <v>1062006.0349999999</v>
      </c>
      <c r="AB36" s="33">
        <v>1235654.02</v>
      </c>
      <c r="AC36" s="33">
        <v>1375363</v>
      </c>
      <c r="AD36" s="20">
        <v>1359283.4809999999</v>
      </c>
      <c r="AE36" s="20">
        <v>1349163.324</v>
      </c>
      <c r="AF36" s="20">
        <v>1309641.3629999999</v>
      </c>
      <c r="AG36" s="20">
        <v>1295662.4850000001</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19643.851999999999</v>
      </c>
      <c r="K37" s="51"/>
      <c r="L37" s="51"/>
      <c r="M37" s="51">
        <v>20999.691999999999</v>
      </c>
      <c r="N37" s="51"/>
      <c r="O37" s="51">
        <v>17626.341</v>
      </c>
      <c r="P37" s="51"/>
      <c r="Q37" s="51"/>
      <c r="R37" s="67">
        <v>24520.221000000001</v>
      </c>
      <c r="S37" s="51">
        <v>24310.861000000001</v>
      </c>
      <c r="T37" s="113">
        <v>30583.766</v>
      </c>
      <c r="U37" s="51">
        <v>44054.673999999999</v>
      </c>
      <c r="V37" s="51">
        <v>43133.737999999998</v>
      </c>
      <c r="W37" s="50">
        <v>45416.396000000001</v>
      </c>
      <c r="X37" s="50">
        <v>45007.438999999998</v>
      </c>
      <c r="Y37" s="50">
        <v>46627.716</v>
      </c>
      <c r="Z37" s="50">
        <v>50696.642999999996</v>
      </c>
      <c r="AA37" s="50">
        <v>50591.51</v>
      </c>
      <c r="AB37" s="50">
        <v>57599.387000000002</v>
      </c>
      <c r="AC37" s="50">
        <v>72728</v>
      </c>
      <c r="AD37" s="51">
        <v>40572.031999999999</v>
      </c>
      <c r="AE37" s="51">
        <v>59215.190999999999</v>
      </c>
      <c r="AF37" s="51">
        <v>55367.199000000001</v>
      </c>
      <c r="AG37" s="51">
        <v>58438.703999999998</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2576155.8969999999</v>
      </c>
      <c r="M38" s="104">
        <f>SUM(M40:M51)</f>
        <v>2869382</v>
      </c>
      <c r="O38" s="104">
        <f>SUM(O40:O51)</f>
        <v>2580555.2568399995</v>
      </c>
      <c r="R38" s="104">
        <f t="shared" ref="R38:AG38" si="13">SUM(R40:R51)</f>
        <v>3565536.7519999999</v>
      </c>
      <c r="S38" s="104">
        <f t="shared" si="13"/>
        <v>4016107.7600000002</v>
      </c>
      <c r="T38" s="104">
        <f t="shared" si="13"/>
        <v>4635249.8140000002</v>
      </c>
      <c r="U38" s="104">
        <f t="shared" si="13"/>
        <v>5171027.7279999992</v>
      </c>
      <c r="V38" s="104">
        <f t="shared" si="13"/>
        <v>5601696.6009999998</v>
      </c>
      <c r="W38" s="104">
        <f t="shared" si="13"/>
        <v>5887621.4579999996</v>
      </c>
      <c r="X38" s="104">
        <f t="shared" si="13"/>
        <v>5999062.9469999997</v>
      </c>
      <c r="Y38" s="104">
        <f t="shared" si="13"/>
        <v>6076578.3639999991</v>
      </c>
      <c r="Z38" s="104">
        <f t="shared" si="13"/>
        <v>6311818.8969999999</v>
      </c>
      <c r="AA38" s="104">
        <f t="shared" si="13"/>
        <v>6483780.7179999994</v>
      </c>
      <c r="AB38" s="104">
        <f t="shared" si="13"/>
        <v>7787799.0719999997</v>
      </c>
      <c r="AC38" s="104">
        <f t="shared" si="13"/>
        <v>8427945</v>
      </c>
      <c r="AD38" s="104">
        <f t="shared" si="13"/>
        <v>8292251.0020000003</v>
      </c>
      <c r="AE38" s="104">
        <f t="shared" si="13"/>
        <v>7970991.3269999996</v>
      </c>
      <c r="AF38" s="104">
        <f t="shared" si="13"/>
        <v>7567130.0269999998</v>
      </c>
      <c r="AG38" s="104">
        <f t="shared" si="13"/>
        <v>7393582.7970000003</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T39" s="115"/>
      <c r="W39" s="91"/>
      <c r="X39" s="91"/>
      <c r="Y39" s="91"/>
      <c r="Z39" s="91"/>
      <c r="AA39" s="91"/>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314145.7</v>
      </c>
      <c r="K40" s="20"/>
      <c r="L40" s="20"/>
      <c r="M40" s="20">
        <v>376082.66200000001</v>
      </c>
      <c r="N40" s="20"/>
      <c r="O40" s="20">
        <v>341785.12800000003</v>
      </c>
      <c r="P40" s="20"/>
      <c r="Q40" s="20"/>
      <c r="R40" s="66">
        <v>500343.32</v>
      </c>
      <c r="S40" s="20">
        <v>556972.61600000004</v>
      </c>
      <c r="T40" s="82">
        <v>619279.59699999995</v>
      </c>
      <c r="U40" s="20">
        <v>723464.96299999999</v>
      </c>
      <c r="V40" s="20">
        <v>748603.56200000003</v>
      </c>
      <c r="W40" s="33">
        <v>809601.06599999999</v>
      </c>
      <c r="X40" s="33">
        <v>809201.22900000005</v>
      </c>
      <c r="Y40" s="33">
        <v>796235.63699999999</v>
      </c>
      <c r="Z40" s="33">
        <v>803118.90700000001</v>
      </c>
      <c r="AA40" s="33">
        <v>843684.49100000004</v>
      </c>
      <c r="AB40" s="33">
        <v>1033031.4570000001</v>
      </c>
      <c r="AC40" s="33">
        <v>1083495</v>
      </c>
      <c r="AD40" s="20">
        <v>1116045.074</v>
      </c>
      <c r="AE40" s="20">
        <v>1082692.068</v>
      </c>
      <c r="AF40" s="20">
        <v>1018243.018</v>
      </c>
      <c r="AG40" s="20">
        <v>984638.15899999999</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209853.79199999999</v>
      </c>
      <c r="K41" s="20"/>
      <c r="L41" s="20"/>
      <c r="M41" s="20">
        <v>239590.77</v>
      </c>
      <c r="N41" s="20"/>
      <c r="O41" s="20">
        <v>201472.478</v>
      </c>
      <c r="P41" s="20"/>
      <c r="Q41" s="20"/>
      <c r="R41" s="66">
        <v>269904.96500000003</v>
      </c>
      <c r="S41" s="20">
        <v>296654.18900000001</v>
      </c>
      <c r="T41" s="82">
        <v>358480.82299999997</v>
      </c>
      <c r="U41" s="20">
        <v>436471.18</v>
      </c>
      <c r="V41" s="20">
        <v>497459.76699999999</v>
      </c>
      <c r="W41" s="33">
        <v>510910.929</v>
      </c>
      <c r="X41" s="33">
        <v>563159.68099999998</v>
      </c>
      <c r="Y41" s="33">
        <v>593391.33400000003</v>
      </c>
      <c r="Z41" s="33">
        <v>638832.04399999999</v>
      </c>
      <c r="AA41" s="33">
        <v>672924.28399999999</v>
      </c>
      <c r="AB41" s="33">
        <v>811285.33</v>
      </c>
      <c r="AC41" s="33">
        <v>894449</v>
      </c>
      <c r="AD41" s="20">
        <v>873556.23</v>
      </c>
      <c r="AE41" s="20">
        <v>798897.13800000004</v>
      </c>
      <c r="AF41" s="20">
        <v>766843.41599999997</v>
      </c>
      <c r="AG41" s="20">
        <v>762602.68099999998</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179547.40700000001</v>
      </c>
      <c r="K42" s="20"/>
      <c r="L42" s="20"/>
      <c r="M42" s="20">
        <v>233865.049</v>
      </c>
      <c r="N42" s="20"/>
      <c r="O42" s="20">
        <v>216520.11499999999</v>
      </c>
      <c r="P42" s="20"/>
      <c r="Q42" s="20"/>
      <c r="R42" s="66">
        <v>276099.87199999997</v>
      </c>
      <c r="S42" s="20">
        <v>297175.886</v>
      </c>
      <c r="T42" s="82">
        <v>398719.78499999997</v>
      </c>
      <c r="U42" s="20">
        <v>386700.565</v>
      </c>
      <c r="V42" s="20">
        <v>417520.58</v>
      </c>
      <c r="W42" s="33">
        <v>435486.87199999997</v>
      </c>
      <c r="X42" s="33">
        <v>438445.49699999997</v>
      </c>
      <c r="Y42" s="33">
        <v>447697.12099999998</v>
      </c>
      <c r="Z42" s="33">
        <v>465922.315</v>
      </c>
      <c r="AA42" s="33">
        <v>477678.26199999999</v>
      </c>
      <c r="AB42" s="33">
        <v>551114.29799999995</v>
      </c>
      <c r="AC42" s="33">
        <v>565312</v>
      </c>
      <c r="AD42" s="20">
        <v>555978.07499999995</v>
      </c>
      <c r="AE42" s="20">
        <v>527689.28799999994</v>
      </c>
      <c r="AF42" s="20">
        <v>493457.35700000002</v>
      </c>
      <c r="AG42" s="20">
        <v>483695.90500000003</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112034.747</v>
      </c>
      <c r="K43" s="20"/>
      <c r="L43" s="20"/>
      <c r="M43" s="20">
        <v>129135.902</v>
      </c>
      <c r="N43" s="20"/>
      <c r="O43" s="20">
        <v>103292.35875</v>
      </c>
      <c r="P43" s="20"/>
      <c r="Q43" s="20"/>
      <c r="R43" s="66">
        <v>161726.62299999999</v>
      </c>
      <c r="S43" s="20">
        <v>184607.796</v>
      </c>
      <c r="T43" s="82">
        <v>238169.73499999999</v>
      </c>
      <c r="U43" s="20">
        <v>278371.821</v>
      </c>
      <c r="V43" s="20">
        <v>304751.973</v>
      </c>
      <c r="W43" s="33">
        <v>323590.24099999998</v>
      </c>
      <c r="X43" s="33">
        <v>332274.23800000001</v>
      </c>
      <c r="Y43" s="33">
        <v>310076.50900000002</v>
      </c>
      <c r="Z43" s="33">
        <v>319017.96500000003</v>
      </c>
      <c r="AA43" s="33">
        <v>334737.26899999997</v>
      </c>
      <c r="AB43" s="33">
        <v>389051.79499999998</v>
      </c>
      <c r="AC43" s="33">
        <v>453993</v>
      </c>
      <c r="AD43" s="20">
        <v>440498.348</v>
      </c>
      <c r="AE43" s="20">
        <v>420506.87599999999</v>
      </c>
      <c r="AF43" s="20">
        <v>400366.60800000001</v>
      </c>
      <c r="AG43" s="20">
        <v>386594.33299999998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524813.21600000001</v>
      </c>
      <c r="K44" s="20"/>
      <c r="L44" s="20"/>
      <c r="M44" s="20">
        <v>595443.76100000006</v>
      </c>
      <c r="N44" s="20"/>
      <c r="O44" s="20">
        <v>607888.41200000001</v>
      </c>
      <c r="P44" s="20"/>
      <c r="Q44" s="20"/>
      <c r="R44" s="66">
        <v>750947.86499999999</v>
      </c>
      <c r="S44" s="20">
        <v>829039.28</v>
      </c>
      <c r="T44" s="82">
        <v>1025176.813</v>
      </c>
      <c r="U44" s="20">
        <v>1079998.2220000001</v>
      </c>
      <c r="V44" s="20">
        <v>1147052.023</v>
      </c>
      <c r="W44" s="33">
        <v>1197925.4080000001</v>
      </c>
      <c r="X44" s="33">
        <v>1221297.952</v>
      </c>
      <c r="Y44" s="33">
        <v>1244671.014</v>
      </c>
      <c r="Z44" s="33">
        <v>1287415.6499999999</v>
      </c>
      <c r="AA44" s="33">
        <v>1379361.828</v>
      </c>
      <c r="AB44" s="33">
        <v>1590731.6440000001</v>
      </c>
      <c r="AC44" s="33">
        <v>1691163</v>
      </c>
      <c r="AD44" s="20">
        <v>1723063.139</v>
      </c>
      <c r="AE44" s="20">
        <v>1732775.7150000001</v>
      </c>
      <c r="AF44" s="20">
        <v>1669105.0109999999</v>
      </c>
      <c r="AG44" s="20">
        <v>1676140.416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238270.75099999999</v>
      </c>
      <c r="K45" s="20"/>
      <c r="L45" s="20"/>
      <c r="M45" s="20">
        <v>265874.71600000001</v>
      </c>
      <c r="N45" s="20"/>
      <c r="O45" s="20">
        <v>238087.283</v>
      </c>
      <c r="P45" s="20"/>
      <c r="Q45" s="20"/>
      <c r="R45" s="66">
        <v>344901.70699999999</v>
      </c>
      <c r="S45" s="20">
        <v>342855.75799999997</v>
      </c>
      <c r="T45" s="82">
        <v>403213.54100000003</v>
      </c>
      <c r="U45" s="20">
        <v>412578.55</v>
      </c>
      <c r="V45" s="20">
        <v>451019.951</v>
      </c>
      <c r="W45" s="33">
        <v>454150.12599999999</v>
      </c>
      <c r="X45" s="33">
        <v>462668.83</v>
      </c>
      <c r="Y45" s="33">
        <v>482787.821</v>
      </c>
      <c r="Z45" s="33">
        <v>514456.87099999998</v>
      </c>
      <c r="AA45" s="33">
        <v>493760.00900000002</v>
      </c>
      <c r="AB45" s="33">
        <v>603846.10699999996</v>
      </c>
      <c r="AC45" s="33">
        <v>666560</v>
      </c>
      <c r="AD45" s="20">
        <v>654286.00699999998</v>
      </c>
      <c r="AE45" s="20">
        <v>641627.88899999997</v>
      </c>
      <c r="AF45" s="20">
        <v>619464.93700000003</v>
      </c>
      <c r="AG45" s="20">
        <v>606695.78399999999</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114436.815</v>
      </c>
      <c r="K46" s="20"/>
      <c r="L46" s="20"/>
      <c r="M46" s="20">
        <v>111416.995</v>
      </c>
      <c r="N46" s="20"/>
      <c r="O46" s="20">
        <v>91095.270999999993</v>
      </c>
      <c r="P46" s="20"/>
      <c r="Q46" s="20"/>
      <c r="R46" s="66">
        <v>162872.59899999999</v>
      </c>
      <c r="S46" s="20">
        <v>270514.23499999999</v>
      </c>
      <c r="T46" s="82">
        <v>202581.978</v>
      </c>
      <c r="U46" s="20">
        <v>243699.26300000001</v>
      </c>
      <c r="V46" s="20">
        <v>247380.11300000001</v>
      </c>
      <c r="W46" s="33">
        <v>284710.55200000003</v>
      </c>
      <c r="X46" s="33">
        <v>289006.20299999998</v>
      </c>
      <c r="Y46" s="33">
        <v>289509.34100000001</v>
      </c>
      <c r="Z46" s="33">
        <v>323579.91100000002</v>
      </c>
      <c r="AA46" s="33">
        <v>319995.69</v>
      </c>
      <c r="AB46" s="33">
        <v>379867.19</v>
      </c>
      <c r="AC46" s="33">
        <v>413601</v>
      </c>
      <c r="AD46" s="20">
        <v>397013.55900000001</v>
      </c>
      <c r="AE46" s="20">
        <v>392758.68699999998</v>
      </c>
      <c r="AF46" s="20">
        <v>368100.83899999998</v>
      </c>
      <c r="AG46" s="20">
        <v>356337.44500000001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85878.659</v>
      </c>
      <c r="K47" s="20"/>
      <c r="L47" s="20"/>
      <c r="M47" s="20">
        <v>84184.841</v>
      </c>
      <c r="N47" s="20"/>
      <c r="O47" s="20">
        <v>76439.112999999998</v>
      </c>
      <c r="P47" s="20"/>
      <c r="Q47" s="20"/>
      <c r="R47" s="92">
        <v>106900.643</v>
      </c>
      <c r="S47" s="20">
        <v>109866.815</v>
      </c>
      <c r="T47" s="82">
        <v>144998.50200000001</v>
      </c>
      <c r="U47" s="20">
        <v>158623.46299999999</v>
      </c>
      <c r="V47" s="20">
        <v>189560.73699999999</v>
      </c>
      <c r="W47" s="33">
        <v>208604.609</v>
      </c>
      <c r="X47" s="33">
        <v>205984.36</v>
      </c>
      <c r="Y47" s="33">
        <v>203293.30600000001</v>
      </c>
      <c r="Z47" s="33">
        <v>207884.45600000001</v>
      </c>
      <c r="AA47" s="33">
        <v>161135.98000000001</v>
      </c>
      <c r="AB47" s="33">
        <v>268752.51</v>
      </c>
      <c r="AC47" s="33">
        <v>302842</v>
      </c>
      <c r="AD47" s="20">
        <v>296687.29800000001</v>
      </c>
      <c r="AE47" s="20">
        <v>275632.554</v>
      </c>
      <c r="AF47" s="20">
        <v>259226.83499999999</v>
      </c>
      <c r="AG47" s="20">
        <v>262175.60700000002</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63059.237000000001</v>
      </c>
      <c r="K48" s="20"/>
      <c r="L48" s="20"/>
      <c r="M48" s="20">
        <v>69300.819000000003</v>
      </c>
      <c r="N48" s="20"/>
      <c r="O48" s="20">
        <v>58037.336000000003</v>
      </c>
      <c r="P48" s="20"/>
      <c r="Q48" s="20"/>
      <c r="R48" s="66">
        <v>70974.661999999997</v>
      </c>
      <c r="S48" s="20">
        <v>79873.149000000005</v>
      </c>
      <c r="T48" s="82">
        <v>100738.909</v>
      </c>
      <c r="U48" s="20">
        <v>124637.943</v>
      </c>
      <c r="V48" s="20">
        <v>146887.446</v>
      </c>
      <c r="W48" s="33">
        <v>147628.17499999999</v>
      </c>
      <c r="X48" s="33">
        <v>146455.85699999999</v>
      </c>
      <c r="Y48" s="33">
        <v>151355.253</v>
      </c>
      <c r="Z48" s="33">
        <v>158889.69899999999</v>
      </c>
      <c r="AA48" s="33">
        <v>145909.954</v>
      </c>
      <c r="AB48" s="33">
        <v>171360.66699999999</v>
      </c>
      <c r="AC48" s="33">
        <v>181689</v>
      </c>
      <c r="AD48" s="20">
        <v>169074.04399999999</v>
      </c>
      <c r="AE48" s="20">
        <v>146774.52600000001</v>
      </c>
      <c r="AF48" s="20">
        <v>140673.82800000001</v>
      </c>
      <c r="AG48" s="20">
        <v>132963.818</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379440.701</v>
      </c>
      <c r="K49" s="20"/>
      <c r="L49" s="20"/>
      <c r="M49" s="20">
        <v>369518.79700000002</v>
      </c>
      <c r="N49" s="20"/>
      <c r="O49" s="20">
        <v>301851.21899999998</v>
      </c>
      <c r="P49" s="20"/>
      <c r="Q49" s="20"/>
      <c r="R49" s="66">
        <v>446991.58</v>
      </c>
      <c r="S49" s="20">
        <v>519021.50900000002</v>
      </c>
      <c r="T49" s="82">
        <v>621494.00199999998</v>
      </c>
      <c r="U49" s="20">
        <v>707979.46400000004</v>
      </c>
      <c r="V49" s="20">
        <v>781714.18500000006</v>
      </c>
      <c r="W49" s="33">
        <v>809498.87300000002</v>
      </c>
      <c r="X49" s="33">
        <v>805496.5</v>
      </c>
      <c r="Y49" s="33">
        <v>824439.25800000003</v>
      </c>
      <c r="Z49" s="33">
        <v>858034.44900000002</v>
      </c>
      <c r="AA49" s="33">
        <v>819629.34499999997</v>
      </c>
      <c r="AB49" s="33">
        <v>1084051.1229999999</v>
      </c>
      <c r="AC49" s="33">
        <v>1224985</v>
      </c>
      <c r="AD49" s="20">
        <v>1137726.0730000001</v>
      </c>
      <c r="AE49" s="20">
        <v>1051512.095</v>
      </c>
      <c r="AF49" s="20">
        <v>985347.79599999997</v>
      </c>
      <c r="AG49" s="20">
        <v>927806.78700000001</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37254.067000000003</v>
      </c>
      <c r="K50" s="20"/>
      <c r="L50" s="20"/>
      <c r="M50" s="20">
        <v>37184.612999999998</v>
      </c>
      <c r="N50" s="20"/>
      <c r="O50" s="20">
        <v>22990.06409</v>
      </c>
      <c r="P50" s="20"/>
      <c r="Q50" s="20"/>
      <c r="R50" s="66">
        <v>52350.120999999999</v>
      </c>
      <c r="S50" s="20">
        <v>60932.250999999997</v>
      </c>
      <c r="T50" s="82">
        <v>70401.775999999998</v>
      </c>
      <c r="U50" s="20">
        <v>81320.141000000003</v>
      </c>
      <c r="V50" s="20">
        <v>89898.911999999997</v>
      </c>
      <c r="W50" s="33">
        <v>87649.956000000006</v>
      </c>
      <c r="X50" s="33">
        <v>92452.634000000005</v>
      </c>
      <c r="Y50" s="33">
        <v>105343.516</v>
      </c>
      <c r="Z50" s="33">
        <v>111839.571</v>
      </c>
      <c r="AA50" s="33">
        <v>97669.036999999997</v>
      </c>
      <c r="AB50" s="33">
        <v>167140.158</v>
      </c>
      <c r="AC50" s="33">
        <v>179538</v>
      </c>
      <c r="AD50" s="20">
        <v>161025.82199999999</v>
      </c>
      <c r="AE50" s="20">
        <v>117029.255</v>
      </c>
      <c r="AF50" s="20">
        <v>105512.13800000001</v>
      </c>
      <c r="AG50" s="20">
        <v>101564.466</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317420.80499999999</v>
      </c>
      <c r="K51" s="51"/>
      <c r="L51" s="51"/>
      <c r="M51" s="51">
        <v>357783.07500000001</v>
      </c>
      <c r="N51" s="51"/>
      <c r="O51" s="51">
        <v>321096.47899999999</v>
      </c>
      <c r="P51" s="51"/>
      <c r="Q51" s="51"/>
      <c r="R51" s="67">
        <v>421522.79499999998</v>
      </c>
      <c r="S51" s="51">
        <v>468594.27600000001</v>
      </c>
      <c r="T51" s="113">
        <v>451994.353</v>
      </c>
      <c r="U51" s="51">
        <v>537182.15300000005</v>
      </c>
      <c r="V51" s="51">
        <v>579847.35199999996</v>
      </c>
      <c r="W51" s="50">
        <v>617864.65099999995</v>
      </c>
      <c r="X51" s="50">
        <v>632619.96600000001</v>
      </c>
      <c r="Y51" s="50">
        <v>627778.25399999996</v>
      </c>
      <c r="Z51" s="50">
        <v>622827.05900000001</v>
      </c>
      <c r="AA51" s="50">
        <v>737294.56900000002</v>
      </c>
      <c r="AB51" s="50">
        <v>737566.79299999995</v>
      </c>
      <c r="AC51" s="50">
        <v>770318</v>
      </c>
      <c r="AD51" s="51">
        <v>767297.33299999998</v>
      </c>
      <c r="AE51" s="51">
        <v>783095.23600000003</v>
      </c>
      <c r="AF51" s="51">
        <v>740788.24399999995</v>
      </c>
      <c r="AG51" s="51">
        <v>712367.39599999995</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1276211.0190000001</v>
      </c>
      <c r="M52" s="104">
        <f>SUM(M54:M62)</f>
        <v>1542773.067</v>
      </c>
      <c r="O52" s="104">
        <f>SUM(O54:O62)</f>
        <v>1452109.9380000001</v>
      </c>
      <c r="R52" s="104">
        <f t="shared" ref="R52:AG52" si="14">SUM(R54:R62)</f>
        <v>1961861.3589999997</v>
      </c>
      <c r="S52" s="104">
        <f t="shared" si="14"/>
        <v>2133647.2310000001</v>
      </c>
      <c r="T52" s="104">
        <f t="shared" si="14"/>
        <v>2180073.7450000001</v>
      </c>
      <c r="U52" s="104">
        <f t="shared" si="14"/>
        <v>1909326.993</v>
      </c>
      <c r="V52" s="104">
        <f t="shared" si="14"/>
        <v>2042819.0760000001</v>
      </c>
      <c r="W52" s="104">
        <f t="shared" si="14"/>
        <v>2384146.5389999999</v>
      </c>
      <c r="X52" s="104">
        <f t="shared" si="14"/>
        <v>2291847.9580000001</v>
      </c>
      <c r="Y52" s="104">
        <f t="shared" si="14"/>
        <v>2338011.503</v>
      </c>
      <c r="Z52" s="104">
        <f t="shared" si="14"/>
        <v>2467900.8300000005</v>
      </c>
      <c r="AA52" s="104">
        <f t="shared" si="14"/>
        <v>2250546.693</v>
      </c>
      <c r="AB52" s="104">
        <f t="shared" si="14"/>
        <v>3175492.77</v>
      </c>
      <c r="AC52" s="104">
        <f t="shared" si="14"/>
        <v>3433898</v>
      </c>
      <c r="AD52" s="104">
        <f t="shared" si="14"/>
        <v>3329237.83</v>
      </c>
      <c r="AE52" s="104">
        <f t="shared" si="14"/>
        <v>3030456.3289999999</v>
      </c>
      <c r="AF52" s="104">
        <f t="shared" si="14"/>
        <v>3098136.0490000001</v>
      </c>
      <c r="AG52" s="104">
        <f t="shared" si="14"/>
        <v>3116822.1049999995</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T53" s="115"/>
      <c r="W53" s="91"/>
      <c r="X53" s="91"/>
      <c r="Y53" s="91"/>
      <c r="Z53" s="91"/>
      <c r="AA53" s="91"/>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70383.838000000003</v>
      </c>
      <c r="K54" s="20"/>
      <c r="L54" s="20"/>
      <c r="M54" s="65">
        <v>76971.989000000001</v>
      </c>
      <c r="N54" s="20"/>
      <c r="O54" s="20">
        <v>85264.384999999995</v>
      </c>
      <c r="P54" s="20"/>
      <c r="Q54" s="20"/>
      <c r="R54" s="66">
        <v>98163.06</v>
      </c>
      <c r="S54" s="20">
        <v>113102.03</v>
      </c>
      <c r="T54" s="82">
        <v>159703.55499999999</v>
      </c>
      <c r="U54" s="20">
        <v>152317.639</v>
      </c>
      <c r="V54" s="20">
        <v>166754.39000000001</v>
      </c>
      <c r="W54" s="33">
        <v>265800.71000000002</v>
      </c>
      <c r="X54" s="33">
        <v>176680.81599999999</v>
      </c>
      <c r="Y54" s="33">
        <v>179253.641</v>
      </c>
      <c r="Z54" s="33">
        <v>178219.878</v>
      </c>
      <c r="AA54" s="33">
        <v>186525.87100000001</v>
      </c>
      <c r="AB54" s="33">
        <v>210113.02600000001</v>
      </c>
      <c r="AC54" s="33">
        <v>232531</v>
      </c>
      <c r="AD54" s="20">
        <v>226106.80100000001</v>
      </c>
      <c r="AE54" s="20">
        <v>221744.79399999999</v>
      </c>
      <c r="AF54" s="20">
        <v>224341.48300000001</v>
      </c>
      <c r="AG54" s="20">
        <v>220786.152</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35783.741000000002</v>
      </c>
      <c r="K55" s="20"/>
      <c r="L55" s="20"/>
      <c r="M55" s="20">
        <v>39321.120999999999</v>
      </c>
      <c r="N55" s="20"/>
      <c r="O55" s="20">
        <v>28637.571</v>
      </c>
      <c r="P55" s="20"/>
      <c r="Q55" s="20"/>
      <c r="R55" s="66">
        <v>51438.139000000003</v>
      </c>
      <c r="S55" s="20">
        <v>54959.705000000002</v>
      </c>
      <c r="T55" s="82">
        <v>67775.686000000002</v>
      </c>
      <c r="U55" s="20">
        <v>74740.392999999996</v>
      </c>
      <c r="V55" s="20">
        <v>81759.293000000005</v>
      </c>
      <c r="W55" s="33">
        <v>79979.792000000001</v>
      </c>
      <c r="X55" s="33">
        <v>79472.960000000006</v>
      </c>
      <c r="Y55" s="33">
        <v>80726.782000000007</v>
      </c>
      <c r="Z55" s="33">
        <v>80373.519</v>
      </c>
      <c r="AA55" s="33">
        <v>83274.005000000005</v>
      </c>
      <c r="AB55" s="33">
        <v>101701.482</v>
      </c>
      <c r="AC55" s="33">
        <v>112231</v>
      </c>
      <c r="AD55" s="20">
        <v>105223.11500000001</v>
      </c>
      <c r="AE55" s="20">
        <v>98319.471999999994</v>
      </c>
      <c r="AF55" s="20">
        <v>97712.588000000003</v>
      </c>
      <c r="AG55" s="20">
        <v>92682.838000000003</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128115.954</v>
      </c>
      <c r="K56" s="20"/>
      <c r="L56" s="20"/>
      <c r="M56" s="20">
        <v>140915.87899999999</v>
      </c>
      <c r="N56" s="20"/>
      <c r="O56" s="20">
        <v>131311.43799999999</v>
      </c>
      <c r="P56" s="20"/>
      <c r="Q56" s="20"/>
      <c r="R56" s="66">
        <v>188828.5</v>
      </c>
      <c r="S56" s="20">
        <v>209637.06400000001</v>
      </c>
      <c r="T56" s="82">
        <v>244634.04</v>
      </c>
      <c r="U56" s="20">
        <v>280129.8</v>
      </c>
      <c r="V56" s="20">
        <v>302806.48100000003</v>
      </c>
      <c r="W56" s="33">
        <v>312914.27299999999</v>
      </c>
      <c r="X56" s="33">
        <v>326812.42599999998</v>
      </c>
      <c r="Y56" s="33">
        <v>320429.63699999999</v>
      </c>
      <c r="Z56" s="33">
        <v>347908.03399999999</v>
      </c>
      <c r="AA56" s="33">
        <v>220644.33100000001</v>
      </c>
      <c r="AB56" s="33">
        <v>469386.28899999999</v>
      </c>
      <c r="AC56" s="33">
        <v>520776</v>
      </c>
      <c r="AD56" s="20">
        <v>492473.53600000002</v>
      </c>
      <c r="AE56" s="20">
        <v>470411.3</v>
      </c>
      <c r="AF56" s="20">
        <v>462962.50599999999</v>
      </c>
      <c r="AG56" s="20">
        <v>461482.05099999998</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38116.107000000004</v>
      </c>
      <c r="K57" s="20"/>
      <c r="L57" s="20"/>
      <c r="M57" s="20">
        <v>36736.987999999998</v>
      </c>
      <c r="N57" s="20"/>
      <c r="O57" s="20">
        <v>34822.43</v>
      </c>
      <c r="P57" s="20"/>
      <c r="Q57" s="20"/>
      <c r="R57" s="92">
        <v>58163.597000000002</v>
      </c>
      <c r="S57" s="20">
        <v>67067.129000000001</v>
      </c>
      <c r="T57" s="82">
        <v>74520.569000000003</v>
      </c>
      <c r="U57" s="20">
        <v>79610.184999999998</v>
      </c>
      <c r="V57" s="20">
        <v>92075.64</v>
      </c>
      <c r="W57" s="33">
        <v>91920.517000000007</v>
      </c>
      <c r="X57" s="33">
        <v>100395.372</v>
      </c>
      <c r="Y57" s="33">
        <v>93521.381999999998</v>
      </c>
      <c r="Z57" s="33">
        <v>92949.327000000005</v>
      </c>
      <c r="AA57" s="33">
        <v>86785.861000000004</v>
      </c>
      <c r="AB57" s="33">
        <v>88539.407999999996</v>
      </c>
      <c r="AC57" s="33">
        <v>93768</v>
      </c>
      <c r="AD57" s="20">
        <v>95890.856</v>
      </c>
      <c r="AE57" s="20">
        <v>102094.432</v>
      </c>
      <c r="AF57" s="20">
        <v>101174.856</v>
      </c>
      <c r="AG57" s="20">
        <v>100715.715</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81311.100000000006</v>
      </c>
      <c r="K58" s="20"/>
      <c r="L58" s="20"/>
      <c r="M58" s="20">
        <v>102892.88099999999</v>
      </c>
      <c r="N58" s="20"/>
      <c r="O58" s="20">
        <v>189997.16200000001</v>
      </c>
      <c r="P58" s="20"/>
      <c r="Q58" s="20"/>
      <c r="R58" s="92">
        <v>153056.353</v>
      </c>
      <c r="S58" s="20">
        <v>169806.70800000001</v>
      </c>
      <c r="T58" s="82">
        <v>200185.38500000001</v>
      </c>
      <c r="U58" s="20">
        <v>221169.209</v>
      </c>
      <c r="V58" s="20">
        <v>254877.65100000001</v>
      </c>
      <c r="W58" s="33">
        <v>480614.02600000001</v>
      </c>
      <c r="X58" s="33">
        <v>464182.61099999998</v>
      </c>
      <c r="Y58" s="33">
        <v>484881.42200000002</v>
      </c>
      <c r="Z58" s="33">
        <v>501799.12099999998</v>
      </c>
      <c r="AA58" s="33">
        <v>380489.86499999999</v>
      </c>
      <c r="AB58" s="33">
        <v>601850.20600000001</v>
      </c>
      <c r="AC58" s="33">
        <v>636373</v>
      </c>
      <c r="AD58" s="20">
        <v>662479.20799999998</v>
      </c>
      <c r="AE58" s="20">
        <v>512980.745</v>
      </c>
      <c r="AF58" s="20">
        <v>614109.04200000002</v>
      </c>
      <c r="AG58" s="20">
        <v>622768.40300000005</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397293.65100000001</v>
      </c>
      <c r="K59" s="20"/>
      <c r="L59" s="20"/>
      <c r="M59" s="20">
        <v>533707.76899999997</v>
      </c>
      <c r="N59" s="20"/>
      <c r="O59" s="20">
        <v>454805.95699999999</v>
      </c>
      <c r="P59" s="20"/>
      <c r="Q59" s="20"/>
      <c r="R59" s="92">
        <v>629733.728</v>
      </c>
      <c r="S59" s="20">
        <v>730112.82200000004</v>
      </c>
      <c r="T59" s="82">
        <v>814355.41299999994</v>
      </c>
      <c r="U59" s="20">
        <v>820884.41700000002</v>
      </c>
      <c r="V59" s="20">
        <v>855883.75899999996</v>
      </c>
      <c r="W59" s="33">
        <v>870141.60699999996</v>
      </c>
      <c r="X59" s="33">
        <v>865185.41899999999</v>
      </c>
      <c r="Y59" s="33">
        <v>885501.10199999996</v>
      </c>
      <c r="Z59" s="33">
        <v>950939.50699999998</v>
      </c>
      <c r="AA59" s="33">
        <v>956620.83299999998</v>
      </c>
      <c r="AB59" s="33">
        <v>1289795.2320000001</v>
      </c>
      <c r="AC59" s="33">
        <v>1376455</v>
      </c>
      <c r="AD59" s="20">
        <v>1301177.061</v>
      </c>
      <c r="AE59" s="20">
        <v>1203858.1189999999</v>
      </c>
      <c r="AF59" s="20">
        <v>1182079.6100000001</v>
      </c>
      <c r="AG59" s="20">
        <v>1203907.8389999999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447045.55</v>
      </c>
      <c r="K60" s="20"/>
      <c r="L60" s="20"/>
      <c r="M60" s="20">
        <v>529179.86699999997</v>
      </c>
      <c r="N60" s="20"/>
      <c r="O60" s="20">
        <v>446374.28200000001</v>
      </c>
      <c r="P60" s="20"/>
      <c r="Q60" s="20"/>
      <c r="R60" s="66">
        <v>674769.397</v>
      </c>
      <c r="S60" s="20">
        <v>670361.88899999997</v>
      </c>
      <c r="T60" s="82">
        <v>472890.97</v>
      </c>
      <c r="U60" s="20">
        <v>109281.64</v>
      </c>
      <c r="V60" s="20">
        <v>114923.861</v>
      </c>
      <c r="W60" s="33">
        <v>110521.614</v>
      </c>
      <c r="X60" s="33">
        <v>105942.098</v>
      </c>
      <c r="Y60" s="33">
        <v>113460.478</v>
      </c>
      <c r="Z60" s="33">
        <v>118711.149</v>
      </c>
      <c r="AA60" s="33">
        <v>129821.54399999999</v>
      </c>
      <c r="AB60" s="33">
        <v>176535.55100000001</v>
      </c>
      <c r="AC60" s="33">
        <v>197977</v>
      </c>
      <c r="AD60" s="20">
        <v>187554.08199999999</v>
      </c>
      <c r="AE60" s="20">
        <v>177797.11300000001</v>
      </c>
      <c r="AF60" s="20">
        <v>177773.10699999999</v>
      </c>
      <c r="AG60" s="20">
        <v>178653.242</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41958.629000000001</v>
      </c>
      <c r="K61" s="20"/>
      <c r="L61" s="20"/>
      <c r="M61" s="20">
        <v>44484.671999999999</v>
      </c>
      <c r="N61" s="20"/>
      <c r="O61" s="20">
        <v>42269.207999999999</v>
      </c>
      <c r="P61" s="20"/>
      <c r="Q61" s="20"/>
      <c r="R61" s="66">
        <v>58390.608</v>
      </c>
      <c r="S61" s="20">
        <v>61557.870999999999</v>
      </c>
      <c r="T61" s="82">
        <v>60689.057999999997</v>
      </c>
      <c r="U61" s="20">
        <v>69975.400999999998</v>
      </c>
      <c r="V61" s="20">
        <v>64485.203000000001</v>
      </c>
      <c r="W61" s="33">
        <v>60723.591999999997</v>
      </c>
      <c r="X61" s="33">
        <v>61726.828999999998</v>
      </c>
      <c r="Y61" s="33">
        <v>69059.691000000006</v>
      </c>
      <c r="Z61" s="33">
        <v>69937.111999999994</v>
      </c>
      <c r="AA61" s="33">
        <v>78282.013000000006</v>
      </c>
      <c r="AB61" s="33">
        <v>92951.513999999996</v>
      </c>
      <c r="AC61" s="33">
        <v>104240</v>
      </c>
      <c r="AD61" s="20">
        <v>113044.663</v>
      </c>
      <c r="AE61" s="20">
        <v>107489.7</v>
      </c>
      <c r="AF61" s="20">
        <v>100646.583</v>
      </c>
      <c r="AG61" s="20">
        <v>98174.835000000006</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36202.449000000001</v>
      </c>
      <c r="K62" s="51"/>
      <c r="L62" s="51"/>
      <c r="M62" s="51">
        <v>38561.900999999998</v>
      </c>
      <c r="N62" s="51"/>
      <c r="O62" s="51">
        <v>38627.504999999997</v>
      </c>
      <c r="P62" s="51"/>
      <c r="Q62" s="51"/>
      <c r="R62" s="67">
        <v>49317.976999999999</v>
      </c>
      <c r="S62" s="51">
        <v>57042.012999999999</v>
      </c>
      <c r="T62" s="113">
        <v>85319.069000000003</v>
      </c>
      <c r="U62" s="51">
        <v>101218.30899999999</v>
      </c>
      <c r="V62" s="51">
        <v>109252.798</v>
      </c>
      <c r="W62" s="50">
        <v>111530.408</v>
      </c>
      <c r="X62" s="50">
        <v>111449.427</v>
      </c>
      <c r="Y62" s="50">
        <v>111177.368</v>
      </c>
      <c r="Z62" s="50">
        <v>127063.183</v>
      </c>
      <c r="AA62" s="50">
        <v>128102.37</v>
      </c>
      <c r="AB62" s="50">
        <v>144620.06200000001</v>
      </c>
      <c r="AC62" s="50">
        <v>159547</v>
      </c>
      <c r="AD62" s="51">
        <v>145288.508</v>
      </c>
      <c r="AE62" s="51">
        <v>135760.65400000001</v>
      </c>
      <c r="AF62" s="51">
        <v>137336.274</v>
      </c>
      <c r="AG62" s="51">
        <v>137651.03</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7821.42</v>
      </c>
      <c r="K63" s="86"/>
      <c r="L63" s="86"/>
      <c r="M63" s="86">
        <v>9375.9380000000001</v>
      </c>
      <c r="N63" s="86"/>
      <c r="O63" s="86">
        <v>7191.6432800000002</v>
      </c>
      <c r="P63" s="86"/>
      <c r="Q63" s="86"/>
      <c r="R63" s="88">
        <v>10106.707</v>
      </c>
      <c r="S63" s="86">
        <v>10994.508</v>
      </c>
      <c r="T63" s="89">
        <v>13851.671</v>
      </c>
      <c r="U63" s="86">
        <v>14751.421</v>
      </c>
      <c r="V63" s="86">
        <v>15512.047</v>
      </c>
      <c r="W63" s="87">
        <v>14623.772000000001</v>
      </c>
      <c r="X63" s="87">
        <v>16004.928</v>
      </c>
      <c r="Y63" s="87">
        <v>15532.406000000001</v>
      </c>
      <c r="Z63" s="87">
        <v>23751.858</v>
      </c>
      <c r="AA63" s="87">
        <v>24238.699000000001</v>
      </c>
      <c r="AB63" s="87">
        <v>22267.785</v>
      </c>
      <c r="AC63" s="87">
        <v>30725</v>
      </c>
      <c r="AD63" s="51">
        <v>24021.361000000001</v>
      </c>
      <c r="AE63" s="51">
        <v>22805.916000000001</v>
      </c>
      <c r="AF63" s="51">
        <v>22706.355</v>
      </c>
      <c r="AG63" s="51">
        <v>23588.280999999999</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7">
    <tabColor indexed="62"/>
  </sheetPr>
  <dimension ref="A1:HB92"/>
  <sheetViews>
    <sheetView zoomScaleNormal="100" workbookViewId="0">
      <pane xSplit="1" ySplit="3" topLeftCell="AA4" activePane="bottomRight" state="frozen"/>
      <selection activeCell="M5" sqref="M5:M6"/>
      <selection pane="topRight" activeCell="M5" sqref="M5:M6"/>
      <selection pane="bottomLeft" activeCell="M5" sqref="M5:M6"/>
      <selection pane="bottomRight" activeCell="AH6" sqref="AH6"/>
    </sheetView>
  </sheetViews>
  <sheetFormatPr defaultColWidth="9.7109375" defaultRowHeight="12.75"/>
  <cols>
    <col min="1" max="1" width="19.5703125" style="13" bestFit="1" customWidth="1"/>
    <col min="2" max="22" width="13.85546875" style="13" customWidth="1"/>
    <col min="23" max="29" width="13.85546875" style="53" customWidth="1"/>
    <col min="30" max="30" width="10.140625" style="13" bestFit="1" customWidth="1"/>
    <col min="31" max="31" width="9.85546875" style="13" customWidth="1"/>
    <col min="32" max="32" width="13.42578125" style="13" bestFit="1" customWidth="1"/>
    <col min="33" max="33" width="13.42578125" style="13" customWidth="1"/>
    <col min="34" max="174" width="9.7109375" style="13"/>
    <col min="175" max="175" width="11.7109375" style="13" customWidth="1"/>
    <col min="176" max="199" width="9.7109375" style="13"/>
    <col min="200" max="200" width="5.7109375" style="13" customWidth="1"/>
    <col min="201" max="201" width="6.7109375" style="13" customWidth="1"/>
    <col min="202" max="203" width="8.7109375" style="13" customWidth="1"/>
    <col min="204" max="205" width="6.7109375" style="13" customWidth="1"/>
    <col min="206" max="207" width="8.7109375" style="13" customWidth="1"/>
    <col min="208" max="209" width="6.7109375" style="13" customWidth="1"/>
    <col min="210" max="210" width="1.7109375" style="13" customWidth="1"/>
    <col min="211" max="16384" width="9.7109375" style="13"/>
  </cols>
  <sheetData>
    <row r="1" spans="1:210">
      <c r="A1" s="62" t="s">
        <v>89</v>
      </c>
      <c r="B1" s="16"/>
      <c r="C1" s="16"/>
      <c r="D1" s="16"/>
      <c r="E1" s="16"/>
      <c r="F1" s="16"/>
      <c r="G1" s="16"/>
      <c r="H1" s="16"/>
      <c r="I1" s="16"/>
      <c r="J1" s="16"/>
      <c r="K1" s="16"/>
      <c r="L1" s="16"/>
      <c r="M1" s="12"/>
      <c r="N1" s="12"/>
      <c r="O1" s="12"/>
      <c r="P1" s="12"/>
      <c r="Q1" s="12"/>
      <c r="R1" s="12"/>
      <c r="S1" s="12"/>
      <c r="T1" s="12"/>
      <c r="U1" s="12"/>
      <c r="V1" s="12"/>
      <c r="W1" s="15"/>
      <c r="X1" s="15"/>
      <c r="Y1" s="15"/>
      <c r="Z1" s="15"/>
      <c r="AA1" s="15"/>
      <c r="AB1" s="15"/>
      <c r="AC1" s="15"/>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row>
    <row r="2" spans="1:210">
      <c r="A2" s="12" t="s">
        <v>97</v>
      </c>
      <c r="B2" s="16"/>
      <c r="C2" s="16"/>
      <c r="D2" s="16"/>
      <c r="E2" s="16"/>
      <c r="F2" s="16"/>
      <c r="G2" s="16"/>
      <c r="H2" s="16"/>
      <c r="I2" s="16"/>
      <c r="J2" s="16"/>
      <c r="K2" s="16"/>
      <c r="L2" s="16"/>
      <c r="M2" s="12"/>
      <c r="N2" s="12"/>
      <c r="O2" s="12"/>
      <c r="P2" s="12"/>
      <c r="Q2" s="12"/>
      <c r="R2" s="12"/>
      <c r="S2" s="12"/>
      <c r="T2" s="12"/>
      <c r="U2" s="12"/>
      <c r="V2" s="12"/>
      <c r="W2" s="15"/>
      <c r="X2" s="15"/>
      <c r="Y2" s="15"/>
      <c r="Z2" s="15"/>
      <c r="AA2" s="15"/>
      <c r="AB2" s="15"/>
      <c r="AC2" s="15"/>
      <c r="AD2" s="12"/>
      <c r="AE2" s="12"/>
      <c r="AF2" s="216"/>
      <c r="AG2" s="216"/>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row>
    <row r="3" spans="1:210">
      <c r="B3" s="70">
        <v>1984</v>
      </c>
      <c r="C3" s="70">
        <v>1985</v>
      </c>
      <c r="D3" s="70">
        <v>1986</v>
      </c>
      <c r="E3" s="70">
        <v>1987</v>
      </c>
      <c r="F3" s="70">
        <v>1988</v>
      </c>
      <c r="G3" s="70">
        <v>1989</v>
      </c>
      <c r="H3" s="70">
        <v>1990</v>
      </c>
      <c r="I3" s="52">
        <v>1991</v>
      </c>
      <c r="J3" s="52">
        <v>1992</v>
      </c>
      <c r="K3" s="52">
        <v>1993</v>
      </c>
      <c r="L3" s="52">
        <v>1994</v>
      </c>
      <c r="M3" s="52">
        <v>1995</v>
      </c>
      <c r="N3" s="52">
        <v>1996</v>
      </c>
      <c r="O3" s="52">
        <v>1997</v>
      </c>
      <c r="P3" s="52">
        <v>1998</v>
      </c>
      <c r="Q3" s="52">
        <v>1999</v>
      </c>
      <c r="R3" s="52">
        <v>2000</v>
      </c>
      <c r="S3" s="52">
        <v>2001</v>
      </c>
      <c r="T3" s="81">
        <v>2002</v>
      </c>
      <c r="U3" s="52">
        <v>2003</v>
      </c>
      <c r="V3" s="52">
        <v>2004</v>
      </c>
      <c r="W3" s="52">
        <v>2005</v>
      </c>
      <c r="X3" s="52">
        <v>2006</v>
      </c>
      <c r="Y3" s="52">
        <v>2007</v>
      </c>
      <c r="Z3" s="52">
        <v>2008</v>
      </c>
      <c r="AA3" s="52">
        <v>2009</v>
      </c>
      <c r="AB3" s="52">
        <v>2010</v>
      </c>
      <c r="AC3" s="52">
        <v>2011</v>
      </c>
      <c r="AD3" s="156">
        <v>2012</v>
      </c>
      <c r="AE3" s="156">
        <v>2013</v>
      </c>
      <c r="AF3" s="215">
        <v>2014</v>
      </c>
      <c r="AG3" s="215">
        <v>2015</v>
      </c>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c r="EC3" s="12"/>
      <c r="ED3" s="12"/>
      <c r="EE3" s="12"/>
      <c r="EF3" s="12"/>
      <c r="EG3" s="12"/>
      <c r="EH3" s="12"/>
      <c r="EI3" s="12"/>
      <c r="EJ3" s="12"/>
      <c r="EK3" s="12"/>
      <c r="EL3" s="12"/>
      <c r="EM3" s="12"/>
      <c r="EN3" s="12"/>
      <c r="EO3" s="12"/>
      <c r="EP3" s="12"/>
      <c r="EQ3" s="12"/>
      <c r="ER3" s="12"/>
      <c r="ES3" s="12"/>
      <c r="ET3" s="12"/>
      <c r="EU3" s="12"/>
      <c r="EV3" s="12"/>
      <c r="EW3" s="12"/>
      <c r="EX3" s="12"/>
      <c r="EY3" s="12"/>
      <c r="EZ3" s="12"/>
      <c r="FA3" s="12"/>
      <c r="FB3" s="12"/>
      <c r="FC3" s="12"/>
      <c r="FD3" s="12"/>
      <c r="FE3" s="12"/>
      <c r="FF3" s="12"/>
      <c r="FG3" s="12"/>
      <c r="FH3" s="12"/>
      <c r="FI3" s="12"/>
      <c r="FJ3" s="12"/>
      <c r="FK3" s="12"/>
      <c r="FL3" s="12"/>
      <c r="FM3" s="12"/>
      <c r="FN3" s="12"/>
      <c r="FO3" s="12"/>
      <c r="FP3" s="12"/>
      <c r="FQ3" s="12"/>
      <c r="FR3" s="12"/>
      <c r="FS3" s="12"/>
      <c r="FT3" s="12"/>
      <c r="FU3" s="12"/>
      <c r="FV3" s="12"/>
      <c r="FW3" s="12"/>
      <c r="FX3" s="12"/>
      <c r="FY3" s="12"/>
      <c r="FZ3" s="12"/>
      <c r="GA3" s="12"/>
      <c r="GB3" s="12"/>
      <c r="GC3" s="12"/>
      <c r="GD3" s="12"/>
      <c r="GE3" s="12"/>
      <c r="GF3" s="12"/>
      <c r="GG3" s="12"/>
      <c r="GH3" s="12"/>
      <c r="GI3" s="12"/>
      <c r="GJ3" s="12"/>
      <c r="GK3" s="12"/>
      <c r="GL3" s="12"/>
      <c r="GM3" s="12"/>
      <c r="GN3" s="12"/>
      <c r="GO3" s="12"/>
      <c r="GP3" s="12"/>
      <c r="GQ3" s="12"/>
      <c r="GR3" s="12"/>
      <c r="GS3" s="12"/>
      <c r="GT3" s="12"/>
      <c r="GU3" s="12"/>
      <c r="GV3" s="12"/>
      <c r="GW3" s="12"/>
      <c r="GX3" s="12"/>
      <c r="GY3" s="12"/>
      <c r="GZ3" s="12"/>
      <c r="HA3" s="12"/>
      <c r="HB3" s="12"/>
    </row>
    <row r="4" spans="1:210" ht="12.75" customHeight="1">
      <c r="A4" s="85" t="s">
        <v>142</v>
      </c>
      <c r="B4" s="86">
        <f>(228101+33930+369351+88703)+(887787+681515)</f>
        <v>2289387</v>
      </c>
      <c r="C4" s="86">
        <f>(261509+49034+373828+103360)+(1015732+772378)</f>
        <v>2575841</v>
      </c>
      <c r="D4" s="86">
        <f>(+(315722+507821)+28538+99629)+(1156328+889343)</f>
        <v>2997381</v>
      </c>
      <c r="E4" s="86"/>
      <c r="F4" s="86"/>
      <c r="G4" s="86"/>
      <c r="H4" s="86"/>
      <c r="I4" s="86">
        <v>5088020.2579999994</v>
      </c>
      <c r="J4" s="100">
        <f>+J5+J23+J38+J52+J63</f>
        <v>5644807.0930000003</v>
      </c>
      <c r="K4" s="86">
        <f>(1897225.37+317184.289)+4151944.413</f>
        <v>6366354.0720000006</v>
      </c>
      <c r="L4" s="86">
        <f>(2093302.244+371349.39)+4333663.359</f>
        <v>6798314.9930000007</v>
      </c>
      <c r="M4" s="100">
        <f>+M5+M23+M38+M52+M63</f>
        <v>7077352.904000001</v>
      </c>
      <c r="N4" s="86">
        <f>(2800153.613+481704.871)+4854490.595</f>
        <v>8136349.0789999999</v>
      </c>
      <c r="O4" s="100">
        <f>+O5+O23+O38+O52+O63</f>
        <v>8692645.7789599989</v>
      </c>
      <c r="P4" s="86"/>
      <c r="Q4" s="86"/>
      <c r="R4" s="100">
        <f t="shared" ref="R4:AA4" si="0">+R5+R23+R38+R52+R63</f>
        <v>11156969.479</v>
      </c>
      <c r="S4" s="100">
        <f t="shared" si="0"/>
        <v>12812323.910000004</v>
      </c>
      <c r="T4" s="100">
        <f t="shared" si="0"/>
        <v>12929733.040999999</v>
      </c>
      <c r="U4" s="100">
        <f t="shared" si="0"/>
        <v>14032075.852</v>
      </c>
      <c r="V4" s="100">
        <f t="shared" si="0"/>
        <v>14484588.613999998</v>
      </c>
      <c r="W4" s="100">
        <f t="shared" si="0"/>
        <v>15654936.15</v>
      </c>
      <c r="X4" s="100">
        <f t="shared" si="0"/>
        <v>16656577.633000001</v>
      </c>
      <c r="Y4" s="100">
        <f t="shared" si="0"/>
        <v>18058865.257999998</v>
      </c>
      <c r="Z4" s="100">
        <f t="shared" si="0"/>
        <v>19548920.000999998</v>
      </c>
      <c r="AA4" s="100">
        <f t="shared" si="0"/>
        <v>17452330.188000001</v>
      </c>
      <c r="AB4" s="100">
        <f t="shared" ref="AB4:AC4" si="1">+AB5+AB23+AB38+AB52+AB63</f>
        <v>20736046.635000002</v>
      </c>
      <c r="AC4" s="100">
        <f t="shared" si="1"/>
        <v>21942782</v>
      </c>
      <c r="AD4" s="100">
        <f t="shared" ref="AD4:AE4" si="2">+AD5+AD23+AD38+AD52+AD63</f>
        <v>22317558.107000001</v>
      </c>
      <c r="AE4" s="100">
        <f t="shared" si="2"/>
        <v>22075546.428999998</v>
      </c>
      <c r="AF4" s="100">
        <f t="shared" ref="AF4:AG4" si="3">+AF5+AF23+AF38+AF52+AF63</f>
        <v>23649490.748</v>
      </c>
      <c r="AG4" s="100">
        <f t="shared" si="3"/>
        <v>24977561.596000005</v>
      </c>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c r="EC4" s="12"/>
      <c r="ED4" s="12"/>
      <c r="EE4" s="12"/>
      <c r="EF4" s="12"/>
      <c r="EG4" s="12"/>
      <c r="EH4" s="12"/>
      <c r="EI4" s="12"/>
      <c r="EJ4" s="12"/>
      <c r="EK4" s="12"/>
      <c r="EL4" s="12"/>
      <c r="EM4" s="12"/>
      <c r="EN4" s="12"/>
      <c r="EO4" s="12"/>
      <c r="EP4" s="12"/>
      <c r="EQ4" s="12"/>
      <c r="ER4" s="12"/>
      <c r="ES4" s="12"/>
      <c r="ET4" s="12"/>
      <c r="EU4" s="12"/>
      <c r="EV4" s="12"/>
      <c r="EW4" s="12"/>
      <c r="EX4" s="12"/>
      <c r="EY4" s="12"/>
      <c r="EZ4" s="12"/>
      <c r="FA4" s="12"/>
      <c r="FB4" s="12"/>
      <c r="FC4" s="12"/>
      <c r="FD4" s="12"/>
      <c r="FE4" s="12"/>
      <c r="FF4" s="12"/>
      <c r="FG4" s="12"/>
      <c r="FH4" s="12"/>
      <c r="FI4" s="12"/>
      <c r="FJ4" s="12"/>
      <c r="FK4" s="12"/>
      <c r="FL4" s="12"/>
      <c r="FM4" s="12"/>
      <c r="FN4" s="12"/>
      <c r="FO4" s="12"/>
      <c r="FP4" s="12"/>
      <c r="FQ4" s="12"/>
      <c r="FR4" s="12"/>
      <c r="FS4" s="12"/>
      <c r="FT4" s="12"/>
      <c r="FU4" s="12"/>
      <c r="FV4" s="12"/>
      <c r="FW4" s="12"/>
      <c r="FX4" s="12"/>
      <c r="FY4" s="12"/>
      <c r="FZ4" s="12"/>
      <c r="GA4" s="12"/>
      <c r="GB4" s="12"/>
      <c r="GC4" s="12"/>
      <c r="GD4" s="12"/>
      <c r="GE4" s="12"/>
      <c r="GF4" s="12"/>
      <c r="GG4" s="12"/>
      <c r="GH4" s="12"/>
      <c r="GI4" s="12"/>
      <c r="GJ4" s="12"/>
      <c r="GK4" s="12"/>
      <c r="GL4" s="12"/>
      <c r="GM4" s="12"/>
      <c r="GN4" s="12"/>
      <c r="GO4" s="12"/>
      <c r="GP4" s="12"/>
      <c r="GQ4" s="12"/>
      <c r="GR4" s="12"/>
      <c r="GS4" s="12"/>
      <c r="GT4" s="12"/>
      <c r="GU4" s="12"/>
      <c r="GV4" s="12"/>
      <c r="GW4" s="12"/>
      <c r="GX4" s="12"/>
      <c r="GY4" s="12"/>
      <c r="GZ4" s="12"/>
      <c r="HA4" s="12"/>
      <c r="HB4" s="12"/>
    </row>
    <row r="5" spans="1:210" ht="12.75" customHeight="1">
      <c r="A5" s="14" t="s">
        <v>61</v>
      </c>
      <c r="B5" s="101">
        <f>SUM(B7:B22)</f>
        <v>775532</v>
      </c>
      <c r="C5" s="101">
        <f t="shared" ref="C5:D5" si="4">SUM(C7:C22)</f>
        <v>887863</v>
      </c>
      <c r="D5" s="101">
        <f t="shared" si="4"/>
        <v>1034620</v>
      </c>
      <c r="I5" s="101">
        <f t="shared" ref="I5:N5" si="5">SUM(I7:I22)</f>
        <v>1831003.7140000002</v>
      </c>
      <c r="J5" s="101">
        <f t="shared" si="5"/>
        <v>1977133.9350000003</v>
      </c>
      <c r="K5" s="101">
        <f t="shared" si="5"/>
        <v>2165103.0369999995</v>
      </c>
      <c r="L5" s="101">
        <f t="shared" si="5"/>
        <v>2389907.568</v>
      </c>
      <c r="M5" s="101">
        <f t="shared" si="5"/>
        <v>2649173.9720000005</v>
      </c>
      <c r="N5" s="101">
        <f t="shared" si="5"/>
        <v>3091177.1690000002</v>
      </c>
      <c r="O5" s="101">
        <f t="shared" ref="O5" si="6">SUM(O7:O22)</f>
        <v>3406905.3572400003</v>
      </c>
      <c r="P5" s="12"/>
      <c r="Q5" s="12"/>
      <c r="R5" s="101">
        <f t="shared" ref="R5:AA5" si="7">SUM(R7:R22)</f>
        <v>4425521.5079999994</v>
      </c>
      <c r="S5" s="101">
        <f t="shared" si="7"/>
        <v>5190825.9240000006</v>
      </c>
      <c r="T5" s="101">
        <f t="shared" si="7"/>
        <v>5323617.9179999996</v>
      </c>
      <c r="U5" s="101">
        <f t="shared" si="7"/>
        <v>5984520.8539999994</v>
      </c>
      <c r="V5" s="101">
        <f t="shared" si="7"/>
        <v>6026762.2199999997</v>
      </c>
      <c r="W5" s="101">
        <f t="shared" si="7"/>
        <v>6543512.6140000001</v>
      </c>
      <c r="X5" s="101">
        <f t="shared" si="7"/>
        <v>6714714.6189999999</v>
      </c>
      <c r="Y5" s="101">
        <f t="shared" si="7"/>
        <v>7299620.4839999992</v>
      </c>
      <c r="Z5" s="101">
        <f t="shared" si="7"/>
        <v>7913092.1809999989</v>
      </c>
      <c r="AA5" s="101">
        <f t="shared" si="7"/>
        <v>6649314.5219999989</v>
      </c>
      <c r="AB5" s="101">
        <f t="shared" ref="AB5:AC5" si="8">SUM(AB7:AB22)</f>
        <v>8486761.818</v>
      </c>
      <c r="AC5" s="101">
        <f t="shared" si="8"/>
        <v>9453882</v>
      </c>
      <c r="AD5" s="101">
        <f t="shared" ref="AD5:AE5" si="9">SUM(AD7:AD22)</f>
        <v>9401873.9090000018</v>
      </c>
      <c r="AE5" s="101">
        <f t="shared" si="9"/>
        <v>8600459.8550000004</v>
      </c>
      <c r="AF5" s="101">
        <f t="shared" ref="AF5:AG5" si="10">SUM(AF7:AF22)</f>
        <v>9414255.0020000003</v>
      </c>
      <c r="AG5" s="101">
        <f t="shared" si="10"/>
        <v>9579498.3710000012</v>
      </c>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c r="EC5" s="12"/>
      <c r="ED5" s="12"/>
      <c r="EE5" s="12"/>
      <c r="EF5" s="12"/>
      <c r="EG5" s="12"/>
      <c r="EH5" s="12"/>
      <c r="EI5" s="12"/>
      <c r="EJ5" s="12"/>
      <c r="EK5" s="12"/>
      <c r="EL5" s="12"/>
      <c r="EM5" s="12"/>
      <c r="EN5" s="12"/>
      <c r="EO5" s="12"/>
      <c r="EP5" s="12"/>
      <c r="EQ5" s="12"/>
      <c r="ER5" s="12"/>
      <c r="ES5" s="12"/>
      <c r="ET5" s="12"/>
      <c r="EU5" s="12"/>
      <c r="EV5" s="12"/>
      <c r="EW5" s="12"/>
      <c r="EX5" s="12"/>
      <c r="EY5" s="12"/>
      <c r="EZ5" s="12"/>
      <c r="FA5" s="12"/>
      <c r="FB5" s="12"/>
      <c r="FC5" s="12"/>
      <c r="FD5" s="12"/>
      <c r="FE5" s="12"/>
      <c r="FF5" s="12"/>
      <c r="FG5" s="12"/>
      <c r="FH5" s="12"/>
      <c r="FI5" s="12"/>
      <c r="FJ5" s="12"/>
      <c r="FK5" s="12"/>
      <c r="FL5" s="12"/>
      <c r="FM5" s="12"/>
      <c r="FN5" s="12"/>
      <c r="FO5" s="12"/>
      <c r="FP5" s="12"/>
      <c r="FQ5" s="12"/>
      <c r="FR5" s="12"/>
      <c r="FS5" s="12"/>
      <c r="FT5" s="12"/>
      <c r="FU5" s="12"/>
      <c r="FV5" s="12"/>
      <c r="FW5" s="12"/>
      <c r="FX5" s="12"/>
      <c r="FY5" s="12"/>
      <c r="FZ5" s="12"/>
      <c r="GA5" s="12"/>
      <c r="GB5" s="12"/>
      <c r="GC5" s="12"/>
      <c r="GD5" s="12"/>
      <c r="GE5" s="12"/>
      <c r="GF5" s="12"/>
      <c r="GG5" s="12"/>
      <c r="GH5" s="12"/>
      <c r="GI5" s="12"/>
      <c r="GJ5" s="12"/>
      <c r="GK5" s="12"/>
      <c r="GL5" s="12"/>
      <c r="GM5" s="12"/>
      <c r="GN5" s="12"/>
      <c r="GO5" s="12"/>
      <c r="GP5" s="12"/>
      <c r="GQ5" s="12"/>
      <c r="GR5" s="12"/>
      <c r="GS5" s="12"/>
      <c r="GT5" s="12"/>
      <c r="GU5" s="12"/>
      <c r="GV5" s="12"/>
      <c r="GW5" s="12"/>
      <c r="GX5" s="12"/>
      <c r="GY5" s="12"/>
      <c r="GZ5" s="12"/>
      <c r="HA5" s="12"/>
      <c r="HB5" s="12"/>
    </row>
    <row r="6" spans="1:210" ht="12.75" customHeight="1">
      <c r="A6" s="84" t="s">
        <v>143</v>
      </c>
      <c r="J6" s="32"/>
      <c r="K6" s="12"/>
      <c r="L6" s="12"/>
      <c r="M6" s="12"/>
      <c r="N6" s="12"/>
      <c r="O6" s="12"/>
      <c r="P6" s="12"/>
      <c r="Q6" s="12"/>
      <c r="R6" s="34"/>
      <c r="S6" s="12"/>
      <c r="T6" s="82"/>
      <c r="U6" s="12"/>
      <c r="V6" s="12"/>
      <c r="W6" s="15"/>
      <c r="X6" s="15"/>
      <c r="Y6" s="15"/>
      <c r="Z6" s="15"/>
      <c r="AA6" s="15">
        <v>0</v>
      </c>
      <c r="AB6" s="15"/>
      <c r="AC6" s="15"/>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c r="EC6" s="12"/>
      <c r="ED6" s="12"/>
      <c r="EE6" s="12"/>
      <c r="EF6" s="12"/>
      <c r="EG6" s="12"/>
      <c r="EH6" s="12"/>
      <c r="EI6" s="12"/>
      <c r="EJ6" s="12"/>
      <c r="EK6" s="12"/>
      <c r="EL6" s="12"/>
      <c r="EM6" s="12"/>
      <c r="EN6" s="12"/>
      <c r="EO6" s="12"/>
      <c r="EP6" s="12"/>
      <c r="EQ6" s="12"/>
      <c r="ER6" s="12"/>
      <c r="ES6" s="12"/>
      <c r="ET6" s="12"/>
      <c r="EU6" s="12"/>
      <c r="EV6" s="12"/>
      <c r="EW6" s="12"/>
      <c r="EX6" s="12"/>
      <c r="EY6" s="12"/>
      <c r="EZ6" s="12"/>
      <c r="FA6" s="12"/>
      <c r="FB6" s="12"/>
      <c r="FC6" s="12"/>
      <c r="FD6" s="12"/>
      <c r="FE6" s="12"/>
      <c r="FF6" s="12"/>
      <c r="FG6" s="12"/>
      <c r="FH6" s="12"/>
      <c r="FI6" s="12"/>
      <c r="FJ6" s="12"/>
      <c r="FK6" s="12"/>
      <c r="FL6" s="12"/>
      <c r="FM6" s="12"/>
      <c r="FN6" s="12"/>
      <c r="FO6" s="12"/>
      <c r="FP6" s="12"/>
      <c r="FQ6" s="12"/>
      <c r="FR6" s="12"/>
      <c r="FS6" s="12"/>
      <c r="FT6" s="12"/>
      <c r="FU6" s="12"/>
      <c r="FV6" s="12"/>
      <c r="FW6" s="12"/>
      <c r="FX6" s="12"/>
      <c r="FY6" s="12"/>
      <c r="FZ6" s="12"/>
      <c r="GA6" s="12"/>
      <c r="GB6" s="12"/>
      <c r="GC6" s="12"/>
      <c r="GD6" s="12"/>
      <c r="GE6" s="12"/>
      <c r="GF6" s="12"/>
      <c r="GG6" s="12"/>
      <c r="GH6" s="12"/>
      <c r="GI6" s="12"/>
      <c r="GJ6" s="12"/>
      <c r="GK6" s="12"/>
      <c r="GL6" s="12"/>
      <c r="GM6" s="12"/>
      <c r="GN6" s="12"/>
      <c r="GO6" s="12"/>
      <c r="GP6" s="12"/>
      <c r="GQ6" s="12"/>
      <c r="GR6" s="12"/>
      <c r="GS6" s="12"/>
      <c r="GT6" s="12"/>
      <c r="GU6" s="12"/>
      <c r="GV6" s="12"/>
      <c r="GW6" s="12"/>
      <c r="GX6" s="12"/>
      <c r="GY6" s="12"/>
      <c r="GZ6" s="12"/>
      <c r="HA6" s="12"/>
      <c r="HB6" s="12"/>
    </row>
    <row r="7" spans="1:210" ht="12.75" customHeight="1">
      <c r="A7" s="14" t="s">
        <v>1</v>
      </c>
      <c r="B7" s="12">
        <f>(2533+196+6431+360)+(10996+18635)</f>
        <v>39151</v>
      </c>
      <c r="C7" s="12">
        <f>(2890+161+10730+783)+(12233+23407)</f>
        <v>50204</v>
      </c>
      <c r="D7" s="12">
        <f>(5014+249+10053+771)+(14635+26777)</f>
        <v>57499</v>
      </c>
      <c r="E7" s="12"/>
      <c r="F7" s="12"/>
      <c r="G7" s="12"/>
      <c r="H7" s="12"/>
      <c r="I7" s="12">
        <f>(26922.909+2841.575)+78730.072</f>
        <v>108494.556</v>
      </c>
      <c r="J7" s="32">
        <v>120275.083</v>
      </c>
      <c r="K7" s="12">
        <f>(26006.005+5047.527)+105232.473</f>
        <v>136286.005</v>
      </c>
      <c r="L7" s="12">
        <f>(28761.113+4950.562)+104064.717</f>
        <v>137776.39199999999</v>
      </c>
      <c r="M7" s="12">
        <v>147416.87</v>
      </c>
      <c r="N7" s="12">
        <f>(25908.61+6271.799)+92768.817</f>
        <v>124949.226</v>
      </c>
      <c r="O7" s="12">
        <v>133099.94099999999</v>
      </c>
      <c r="P7" s="12"/>
      <c r="Q7" s="12"/>
      <c r="R7" s="44">
        <v>152910.432</v>
      </c>
      <c r="S7" s="12">
        <v>187340.77499999999</v>
      </c>
      <c r="T7" s="82">
        <v>211828.23699999999</v>
      </c>
      <c r="U7" s="12">
        <v>201151.81</v>
      </c>
      <c r="V7" s="12">
        <v>228686.465</v>
      </c>
      <c r="W7" s="32">
        <v>280177.185</v>
      </c>
      <c r="X7" s="32">
        <v>325183.93800000002</v>
      </c>
      <c r="Y7" s="32">
        <v>374145.13400000002</v>
      </c>
      <c r="Z7" s="32">
        <v>398835.538</v>
      </c>
      <c r="AA7" s="32">
        <v>371732.17800000001</v>
      </c>
      <c r="AB7" s="32">
        <v>353792.24200000003</v>
      </c>
      <c r="AC7" s="32">
        <v>379742</v>
      </c>
      <c r="AD7" s="12">
        <v>343915.28</v>
      </c>
      <c r="AE7" s="12">
        <v>349174.88099999999</v>
      </c>
      <c r="AF7" s="12">
        <v>383519.36700000003</v>
      </c>
      <c r="AG7" s="12">
        <v>420354.266</v>
      </c>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c r="EC7" s="12"/>
      <c r="ED7" s="12"/>
      <c r="EE7" s="12"/>
      <c r="EF7" s="12"/>
      <c r="EG7" s="12"/>
      <c r="EH7" s="12"/>
      <c r="EI7" s="12"/>
      <c r="EJ7" s="12"/>
      <c r="EK7" s="12"/>
      <c r="EL7" s="12"/>
      <c r="EM7" s="12"/>
      <c r="EN7" s="12"/>
      <c r="EO7" s="12"/>
      <c r="EP7" s="12"/>
      <c r="EQ7" s="12"/>
      <c r="ER7" s="12"/>
      <c r="ES7" s="12"/>
      <c r="ET7" s="12"/>
      <c r="EU7" s="12"/>
      <c r="EV7" s="12"/>
      <c r="EW7" s="12"/>
      <c r="EX7" s="12"/>
      <c r="EY7" s="12"/>
      <c r="EZ7" s="12"/>
      <c r="FA7" s="12"/>
      <c r="FB7" s="12"/>
      <c r="FC7" s="12"/>
      <c r="FD7" s="12"/>
      <c r="FE7" s="12"/>
      <c r="FF7" s="12"/>
      <c r="FG7" s="12"/>
      <c r="FH7" s="12"/>
      <c r="FI7" s="12"/>
      <c r="FJ7" s="12"/>
      <c r="FK7" s="12"/>
      <c r="FL7" s="12"/>
      <c r="FM7" s="12"/>
      <c r="FN7" s="12"/>
      <c r="FO7" s="12"/>
      <c r="FP7" s="12"/>
      <c r="FQ7" s="12"/>
      <c r="FR7" s="12"/>
      <c r="FS7" s="12"/>
      <c r="FT7" s="12"/>
      <c r="FU7" s="12"/>
      <c r="FV7" s="12"/>
      <c r="FW7" s="12"/>
      <c r="FX7" s="12"/>
      <c r="FY7" s="12"/>
      <c r="FZ7" s="12"/>
      <c r="GA7" s="12"/>
      <c r="GB7" s="12"/>
      <c r="GC7" s="12"/>
      <c r="GD7" s="12"/>
      <c r="GE7" s="12"/>
      <c r="GF7" s="12"/>
      <c r="GG7" s="12"/>
      <c r="GH7" s="12"/>
      <c r="GI7" s="12"/>
      <c r="GJ7" s="12"/>
      <c r="GK7" s="12"/>
      <c r="GL7" s="12"/>
      <c r="GM7" s="12"/>
      <c r="GN7" s="12"/>
      <c r="GO7" s="12"/>
      <c r="GP7" s="12"/>
      <c r="GQ7" s="12"/>
      <c r="GR7" s="12"/>
      <c r="GS7" s="12"/>
      <c r="GT7" s="12"/>
      <c r="GU7" s="12"/>
      <c r="GV7" s="12"/>
      <c r="GW7" s="12"/>
      <c r="GX7" s="12"/>
      <c r="GY7" s="12"/>
      <c r="GZ7" s="12"/>
      <c r="HA7" s="12"/>
      <c r="HB7" s="12"/>
    </row>
    <row r="8" spans="1:210" ht="12.75" customHeight="1">
      <c r="A8" s="14" t="s">
        <v>2</v>
      </c>
      <c r="B8" s="12">
        <f>(4334+2223+34)+(6037+25823)</f>
        <v>38451</v>
      </c>
      <c r="C8" s="12">
        <f>(3687+216+3666+7)+(6025+28304)</f>
        <v>41905</v>
      </c>
      <c r="D8" s="12">
        <f>(4415+0+4438+0)+(6129+34433)</f>
        <v>49415</v>
      </c>
      <c r="E8" s="12"/>
      <c r="F8" s="12"/>
      <c r="G8" s="12"/>
      <c r="H8" s="12"/>
      <c r="I8" s="12">
        <f>(13285.03+18.538)+23661.194</f>
        <v>36964.762000000002</v>
      </c>
      <c r="J8" s="32">
        <v>42290.445</v>
      </c>
      <c r="K8" s="12">
        <v>55476.266000000003</v>
      </c>
      <c r="L8" s="12">
        <v>51366.392</v>
      </c>
      <c r="M8" s="12">
        <v>55999.819000000003</v>
      </c>
      <c r="N8" s="12">
        <f>(31378.105+0)+29312.323</f>
        <v>60690.428</v>
      </c>
      <c r="O8" s="12">
        <v>69055.444000000003</v>
      </c>
      <c r="P8" s="12"/>
      <c r="Q8" s="12"/>
      <c r="R8" s="63">
        <v>111686.61900000001</v>
      </c>
      <c r="S8" s="12">
        <v>115794.24900000001</v>
      </c>
      <c r="T8" s="82">
        <v>146225.67000000001</v>
      </c>
      <c r="U8" s="12">
        <v>474015.69199999998</v>
      </c>
      <c r="V8" s="12">
        <v>168214.03200000001</v>
      </c>
      <c r="W8" s="32">
        <v>170480.095</v>
      </c>
      <c r="X8" s="32">
        <v>196625.13399999999</v>
      </c>
      <c r="Y8" s="32">
        <v>197730.77900000001</v>
      </c>
      <c r="Z8" s="32">
        <v>234450.71299999999</v>
      </c>
      <c r="AA8" s="32">
        <v>151346.902</v>
      </c>
      <c r="AB8" s="32">
        <v>259352.75399999999</v>
      </c>
      <c r="AC8" s="32">
        <v>330101</v>
      </c>
      <c r="AD8" s="12">
        <v>357225.56300000002</v>
      </c>
      <c r="AE8" s="12">
        <v>386995.32500000001</v>
      </c>
      <c r="AF8" s="12">
        <v>376150.37099999998</v>
      </c>
      <c r="AG8" s="12">
        <v>386264.73700000002</v>
      </c>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c r="EC8" s="12"/>
      <c r="ED8" s="12"/>
      <c r="EE8" s="12"/>
      <c r="EF8" s="12"/>
      <c r="EG8" s="12"/>
      <c r="EH8" s="12"/>
      <c r="EI8" s="12"/>
      <c r="EJ8" s="12"/>
      <c r="EK8" s="12"/>
      <c r="EL8" s="12"/>
      <c r="EM8" s="12"/>
      <c r="EN8" s="12"/>
      <c r="EO8" s="12"/>
      <c r="EP8" s="12"/>
      <c r="EQ8" s="12"/>
      <c r="ER8" s="12"/>
      <c r="ES8" s="12"/>
      <c r="ET8" s="12"/>
      <c r="EU8" s="12"/>
      <c r="EV8" s="12"/>
      <c r="EW8" s="12"/>
      <c r="EX8" s="12"/>
      <c r="EY8" s="12"/>
      <c r="EZ8" s="12"/>
      <c r="FA8" s="12"/>
      <c r="FB8" s="12"/>
      <c r="FC8" s="12"/>
      <c r="FD8" s="12"/>
      <c r="FE8" s="12"/>
      <c r="FF8" s="12"/>
      <c r="FG8" s="12"/>
      <c r="FH8" s="12"/>
      <c r="FI8" s="12"/>
      <c r="FJ8" s="12"/>
      <c r="FK8" s="12"/>
      <c r="FL8" s="12"/>
      <c r="FM8" s="12"/>
      <c r="FN8" s="12"/>
      <c r="FO8" s="12"/>
      <c r="FP8" s="12"/>
      <c r="FQ8" s="12"/>
      <c r="FR8" s="12"/>
      <c r="FS8" s="12"/>
      <c r="FT8" s="12"/>
      <c r="FU8" s="12"/>
      <c r="FV8" s="12"/>
      <c r="FW8" s="12"/>
      <c r="FX8" s="12"/>
      <c r="FY8" s="12"/>
      <c r="FZ8" s="12"/>
      <c r="GA8" s="12"/>
      <c r="GB8" s="12"/>
      <c r="GC8" s="12"/>
      <c r="GD8" s="12"/>
      <c r="GE8" s="12"/>
      <c r="GF8" s="12"/>
      <c r="GG8" s="12"/>
      <c r="GH8" s="12"/>
      <c r="GI8" s="12"/>
      <c r="GJ8" s="12"/>
      <c r="GK8" s="12"/>
      <c r="GL8" s="12"/>
      <c r="GM8" s="12"/>
      <c r="GN8" s="12"/>
      <c r="GO8" s="12"/>
      <c r="GP8" s="12"/>
      <c r="GQ8" s="12"/>
      <c r="GR8" s="12"/>
      <c r="GS8" s="12"/>
      <c r="GT8" s="12"/>
      <c r="GU8" s="12"/>
      <c r="GV8" s="12"/>
      <c r="GW8" s="12"/>
      <c r="GX8" s="12"/>
      <c r="GY8" s="12"/>
      <c r="GZ8" s="12"/>
      <c r="HA8" s="12"/>
      <c r="HB8" s="12"/>
    </row>
    <row r="9" spans="1:210" ht="12.75" customHeight="1">
      <c r="A9" s="14" t="s">
        <v>60</v>
      </c>
      <c r="B9" s="12"/>
      <c r="C9" s="12"/>
      <c r="D9" s="12">
        <f>(0+2723)+(10049+154)</f>
        <v>12926</v>
      </c>
      <c r="E9" s="12"/>
      <c r="F9" s="12"/>
      <c r="G9" s="12"/>
      <c r="H9" s="12"/>
      <c r="I9" s="12">
        <v>22096.033000000003</v>
      </c>
      <c r="J9" s="32">
        <v>23028.817000000003</v>
      </c>
      <c r="K9" s="12"/>
      <c r="L9" s="12"/>
      <c r="M9" s="12">
        <v>25012.69</v>
      </c>
      <c r="N9" s="12">
        <f>(26489.587+0)+17896.956</f>
        <v>44386.542999999998</v>
      </c>
      <c r="O9" s="12">
        <v>47205.550999999999</v>
      </c>
      <c r="P9" s="12"/>
      <c r="Q9" s="12"/>
      <c r="R9" s="63">
        <v>43394.622000000003</v>
      </c>
      <c r="S9" s="61">
        <v>68683.741999999998</v>
      </c>
      <c r="T9" s="83">
        <v>64188.095999999998</v>
      </c>
      <c r="U9" s="61">
        <v>57082.224999999999</v>
      </c>
      <c r="V9" s="61">
        <v>76127.159</v>
      </c>
      <c r="W9" s="32">
        <f>14239.374+(2640.894+59641.547)</f>
        <v>76521.815000000002</v>
      </c>
      <c r="X9" s="32">
        <v>86182.573000000004</v>
      </c>
      <c r="Y9" s="32">
        <v>71445.164000000004</v>
      </c>
      <c r="Z9" s="32">
        <v>70019.168000000005</v>
      </c>
      <c r="AA9" s="32">
        <v>71687.611999999994</v>
      </c>
      <c r="AB9" s="32">
        <v>95653.676000000007</v>
      </c>
      <c r="AC9" s="32">
        <v>104670</v>
      </c>
      <c r="AD9" s="12">
        <v>106053.81600000001</v>
      </c>
      <c r="AE9" s="12">
        <v>91296.222999999998</v>
      </c>
      <c r="AF9" s="12">
        <v>102292.163</v>
      </c>
      <c r="AG9" s="12">
        <v>92122.835999999996</v>
      </c>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c r="EC9" s="12"/>
      <c r="ED9" s="12"/>
      <c r="EE9" s="12"/>
      <c r="EF9" s="12"/>
      <c r="EG9" s="12"/>
      <c r="EH9" s="12"/>
      <c r="EI9" s="12"/>
      <c r="EJ9" s="12"/>
      <c r="EK9" s="12"/>
      <c r="EL9" s="12"/>
      <c r="EM9" s="12"/>
      <c r="EN9" s="12"/>
      <c r="EO9" s="12"/>
      <c r="EP9" s="12"/>
      <c r="EQ9" s="12"/>
      <c r="ER9" s="12"/>
      <c r="ES9" s="12"/>
      <c r="ET9" s="12"/>
      <c r="EU9" s="12"/>
      <c r="EV9" s="12"/>
      <c r="EW9" s="12"/>
      <c r="EX9" s="12"/>
      <c r="EY9" s="12"/>
      <c r="EZ9" s="12"/>
      <c r="FA9" s="12"/>
      <c r="FB9" s="12"/>
      <c r="FC9" s="12"/>
      <c r="FD9" s="12"/>
      <c r="FE9" s="12"/>
      <c r="FF9" s="12"/>
      <c r="FG9" s="12"/>
      <c r="FH9" s="12"/>
      <c r="FI9" s="12"/>
      <c r="FJ9" s="12"/>
      <c r="FK9" s="12"/>
      <c r="FL9" s="12"/>
      <c r="FM9" s="12"/>
      <c r="FN9" s="12"/>
      <c r="FO9" s="12"/>
      <c r="FP9" s="12"/>
      <c r="FQ9" s="12"/>
      <c r="FR9" s="12"/>
      <c r="FS9" s="12"/>
      <c r="FT9" s="12"/>
      <c r="FU9" s="12"/>
      <c r="FV9" s="12"/>
      <c r="FW9" s="12"/>
      <c r="FX9" s="12"/>
      <c r="FY9" s="12"/>
      <c r="FZ9" s="12"/>
      <c r="GA9" s="12"/>
      <c r="GB9" s="12"/>
      <c r="GC9" s="12"/>
      <c r="GD9" s="12"/>
      <c r="GE9" s="12"/>
      <c r="GF9" s="12"/>
      <c r="GG9" s="12"/>
      <c r="GH9" s="12"/>
      <c r="GI9" s="12"/>
      <c r="GJ9" s="12"/>
      <c r="GK9" s="12"/>
      <c r="GL9" s="12"/>
      <c r="GM9" s="12"/>
      <c r="GN9" s="12"/>
      <c r="GO9" s="12"/>
      <c r="GP9" s="12"/>
      <c r="GQ9" s="12"/>
      <c r="GR9" s="12"/>
      <c r="GS9" s="12"/>
      <c r="GT9" s="12"/>
      <c r="GU9" s="12"/>
      <c r="GV9" s="12"/>
      <c r="GW9" s="12"/>
      <c r="GX9" s="12"/>
      <c r="GY9" s="12"/>
      <c r="GZ9" s="12"/>
      <c r="HA9" s="12"/>
      <c r="HB9" s="12"/>
    </row>
    <row r="10" spans="1:210" ht="12.75" customHeight="1">
      <c r="A10" s="14" t="s">
        <v>3</v>
      </c>
      <c r="B10" s="12">
        <f>(16481+723+15311+559)+(44955+12192)</f>
        <v>90221</v>
      </c>
      <c r="C10" s="12">
        <f>(21244+141+13981+958)+(51185+13600)</f>
        <v>101109</v>
      </c>
      <c r="D10" s="12">
        <f>(24434+89+17442+501)+(57767+17156)</f>
        <v>117389</v>
      </c>
      <c r="E10" s="12"/>
      <c r="F10" s="12"/>
      <c r="G10" s="12"/>
      <c r="H10" s="12"/>
      <c r="I10" s="12">
        <f>(100008.12+1921.325)+167738.528</f>
        <v>269667.973</v>
      </c>
      <c r="J10" s="32">
        <v>290336.72899999999</v>
      </c>
      <c r="K10" s="12">
        <f>(86693.446+5154.57)+172440.882</f>
        <v>264288.89800000004</v>
      </c>
      <c r="L10" s="12">
        <f>(105689.428+3931.859)+232769.939</f>
        <v>342391.22600000002</v>
      </c>
      <c r="M10" s="12">
        <v>275509.42099999997</v>
      </c>
      <c r="N10" s="12">
        <f>(116216.505+1344.599)+168101.599</f>
        <v>285662.70299999998</v>
      </c>
      <c r="O10" s="12">
        <v>329142.79799999995</v>
      </c>
      <c r="P10" s="12"/>
      <c r="Q10" s="12"/>
      <c r="R10" s="63">
        <v>373330.46100000001</v>
      </c>
      <c r="S10" s="12">
        <v>439121.68700000003</v>
      </c>
      <c r="T10" s="82">
        <v>551877.91</v>
      </c>
      <c r="U10" s="12">
        <v>642119.12</v>
      </c>
      <c r="V10" s="12">
        <v>681499.90599999996</v>
      </c>
      <c r="W10" s="32">
        <v>880887.31900000002</v>
      </c>
      <c r="X10" s="32">
        <v>868863.10900000005</v>
      </c>
      <c r="Y10" s="32">
        <v>933026.05099999998</v>
      </c>
      <c r="Z10" s="32">
        <v>917464.11399999994</v>
      </c>
      <c r="AA10" s="32">
        <v>1127153.4469999999</v>
      </c>
      <c r="AB10" s="32">
        <v>1166090.5049999999</v>
      </c>
      <c r="AC10" s="32">
        <v>1306482</v>
      </c>
      <c r="AD10" s="12">
        <v>1266092.425</v>
      </c>
      <c r="AE10" s="12">
        <v>1326848.4739999999</v>
      </c>
      <c r="AF10" s="12">
        <v>1410414.388</v>
      </c>
      <c r="AG10" s="12">
        <v>1641937.3959999999</v>
      </c>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c r="EC10" s="12"/>
      <c r="ED10" s="12"/>
      <c r="EE10" s="12"/>
      <c r="EF10" s="12"/>
      <c r="EG10" s="12"/>
      <c r="EH10" s="12"/>
      <c r="EI10" s="12"/>
      <c r="EJ10" s="12"/>
      <c r="EK10" s="12"/>
      <c r="EL10" s="12"/>
      <c r="EM10" s="12"/>
      <c r="EN10" s="12"/>
      <c r="EO10" s="12"/>
      <c r="EP10" s="12"/>
      <c r="EQ10" s="12"/>
      <c r="ER10" s="12"/>
      <c r="ES10" s="12"/>
      <c r="ET10" s="12"/>
      <c r="EU10" s="12"/>
      <c r="EV10" s="12"/>
      <c r="EW10" s="12"/>
      <c r="EX10" s="12"/>
      <c r="EY10" s="12"/>
      <c r="EZ10" s="12"/>
      <c r="FA10" s="12"/>
      <c r="FB10" s="12"/>
      <c r="FC10" s="12"/>
      <c r="FD10" s="12"/>
      <c r="FE10" s="12"/>
      <c r="FF10" s="12"/>
      <c r="FG10" s="12"/>
      <c r="FH10" s="12"/>
      <c r="FI10" s="12"/>
      <c r="FJ10" s="12"/>
      <c r="FK10" s="12"/>
      <c r="FL10" s="12"/>
      <c r="FM10" s="12"/>
      <c r="FN10" s="12"/>
      <c r="FO10" s="12"/>
      <c r="FP10" s="12"/>
      <c r="FQ10" s="12"/>
      <c r="FR10" s="12"/>
      <c r="FS10" s="12"/>
      <c r="FT10" s="12"/>
      <c r="FU10" s="12"/>
      <c r="FV10" s="12"/>
      <c r="FW10" s="12"/>
      <c r="FX10" s="12"/>
      <c r="FY10" s="12"/>
      <c r="FZ10" s="12"/>
      <c r="GA10" s="12"/>
      <c r="GB10" s="12"/>
      <c r="GC10" s="12"/>
      <c r="GD10" s="12"/>
      <c r="GE10" s="12"/>
      <c r="GF10" s="12"/>
      <c r="GG10" s="12"/>
      <c r="GH10" s="12"/>
      <c r="GI10" s="12"/>
      <c r="GJ10" s="12"/>
      <c r="GK10" s="12"/>
      <c r="GL10" s="12"/>
      <c r="GM10" s="12"/>
      <c r="GN10" s="12"/>
      <c r="GO10" s="12"/>
      <c r="GP10" s="12"/>
      <c r="GQ10" s="12"/>
      <c r="GR10" s="12"/>
      <c r="GS10" s="12"/>
      <c r="GT10" s="12"/>
      <c r="GU10" s="12"/>
      <c r="GV10" s="12"/>
      <c r="GW10" s="12"/>
      <c r="GX10" s="12"/>
      <c r="GY10" s="12"/>
      <c r="GZ10" s="12"/>
      <c r="HA10" s="12"/>
      <c r="HB10" s="12"/>
    </row>
    <row r="11" spans="1:210" ht="12.75" customHeight="1">
      <c r="A11" s="14" t="s">
        <v>4</v>
      </c>
      <c r="B11" s="12">
        <f>(4386+594+10194+876)+(13627+36649)</f>
        <v>66326</v>
      </c>
      <c r="C11" s="12">
        <f>(4725+632+10667+837)+(14928+40172)</f>
        <v>71961</v>
      </c>
      <c r="D11" s="12">
        <f>(5752+547+12277+770)+(18391+46468)</f>
        <v>84205</v>
      </c>
      <c r="E11" s="12"/>
      <c r="F11" s="12"/>
      <c r="G11" s="12"/>
      <c r="H11" s="12"/>
      <c r="I11" s="12">
        <f>(27898.729+2465.459)+91047.146</f>
        <v>121411.33399999999</v>
      </c>
      <c r="J11" s="32">
        <v>129632.202</v>
      </c>
      <c r="K11" s="12">
        <f>(28561.347+3930.985)+122100.248</f>
        <v>154592.58000000002</v>
      </c>
      <c r="L11" s="12">
        <f>(41863.886+4122.979)+123884.077</f>
        <v>169870.94200000001</v>
      </c>
      <c r="M11" s="12">
        <v>229433.076</v>
      </c>
      <c r="N11" s="12">
        <f>(115122.752+4040.612)+140394.731</f>
        <v>259558.09499999997</v>
      </c>
      <c r="O11" s="12">
        <v>301573.21899999998</v>
      </c>
      <c r="P11" s="12"/>
      <c r="Q11" s="12"/>
      <c r="R11" s="63">
        <v>503130.29399999999</v>
      </c>
      <c r="S11" s="12">
        <v>639656.19500000007</v>
      </c>
      <c r="T11" s="82">
        <v>504619.723</v>
      </c>
      <c r="U11" s="12">
        <v>517545.48700000002</v>
      </c>
      <c r="V11" s="12">
        <v>549332.52800000005</v>
      </c>
      <c r="W11" s="32">
        <v>399360.24300000002</v>
      </c>
      <c r="X11" s="32">
        <v>447436.19</v>
      </c>
      <c r="Y11" s="32">
        <v>507359.72600000002</v>
      </c>
      <c r="Z11" s="32">
        <v>527597.61</v>
      </c>
      <c r="AA11" s="32">
        <v>444895.00799999997</v>
      </c>
      <c r="AB11" s="32">
        <v>561840.93500000006</v>
      </c>
      <c r="AC11" s="32">
        <v>561016</v>
      </c>
      <c r="AD11" s="12">
        <v>587714.82999999996</v>
      </c>
      <c r="AE11" s="12">
        <v>726670.05599999998</v>
      </c>
      <c r="AF11" s="12">
        <v>664287.92599999998</v>
      </c>
      <c r="AG11" s="12">
        <v>698944.51399999997</v>
      </c>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row>
    <row r="12" spans="1:210" ht="12.75" customHeight="1">
      <c r="A12" s="14" t="s">
        <v>5</v>
      </c>
      <c r="B12" s="12">
        <f>(17860+3094+610)+(39786+1095)</f>
        <v>62445</v>
      </c>
      <c r="C12" s="12">
        <f>(17512+0+4272+630)+(47598+1261)</f>
        <v>71273</v>
      </c>
      <c r="D12" s="12">
        <f>(20709+184+5684+769)+(23228+1354)</f>
        <v>51928</v>
      </c>
      <c r="E12" s="12"/>
      <c r="F12" s="12"/>
      <c r="G12" s="12"/>
      <c r="H12" s="12"/>
      <c r="I12" s="12">
        <f>(30120.364+2092.082)+32445.642</f>
        <v>64658.088000000003</v>
      </c>
      <c r="J12" s="32">
        <v>65177.283000000003</v>
      </c>
      <c r="K12" s="12">
        <f>(30097.685+2131.568)+31610.618</f>
        <v>63839.870999999999</v>
      </c>
      <c r="L12" s="12">
        <f>(31701.791+1872.287)+26573.865</f>
        <v>60147.942999999999</v>
      </c>
      <c r="M12" s="12">
        <v>84373.736000000004</v>
      </c>
      <c r="N12" s="12">
        <f>(44623.056+1530)+63386.56</f>
        <v>109539.61599999999</v>
      </c>
      <c r="O12" s="12">
        <v>150741.655</v>
      </c>
      <c r="P12" s="12"/>
      <c r="Q12" s="12"/>
      <c r="R12" s="34">
        <v>209998.27399999998</v>
      </c>
      <c r="S12" s="12">
        <v>293368.04700000002</v>
      </c>
      <c r="T12" s="82">
        <v>280025.647</v>
      </c>
      <c r="U12" s="12">
        <v>299749.39500000002</v>
      </c>
      <c r="V12" s="12">
        <v>262644.81099999999</v>
      </c>
      <c r="W12" s="32">
        <v>283878.78000000003</v>
      </c>
      <c r="X12" s="32">
        <v>313078.28100000002</v>
      </c>
      <c r="Y12" s="32">
        <v>331818.054</v>
      </c>
      <c r="Z12" s="32">
        <v>371999.85399999999</v>
      </c>
      <c r="AA12" s="32">
        <v>350350.54100000003</v>
      </c>
      <c r="AB12" s="32">
        <v>335217.78600000002</v>
      </c>
      <c r="AC12" s="32">
        <v>396277</v>
      </c>
      <c r="AD12" s="12">
        <v>370067.54300000001</v>
      </c>
      <c r="AE12" s="12">
        <v>357919.78600000002</v>
      </c>
      <c r="AF12" s="12">
        <v>344229.533</v>
      </c>
      <c r="AG12" s="12">
        <v>410220.34499999997</v>
      </c>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row>
    <row r="13" spans="1:210" ht="12.75" customHeight="1">
      <c r="A13" s="14" t="s">
        <v>6</v>
      </c>
      <c r="B13" s="12">
        <f>(3548+18348+410)+(6630+11989)</f>
        <v>40925</v>
      </c>
      <c r="C13" s="12">
        <f>(3779+0+19154+372)+(8054+11897)</f>
        <v>43256</v>
      </c>
      <c r="D13" s="12">
        <f>(4208+0+20793+442)+(8994+12617)</f>
        <v>47054</v>
      </c>
      <c r="E13" s="12"/>
      <c r="F13" s="12"/>
      <c r="G13" s="12"/>
      <c r="H13" s="12"/>
      <c r="I13" s="12">
        <f>(52701.597+1923.222)+37359.365</f>
        <v>91984.184000000008</v>
      </c>
      <c r="J13" s="32">
        <v>104938.04</v>
      </c>
      <c r="K13" s="12">
        <f>(70915.476+1785.38)+45387.458</f>
        <v>118088.314</v>
      </c>
      <c r="L13" s="12">
        <f>(80575.185+2373.236)+47074.178</f>
        <v>130022.599</v>
      </c>
      <c r="M13" s="12">
        <v>163717.42000000001</v>
      </c>
      <c r="N13" s="12">
        <f>(115789.915+3467.948)+54024.39</f>
        <v>173282.253</v>
      </c>
      <c r="O13" s="12">
        <v>186289.88099999999</v>
      </c>
      <c r="P13" s="12"/>
      <c r="Q13" s="12"/>
      <c r="R13" s="34">
        <v>303614.49400000001</v>
      </c>
      <c r="S13" s="12">
        <v>288914.71799999999</v>
      </c>
      <c r="T13" s="82">
        <v>250905.003</v>
      </c>
      <c r="U13" s="12">
        <v>236566.829</v>
      </c>
      <c r="V13" s="12">
        <v>362229.37400000001</v>
      </c>
      <c r="W13" s="32">
        <v>377485.29700000002</v>
      </c>
      <c r="X13" s="32">
        <v>366860.01400000002</v>
      </c>
      <c r="Y13" s="32">
        <v>392744.34700000001</v>
      </c>
      <c r="Z13" s="32">
        <v>449147.38</v>
      </c>
      <c r="AA13" s="32">
        <v>223712.978</v>
      </c>
      <c r="AB13" s="32">
        <v>469331.17300000001</v>
      </c>
      <c r="AC13" s="32">
        <v>468927</v>
      </c>
      <c r="AD13" s="12">
        <v>478860.10700000002</v>
      </c>
      <c r="AE13" s="12">
        <v>497238.19</v>
      </c>
      <c r="AF13" s="12">
        <v>548760.32799999998</v>
      </c>
      <c r="AG13" s="12">
        <v>654618.10699999996</v>
      </c>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row>
    <row r="14" spans="1:210" ht="12.75" customHeight="1">
      <c r="A14" s="14" t="s">
        <v>7</v>
      </c>
      <c r="B14" s="12">
        <f>(10502+1679)+18311</f>
        <v>30492</v>
      </c>
      <c r="C14" s="12">
        <f>(23163+1623)+(0+19136)</f>
        <v>43922</v>
      </c>
      <c r="D14" s="12">
        <f>(0+34784+1722)+(0+21690)</f>
        <v>58196</v>
      </c>
      <c r="E14" s="12"/>
      <c r="F14" s="12"/>
      <c r="G14" s="12"/>
      <c r="H14" s="12"/>
      <c r="I14" s="12">
        <f>(58635.429+0)+40936.366</f>
        <v>99571.794999999998</v>
      </c>
      <c r="J14" s="32">
        <v>95203.513000000006</v>
      </c>
      <c r="K14" s="12">
        <v>120839.58499999999</v>
      </c>
      <c r="L14" s="12">
        <f>(59032.409+7.797)+74464.893</f>
        <v>133505.09899999999</v>
      </c>
      <c r="M14" s="12">
        <v>137246.39199999999</v>
      </c>
      <c r="N14" s="12">
        <f>(66891.123+1224.464)+81671.432</f>
        <v>149787.019</v>
      </c>
      <c r="O14" s="12">
        <v>172336.80810999998</v>
      </c>
      <c r="P14" s="12"/>
      <c r="Q14" s="12"/>
      <c r="R14" s="34">
        <v>345219.95799999998</v>
      </c>
      <c r="S14" s="12">
        <v>285040.92799999996</v>
      </c>
      <c r="T14" s="82">
        <v>330944.97499999998</v>
      </c>
      <c r="U14" s="12">
        <v>393229.81</v>
      </c>
      <c r="V14" s="12">
        <v>369917.96500000003</v>
      </c>
      <c r="W14" s="32">
        <v>427702.29300000001</v>
      </c>
      <c r="X14" s="32">
        <v>350482.73</v>
      </c>
      <c r="Y14" s="32">
        <v>368105.19500000001</v>
      </c>
      <c r="Z14" s="32">
        <v>448937.47700000001</v>
      </c>
      <c r="AA14" s="32">
        <v>277823.52</v>
      </c>
      <c r="AB14" s="32">
        <v>408354.41800000001</v>
      </c>
      <c r="AC14" s="32">
        <v>398738</v>
      </c>
      <c r="AD14" s="12">
        <v>429761.87300000002</v>
      </c>
      <c r="AE14" s="12">
        <v>450224.75</v>
      </c>
      <c r="AF14" s="12">
        <v>429333.19500000001</v>
      </c>
      <c r="AG14" s="12">
        <v>460729.63199999998</v>
      </c>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c r="FL14" s="12"/>
      <c r="FM14" s="12"/>
      <c r="FN14" s="12"/>
      <c r="FO14" s="12"/>
      <c r="FP14" s="12"/>
      <c r="FQ14" s="12"/>
      <c r="FR14" s="12"/>
      <c r="FS14" s="12"/>
      <c r="FT14" s="12"/>
      <c r="FU14" s="12"/>
      <c r="FV14" s="12"/>
      <c r="FW14" s="12"/>
      <c r="FX14" s="12"/>
      <c r="FY14" s="12"/>
      <c r="FZ14" s="12"/>
      <c r="GA14" s="12"/>
      <c r="GB14" s="12"/>
      <c r="GC14" s="12"/>
      <c r="GD14" s="12"/>
      <c r="GE14" s="12"/>
      <c r="GF14" s="12"/>
      <c r="GG14" s="12"/>
      <c r="GH14" s="12"/>
      <c r="GI14" s="12"/>
      <c r="GJ14" s="12"/>
      <c r="GK14" s="12"/>
      <c r="GL14" s="12"/>
      <c r="GM14" s="12"/>
      <c r="GN14" s="12"/>
      <c r="GO14" s="12"/>
      <c r="GP14" s="12"/>
      <c r="GQ14" s="12"/>
      <c r="GR14" s="12"/>
      <c r="GS14" s="12"/>
      <c r="GT14" s="12"/>
      <c r="GU14" s="12"/>
      <c r="GV14" s="12"/>
      <c r="GW14" s="12"/>
      <c r="GX14" s="12"/>
      <c r="GY14" s="12"/>
      <c r="GZ14" s="12"/>
      <c r="HA14" s="12"/>
      <c r="HB14" s="12"/>
    </row>
    <row r="15" spans="1:210" ht="12.75" customHeight="1">
      <c r="A15" s="14" t="s">
        <v>8</v>
      </c>
      <c r="B15" s="12">
        <f>(845+31+6431+5172)+(2497+10308)</f>
        <v>25284</v>
      </c>
      <c r="C15" s="12">
        <f>(1137+0+6434+5578)+(2388+11062)</f>
        <v>26599</v>
      </c>
      <c r="D15" s="12">
        <f>(0+1007+7213+3041)+(2450+14431)</f>
        <v>28142</v>
      </c>
      <c r="E15" s="12"/>
      <c r="F15" s="12"/>
      <c r="G15" s="12"/>
      <c r="H15" s="12"/>
      <c r="I15" s="12">
        <f>(13098.112+742.432)+30854.957</f>
        <v>44695.500999999997</v>
      </c>
      <c r="J15" s="32">
        <v>44059.441999999995</v>
      </c>
      <c r="K15" s="12">
        <f>(12257.986+1130.429)+33907.568</f>
        <v>47295.983</v>
      </c>
      <c r="L15" s="12">
        <f>(14144.024+1657.722)+32896.634</f>
        <v>48698.38</v>
      </c>
      <c r="M15" s="12">
        <v>59463.828000000001</v>
      </c>
      <c r="N15" s="12">
        <f>(21890.981+3205.306)+35404.148</f>
        <v>60500.434999999998</v>
      </c>
      <c r="O15" s="12">
        <v>66376.370999999999</v>
      </c>
      <c r="P15" s="12"/>
      <c r="Q15" s="12"/>
      <c r="R15" s="34">
        <v>100843.38099999999</v>
      </c>
      <c r="S15" s="12">
        <v>109508.10500000001</v>
      </c>
      <c r="T15" s="82">
        <v>125999.16899999999</v>
      </c>
      <c r="U15" s="12">
        <v>129157.569</v>
      </c>
      <c r="V15" s="12">
        <v>145820.77900000001</v>
      </c>
      <c r="W15" s="32">
        <v>151689.19899999999</v>
      </c>
      <c r="X15" s="32">
        <v>171792.09899999999</v>
      </c>
      <c r="Y15" s="32">
        <v>184366.122</v>
      </c>
      <c r="Z15" s="32">
        <v>198029.516</v>
      </c>
      <c r="AA15" s="32">
        <v>154419.04999999999</v>
      </c>
      <c r="AB15" s="32">
        <v>175973.18400000001</v>
      </c>
      <c r="AC15" s="32">
        <v>190268</v>
      </c>
      <c r="AD15" s="12">
        <v>202310.55100000001</v>
      </c>
      <c r="AE15" s="12">
        <v>214073.33600000001</v>
      </c>
      <c r="AF15" s="12">
        <v>223369.17300000001</v>
      </c>
      <c r="AG15" s="12">
        <v>204546.91899999999</v>
      </c>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c r="FL15" s="12"/>
      <c r="FM15" s="12"/>
      <c r="FN15" s="12"/>
      <c r="FO15" s="12"/>
      <c r="FP15" s="12"/>
      <c r="FQ15" s="12"/>
      <c r="FR15" s="12"/>
      <c r="FS15" s="12"/>
      <c r="FT15" s="12"/>
      <c r="FU15" s="12"/>
      <c r="FV15" s="12"/>
      <c r="FW15" s="12"/>
      <c r="FX15" s="12"/>
      <c r="FY15" s="12"/>
      <c r="FZ15" s="12"/>
      <c r="GA15" s="12"/>
      <c r="GB15" s="12"/>
      <c r="GC15" s="12"/>
      <c r="GD15" s="12"/>
      <c r="GE15" s="12"/>
      <c r="GF15" s="12"/>
      <c r="GG15" s="12"/>
      <c r="GH15" s="12"/>
      <c r="GI15" s="12"/>
      <c r="GJ15" s="12"/>
      <c r="GK15" s="12"/>
      <c r="GL15" s="12"/>
      <c r="GM15" s="12"/>
      <c r="GN15" s="12"/>
      <c r="GO15" s="12"/>
      <c r="GP15" s="12"/>
      <c r="GQ15" s="12"/>
      <c r="GR15" s="12"/>
      <c r="GS15" s="12"/>
      <c r="GT15" s="12"/>
      <c r="GU15" s="12"/>
      <c r="GV15" s="12"/>
      <c r="GW15" s="12"/>
      <c r="GX15" s="12"/>
      <c r="GY15" s="12"/>
      <c r="GZ15" s="12"/>
      <c r="HA15" s="12"/>
      <c r="HB15" s="12"/>
    </row>
    <row r="16" spans="1:210" s="65" customFormat="1" ht="12.75" customHeight="1">
      <c r="A16" s="14" t="s">
        <v>9</v>
      </c>
      <c r="B16" s="20">
        <f>(3428+8936+1140)+(22755+20341)</f>
        <v>56600</v>
      </c>
      <c r="C16" s="20">
        <f>(4777+0+10501+1220)+(28469+24750)</f>
        <v>69717</v>
      </c>
      <c r="D16" s="20">
        <f>(5575+0+11604+1143)+(29554+30794)</f>
        <v>78670</v>
      </c>
      <c r="E16" s="20"/>
      <c r="F16" s="20"/>
      <c r="G16" s="20"/>
      <c r="H16" s="20"/>
      <c r="I16" s="20">
        <f>(30995.398+989.547)+121813.308</f>
        <v>153798.253</v>
      </c>
      <c r="J16" s="33">
        <v>166823.94899999999</v>
      </c>
      <c r="K16" s="20">
        <f>(39733.037+1848.039)+144958.888</f>
        <v>186539.96400000001</v>
      </c>
      <c r="L16" s="20">
        <f>(43482.83+1975.581)+146894.192</f>
        <v>192352.603</v>
      </c>
      <c r="M16" s="20">
        <v>197751.128</v>
      </c>
      <c r="N16" s="20">
        <f>(51764.606+3592.59)+167929.134</f>
        <v>223286.33</v>
      </c>
      <c r="O16" s="20">
        <v>237533.71799999999</v>
      </c>
      <c r="P16" s="20"/>
      <c r="Q16" s="20"/>
      <c r="R16" s="66">
        <v>328286.522</v>
      </c>
      <c r="S16" s="20">
        <v>405837.745</v>
      </c>
      <c r="T16" s="20">
        <v>365335.86300000001</v>
      </c>
      <c r="U16" s="20">
        <v>356104.85700000002</v>
      </c>
      <c r="V16" s="20">
        <v>401864.20400000003</v>
      </c>
      <c r="W16" s="33">
        <v>440305.61400000006</v>
      </c>
      <c r="X16" s="33">
        <v>434935.24800000002</v>
      </c>
      <c r="Y16" s="33">
        <v>457945.33100000001</v>
      </c>
      <c r="Z16" s="33">
        <v>608047.07900000003</v>
      </c>
      <c r="AA16" s="33">
        <v>630254.57400000002</v>
      </c>
      <c r="AB16" s="33">
        <v>686807.79599999997</v>
      </c>
      <c r="AC16" s="33">
        <v>802583</v>
      </c>
      <c r="AD16" s="20">
        <v>745807.66599999997</v>
      </c>
      <c r="AE16" s="20">
        <v>736934.31400000001</v>
      </c>
      <c r="AF16" s="20">
        <v>735507.02</v>
      </c>
      <c r="AG16" s="20">
        <v>800208.17099999997</v>
      </c>
      <c r="AH16" s="20"/>
      <c r="AI16" s="20"/>
      <c r="AJ16" s="20"/>
      <c r="AK16" s="20"/>
      <c r="AL16" s="20"/>
      <c r="AM16" s="20"/>
      <c r="AN16" s="20"/>
      <c r="AO16" s="20"/>
      <c r="AP16" s="20"/>
      <c r="AQ16" s="20"/>
      <c r="AR16" s="20"/>
      <c r="AS16" s="20"/>
      <c r="AT16" s="20"/>
      <c r="AU16" s="20"/>
      <c r="AV16" s="20"/>
      <c r="AW16" s="20"/>
      <c r="AX16" s="20"/>
      <c r="AY16" s="20"/>
      <c r="AZ16" s="20"/>
      <c r="BA16" s="20"/>
      <c r="BB16" s="20"/>
      <c r="BC16" s="20"/>
      <c r="BD16" s="20"/>
      <c r="BE16" s="20"/>
      <c r="BF16" s="20"/>
      <c r="BG16" s="20"/>
      <c r="BH16" s="20"/>
      <c r="BI16" s="20"/>
      <c r="BJ16" s="20"/>
      <c r="BK16" s="20"/>
      <c r="BL16" s="20"/>
      <c r="BM16" s="20"/>
      <c r="BN16" s="20"/>
      <c r="BO16" s="20"/>
      <c r="BP16" s="20"/>
      <c r="BQ16" s="20"/>
      <c r="BR16" s="20"/>
      <c r="BS16" s="20"/>
      <c r="BT16" s="20"/>
      <c r="BU16" s="20"/>
      <c r="BV16" s="20"/>
      <c r="BW16" s="20"/>
      <c r="BX16" s="20"/>
      <c r="BY16" s="20"/>
      <c r="BZ16" s="20"/>
      <c r="CA16" s="20"/>
      <c r="CB16" s="20"/>
      <c r="CC16" s="20"/>
      <c r="CD16" s="20"/>
      <c r="CE16" s="20"/>
      <c r="CF16" s="20"/>
      <c r="CG16" s="20"/>
      <c r="CH16" s="20"/>
      <c r="CI16" s="20"/>
      <c r="CJ16" s="20"/>
      <c r="CK16" s="20"/>
      <c r="CL16" s="20"/>
      <c r="CM16" s="20"/>
      <c r="CN16" s="20"/>
      <c r="CO16" s="20"/>
      <c r="CP16" s="20"/>
      <c r="CQ16" s="20"/>
      <c r="CR16" s="20"/>
      <c r="CS16" s="20"/>
      <c r="CT16" s="20"/>
      <c r="CU16" s="20"/>
      <c r="CV16" s="20"/>
      <c r="CW16" s="20"/>
      <c r="CX16" s="20"/>
      <c r="CY16" s="20"/>
      <c r="CZ16" s="20"/>
      <c r="DA16" s="20"/>
      <c r="DB16" s="20"/>
      <c r="DC16" s="20"/>
      <c r="DD16" s="20"/>
      <c r="DE16" s="20"/>
      <c r="DF16" s="20"/>
      <c r="DG16" s="20"/>
      <c r="DH16" s="20"/>
      <c r="DI16" s="20"/>
      <c r="DJ16" s="20"/>
      <c r="DK16" s="20"/>
      <c r="DL16" s="20"/>
      <c r="DM16" s="20"/>
      <c r="DN16" s="20"/>
      <c r="DO16" s="20"/>
      <c r="DP16" s="20"/>
      <c r="DQ16" s="20"/>
      <c r="DR16" s="20"/>
      <c r="DS16" s="20"/>
      <c r="DT16" s="20"/>
      <c r="DU16" s="20"/>
      <c r="DV16" s="20"/>
      <c r="DW16" s="20"/>
      <c r="DX16" s="20"/>
      <c r="DY16" s="20"/>
      <c r="DZ16" s="20"/>
      <c r="EA16" s="20"/>
      <c r="EB16" s="20"/>
      <c r="EC16" s="20"/>
      <c r="ED16" s="20"/>
      <c r="EE16" s="20"/>
      <c r="EF16" s="20"/>
      <c r="EG16" s="20"/>
      <c r="EH16" s="20"/>
      <c r="EI16" s="20"/>
      <c r="EJ16" s="20"/>
      <c r="EK16" s="20"/>
      <c r="EL16" s="20"/>
      <c r="EM16" s="20"/>
      <c r="EN16" s="20"/>
      <c r="EO16" s="20"/>
      <c r="EP16" s="20"/>
      <c r="EQ16" s="20"/>
      <c r="ER16" s="20"/>
      <c r="ES16" s="20"/>
      <c r="ET16" s="20"/>
      <c r="EU16" s="20"/>
      <c r="EV16" s="20"/>
      <c r="EW16" s="20"/>
      <c r="EX16" s="20"/>
      <c r="EY16" s="20"/>
      <c r="EZ16" s="20"/>
      <c r="FA16" s="20"/>
      <c r="FB16" s="20"/>
      <c r="FC16" s="20"/>
      <c r="FD16" s="20"/>
      <c r="FE16" s="20"/>
      <c r="FF16" s="20"/>
      <c r="FG16" s="20"/>
      <c r="FH16" s="20"/>
      <c r="FI16" s="20"/>
      <c r="FJ16" s="20"/>
      <c r="FK16" s="20"/>
      <c r="FL16" s="20"/>
      <c r="FM16" s="20"/>
      <c r="FN16" s="20"/>
      <c r="FO16" s="20"/>
      <c r="FP16" s="20"/>
      <c r="FQ16" s="20"/>
      <c r="FR16" s="20"/>
      <c r="FS16" s="20"/>
      <c r="FT16" s="20"/>
      <c r="FU16" s="20"/>
      <c r="FV16" s="20"/>
      <c r="FW16" s="20"/>
      <c r="FX16" s="20"/>
      <c r="FY16" s="20"/>
      <c r="FZ16" s="20"/>
      <c r="GA16" s="20"/>
      <c r="GB16" s="20"/>
      <c r="GC16" s="20"/>
      <c r="GD16" s="20"/>
      <c r="GE16" s="20"/>
      <c r="GF16" s="20"/>
      <c r="GG16" s="20"/>
      <c r="GH16" s="20"/>
      <c r="GI16" s="20"/>
      <c r="GJ16" s="20"/>
      <c r="GK16" s="20"/>
      <c r="GL16" s="20"/>
      <c r="GM16" s="20"/>
      <c r="GN16" s="20"/>
      <c r="GO16" s="20"/>
      <c r="GP16" s="20"/>
      <c r="GQ16" s="20"/>
      <c r="GR16" s="20"/>
      <c r="GS16" s="20"/>
      <c r="GT16" s="20"/>
      <c r="GU16" s="20"/>
      <c r="GV16" s="20"/>
      <c r="GW16" s="20"/>
      <c r="GX16" s="20"/>
      <c r="GY16" s="20"/>
      <c r="GZ16" s="20"/>
      <c r="HA16" s="20"/>
      <c r="HB16" s="20"/>
    </row>
    <row r="17" spans="1:210" s="65" customFormat="1" ht="12.75" customHeight="1">
      <c r="A17" s="14" t="s">
        <v>10</v>
      </c>
      <c r="B17" s="20">
        <f>(7898+6)+12296</f>
        <v>20200</v>
      </c>
      <c r="C17" s="20">
        <f>(7279+9)+(0+14729)</f>
        <v>22017</v>
      </c>
      <c r="D17" s="20">
        <f>(0+0+18022+412)+(0+15625)</f>
        <v>34059</v>
      </c>
      <c r="E17" s="20"/>
      <c r="F17" s="20"/>
      <c r="G17" s="20"/>
      <c r="H17" s="20"/>
      <c r="I17" s="20">
        <f>(44577.78+130.01)+28276.702</f>
        <v>72984.491999999998</v>
      </c>
      <c r="J17" s="33">
        <v>88713.635999999999</v>
      </c>
      <c r="K17" s="20">
        <f>(58801.451+348.875)+32763.295</f>
        <v>91913.620999999999</v>
      </c>
      <c r="L17" s="20">
        <f>(54985.414+268.987)+40876.545</f>
        <v>96130.945999999996</v>
      </c>
      <c r="M17" s="20">
        <v>105913.41399999999</v>
      </c>
      <c r="N17" s="20">
        <f>(65409.633+156.483)+45482.176</f>
        <v>111048.29199999999</v>
      </c>
      <c r="O17" s="20">
        <v>123731.10837</v>
      </c>
      <c r="P17" s="20"/>
      <c r="Q17" s="20"/>
      <c r="R17" s="66">
        <v>168019.163</v>
      </c>
      <c r="S17" s="20">
        <v>187674.27799999999</v>
      </c>
      <c r="T17" s="20">
        <v>205273.50099999999</v>
      </c>
      <c r="U17" s="20">
        <v>247537.04</v>
      </c>
      <c r="V17" s="20">
        <v>256589.84599999999</v>
      </c>
      <c r="W17" s="33">
        <v>254789.973</v>
      </c>
      <c r="X17" s="33">
        <v>292364.092</v>
      </c>
      <c r="Y17" s="33">
        <v>334150.31699999998</v>
      </c>
      <c r="Z17" s="33">
        <v>342600.23100000003</v>
      </c>
      <c r="AA17" s="33">
        <v>229307.9</v>
      </c>
      <c r="AB17" s="33">
        <v>393991.891</v>
      </c>
      <c r="AC17" s="33">
        <v>438159</v>
      </c>
      <c r="AD17" s="20">
        <v>432219.22700000001</v>
      </c>
      <c r="AE17" s="20">
        <v>433158.435</v>
      </c>
      <c r="AF17" s="20">
        <v>472634.43099999998</v>
      </c>
      <c r="AG17" s="20">
        <v>492193.234</v>
      </c>
      <c r="AH17" s="20"/>
      <c r="AI17" s="20"/>
      <c r="AJ17" s="20"/>
      <c r="AK17" s="20"/>
      <c r="AL17" s="20"/>
      <c r="AM17" s="20"/>
      <c r="AN17" s="20"/>
      <c r="AO17" s="20"/>
      <c r="AP17" s="20"/>
      <c r="AQ17" s="20"/>
      <c r="AR17" s="20"/>
      <c r="AS17" s="20"/>
      <c r="AT17" s="20"/>
      <c r="AU17" s="20"/>
      <c r="AV17" s="20"/>
      <c r="AW17" s="20"/>
      <c r="AX17" s="20"/>
      <c r="AY17" s="20"/>
      <c r="AZ17" s="20"/>
      <c r="BA17" s="20"/>
      <c r="BB17" s="20"/>
      <c r="BC17" s="20"/>
      <c r="BD17" s="20"/>
      <c r="BE17" s="20"/>
      <c r="BF17" s="20"/>
      <c r="BG17" s="20"/>
      <c r="BH17" s="20"/>
      <c r="BI17" s="20"/>
      <c r="BJ17" s="20"/>
      <c r="BK17" s="20"/>
      <c r="BL17" s="20"/>
      <c r="BM17" s="20"/>
      <c r="BN17" s="20"/>
      <c r="BO17" s="20"/>
      <c r="BP17" s="20"/>
      <c r="BQ17" s="20"/>
      <c r="BR17" s="20"/>
      <c r="BS17" s="20"/>
      <c r="BT17" s="20"/>
      <c r="BU17" s="20"/>
      <c r="BV17" s="20"/>
      <c r="BW17" s="20"/>
      <c r="BX17" s="20"/>
      <c r="BY17" s="20"/>
      <c r="BZ17" s="20"/>
      <c r="CA17" s="20"/>
      <c r="CB17" s="20"/>
      <c r="CC17" s="20"/>
      <c r="CD17" s="20"/>
      <c r="CE17" s="20"/>
      <c r="CF17" s="20"/>
      <c r="CG17" s="20"/>
      <c r="CH17" s="20"/>
      <c r="CI17" s="20"/>
      <c r="CJ17" s="20"/>
      <c r="CK17" s="20"/>
      <c r="CL17" s="20"/>
      <c r="CM17" s="20"/>
      <c r="CN17" s="20"/>
      <c r="CO17" s="20"/>
      <c r="CP17" s="20"/>
      <c r="CQ17" s="20"/>
      <c r="CR17" s="20"/>
      <c r="CS17" s="20"/>
      <c r="CT17" s="20"/>
      <c r="CU17" s="20"/>
      <c r="CV17" s="20"/>
      <c r="CW17" s="20"/>
      <c r="CX17" s="20"/>
      <c r="CY17" s="20"/>
      <c r="CZ17" s="20"/>
      <c r="DA17" s="20"/>
      <c r="DB17" s="20"/>
      <c r="DC17" s="20"/>
      <c r="DD17" s="20"/>
      <c r="DE17" s="20"/>
      <c r="DF17" s="20"/>
      <c r="DG17" s="20"/>
      <c r="DH17" s="20"/>
      <c r="DI17" s="20"/>
      <c r="DJ17" s="20"/>
      <c r="DK17" s="20"/>
      <c r="DL17" s="20"/>
      <c r="DM17" s="20"/>
      <c r="DN17" s="20"/>
      <c r="DO17" s="20"/>
      <c r="DP17" s="20"/>
      <c r="DQ17" s="20"/>
      <c r="DR17" s="20"/>
      <c r="DS17" s="20"/>
      <c r="DT17" s="20"/>
      <c r="DU17" s="20"/>
      <c r="DV17" s="20"/>
      <c r="DW17" s="20"/>
      <c r="DX17" s="20"/>
      <c r="DY17" s="20"/>
      <c r="DZ17" s="20"/>
      <c r="EA17" s="20"/>
      <c r="EB17" s="20"/>
      <c r="EC17" s="20"/>
      <c r="ED17" s="20"/>
      <c r="EE17" s="20"/>
      <c r="EF17" s="20"/>
      <c r="EG17" s="20"/>
      <c r="EH17" s="20"/>
      <c r="EI17" s="20"/>
      <c r="EJ17" s="20"/>
      <c r="EK17" s="20"/>
      <c r="EL17" s="20"/>
      <c r="EM17" s="20"/>
      <c r="EN17" s="20"/>
      <c r="EO17" s="20"/>
      <c r="EP17" s="20"/>
      <c r="EQ17" s="20"/>
      <c r="ER17" s="20"/>
      <c r="ES17" s="20"/>
      <c r="ET17" s="20"/>
      <c r="EU17" s="20"/>
      <c r="EV17" s="20"/>
      <c r="EW17" s="20"/>
      <c r="EX17" s="20"/>
      <c r="EY17" s="20"/>
      <c r="EZ17" s="20"/>
      <c r="FA17" s="20"/>
      <c r="FB17" s="20"/>
      <c r="FC17" s="20"/>
      <c r="FD17" s="20"/>
      <c r="FE17" s="20"/>
      <c r="FF17" s="20"/>
      <c r="FG17" s="20"/>
      <c r="FH17" s="20"/>
      <c r="FI17" s="20"/>
      <c r="FJ17" s="20"/>
      <c r="FK17" s="20"/>
      <c r="FL17" s="20"/>
      <c r="FM17" s="20"/>
      <c r="FN17" s="20"/>
      <c r="FO17" s="20"/>
      <c r="FP17" s="20"/>
      <c r="FQ17" s="20"/>
      <c r="FR17" s="20"/>
      <c r="FS17" s="20"/>
      <c r="FT17" s="20"/>
      <c r="FU17" s="20"/>
      <c r="FV17" s="20"/>
      <c r="FW17" s="20"/>
      <c r="FX17" s="20"/>
      <c r="FY17" s="20"/>
      <c r="FZ17" s="20"/>
      <c r="GA17" s="20"/>
      <c r="GB17" s="20"/>
      <c r="GC17" s="20"/>
      <c r="GD17" s="20"/>
      <c r="GE17" s="20"/>
      <c r="GF17" s="20"/>
      <c r="GG17" s="20"/>
      <c r="GH17" s="20"/>
      <c r="GI17" s="20"/>
      <c r="GJ17" s="20"/>
      <c r="GK17" s="20"/>
      <c r="GL17" s="20"/>
      <c r="GM17" s="20"/>
      <c r="GN17" s="20"/>
      <c r="GO17" s="20"/>
      <c r="GP17" s="20"/>
      <c r="GQ17" s="20"/>
      <c r="GR17" s="20"/>
      <c r="GS17" s="20"/>
      <c r="GT17" s="20"/>
      <c r="GU17" s="20"/>
      <c r="GV17" s="20"/>
      <c r="GW17" s="20"/>
      <c r="GX17" s="20"/>
      <c r="GY17" s="20"/>
      <c r="GZ17" s="20"/>
      <c r="HA17" s="20"/>
      <c r="HB17" s="20"/>
    </row>
    <row r="18" spans="1:210" s="65" customFormat="1" ht="12.75" customHeight="1">
      <c r="A18" s="14" t="s">
        <v>11</v>
      </c>
      <c r="B18" s="20">
        <f>(714+31+1258+39)+(8920+6374)</f>
        <v>17336</v>
      </c>
      <c r="C18" s="20">
        <f>(3085+128+1287+145)+(11956+5881)</f>
        <v>22482</v>
      </c>
      <c r="D18" s="20">
        <f>(3755+114+2136+346)+(13538+7729)</f>
        <v>27618</v>
      </c>
      <c r="E18" s="20"/>
      <c r="F18" s="20"/>
      <c r="G18" s="20"/>
      <c r="H18" s="20"/>
      <c r="I18" s="20">
        <f>(10830.46+920.602)+49158.546</f>
        <v>60909.608</v>
      </c>
      <c r="J18" s="33">
        <v>80636.438999999998</v>
      </c>
      <c r="K18" s="20">
        <f>(9514.225+1195.23)+71072.786</f>
        <v>81782.240999999995</v>
      </c>
      <c r="L18" s="20">
        <f>(13955.734+1863.975)+79856.328</f>
        <v>95676.036999999997</v>
      </c>
      <c r="M18" s="20">
        <v>89738.713000000003</v>
      </c>
      <c r="N18" s="20">
        <f>(13851.584+1925.538)+68794.387</f>
        <v>84571.509000000005</v>
      </c>
      <c r="O18" s="20">
        <v>98530.750999999989</v>
      </c>
      <c r="P18" s="20"/>
      <c r="Q18" s="20"/>
      <c r="R18" s="66">
        <v>125321.985</v>
      </c>
      <c r="S18" s="20">
        <v>182544.72500000001</v>
      </c>
      <c r="T18" s="20">
        <v>210796.29399999999</v>
      </c>
      <c r="U18" s="20">
        <v>243967.478</v>
      </c>
      <c r="V18" s="20">
        <v>273119.20799999998</v>
      </c>
      <c r="W18" s="33">
        <v>289824.35600000003</v>
      </c>
      <c r="X18" s="33">
        <v>305903.31300000002</v>
      </c>
      <c r="Y18" s="33">
        <v>328365.96399999998</v>
      </c>
      <c r="Z18" s="33">
        <v>331693.41100000002</v>
      </c>
      <c r="AA18" s="33">
        <v>334477.66399999999</v>
      </c>
      <c r="AB18" s="33">
        <v>413883.85600000003</v>
      </c>
      <c r="AC18" s="33">
        <v>424631</v>
      </c>
      <c r="AD18" s="20">
        <v>445099.26799999998</v>
      </c>
      <c r="AE18" s="20">
        <v>475941.53499999997</v>
      </c>
      <c r="AF18" s="20">
        <v>499657.54</v>
      </c>
      <c r="AG18" s="20">
        <v>492153.59899999999</v>
      </c>
      <c r="AH18" s="20"/>
      <c r="AI18" s="20"/>
      <c r="AJ18" s="20"/>
      <c r="AK18" s="20"/>
      <c r="AL18" s="20"/>
      <c r="AM18" s="20"/>
      <c r="AN18" s="20"/>
      <c r="AO18" s="20"/>
      <c r="AP18" s="20"/>
      <c r="AQ18" s="20"/>
      <c r="AR18" s="20"/>
      <c r="AS18" s="20"/>
      <c r="AT18" s="20"/>
      <c r="AU18" s="20"/>
      <c r="AV18" s="20"/>
      <c r="AW18" s="20"/>
      <c r="AX18" s="20"/>
      <c r="AY18" s="20"/>
      <c r="AZ18" s="20"/>
      <c r="BA18" s="20"/>
      <c r="BB18" s="20"/>
      <c r="BC18" s="20"/>
      <c r="BD18" s="20"/>
      <c r="BE18" s="20"/>
      <c r="BF18" s="20"/>
      <c r="BG18" s="20"/>
      <c r="BH18" s="20"/>
      <c r="BI18" s="20"/>
      <c r="BJ18" s="20"/>
      <c r="BK18" s="20"/>
      <c r="BL18" s="20"/>
      <c r="BM18" s="20"/>
      <c r="BN18" s="20"/>
      <c r="BO18" s="20"/>
      <c r="BP18" s="20"/>
      <c r="BQ18" s="20"/>
      <c r="BR18" s="20"/>
      <c r="BS18" s="20"/>
      <c r="BT18" s="20"/>
      <c r="BU18" s="20"/>
      <c r="BV18" s="20"/>
      <c r="BW18" s="20"/>
      <c r="BX18" s="20"/>
      <c r="BY18" s="20"/>
      <c r="BZ18" s="20"/>
      <c r="CA18" s="20"/>
      <c r="CB18" s="20"/>
      <c r="CC18" s="20"/>
      <c r="CD18" s="20"/>
      <c r="CE18" s="20"/>
      <c r="CF18" s="20"/>
      <c r="CG18" s="20"/>
      <c r="CH18" s="20"/>
      <c r="CI18" s="20"/>
      <c r="CJ18" s="20"/>
      <c r="CK18" s="20"/>
      <c r="CL18" s="20"/>
      <c r="CM18" s="20"/>
      <c r="CN18" s="20"/>
      <c r="CO18" s="20"/>
      <c r="CP18" s="20"/>
      <c r="CQ18" s="20"/>
      <c r="CR18" s="20"/>
      <c r="CS18" s="20"/>
      <c r="CT18" s="20"/>
      <c r="CU18" s="20"/>
      <c r="CV18" s="20"/>
      <c r="CW18" s="20"/>
      <c r="CX18" s="20"/>
      <c r="CY18" s="20"/>
      <c r="CZ18" s="20"/>
      <c r="DA18" s="20"/>
      <c r="DB18" s="20"/>
      <c r="DC18" s="20"/>
      <c r="DD18" s="20"/>
      <c r="DE18" s="20"/>
      <c r="DF18" s="20"/>
      <c r="DG18" s="20"/>
      <c r="DH18" s="20"/>
      <c r="DI18" s="20"/>
      <c r="DJ18" s="20"/>
      <c r="DK18" s="20"/>
      <c r="DL18" s="20"/>
      <c r="DM18" s="20"/>
      <c r="DN18" s="20"/>
      <c r="DO18" s="20"/>
      <c r="DP18" s="20"/>
      <c r="DQ18" s="20"/>
      <c r="DR18" s="20"/>
      <c r="DS18" s="20"/>
      <c r="DT18" s="20"/>
      <c r="DU18" s="20"/>
      <c r="DV18" s="20"/>
      <c r="DW18" s="20"/>
      <c r="DX18" s="20"/>
      <c r="DY18" s="20"/>
      <c r="DZ18" s="20"/>
      <c r="EA18" s="20"/>
      <c r="EB18" s="20"/>
      <c r="EC18" s="20"/>
      <c r="ED18" s="20"/>
      <c r="EE18" s="20"/>
      <c r="EF18" s="20"/>
      <c r="EG18" s="20"/>
      <c r="EH18" s="20"/>
      <c r="EI18" s="20"/>
      <c r="EJ18" s="20"/>
      <c r="EK18" s="20"/>
      <c r="EL18" s="20"/>
      <c r="EM18" s="20"/>
      <c r="EN18" s="20"/>
      <c r="EO18" s="20"/>
      <c r="EP18" s="20"/>
      <c r="EQ18" s="20"/>
      <c r="ER18" s="20"/>
      <c r="ES18" s="20"/>
      <c r="ET18" s="20"/>
      <c r="EU18" s="20"/>
      <c r="EV18" s="20"/>
      <c r="EW18" s="20"/>
      <c r="EX18" s="20"/>
      <c r="EY18" s="20"/>
      <c r="EZ18" s="20"/>
      <c r="FA18" s="20"/>
      <c r="FB18" s="20"/>
      <c r="FC18" s="20"/>
      <c r="FD18" s="20"/>
      <c r="FE18" s="20"/>
      <c r="FF18" s="20"/>
      <c r="FG18" s="20"/>
      <c r="FH18" s="20"/>
      <c r="FI18" s="20"/>
      <c r="FJ18" s="20"/>
      <c r="FK18" s="20"/>
      <c r="FL18" s="20"/>
      <c r="FM18" s="20"/>
      <c r="FN18" s="20"/>
      <c r="FO18" s="20"/>
      <c r="FP18" s="20"/>
      <c r="FQ18" s="20"/>
      <c r="FR18" s="20"/>
      <c r="FS18" s="20"/>
      <c r="FT18" s="20"/>
      <c r="FU18" s="20"/>
      <c r="FV18" s="20"/>
      <c r="FW18" s="20"/>
      <c r="FX18" s="20"/>
      <c r="FY18" s="20"/>
      <c r="FZ18" s="20"/>
      <c r="GA18" s="20"/>
      <c r="GB18" s="20"/>
      <c r="GC18" s="20"/>
      <c r="GD18" s="20"/>
      <c r="GE18" s="20"/>
      <c r="GF18" s="20"/>
      <c r="GG18" s="20"/>
      <c r="GH18" s="20"/>
      <c r="GI18" s="20"/>
      <c r="GJ18" s="20"/>
      <c r="GK18" s="20"/>
      <c r="GL18" s="20"/>
      <c r="GM18" s="20"/>
      <c r="GN18" s="20"/>
      <c r="GO18" s="20"/>
      <c r="GP18" s="20"/>
      <c r="GQ18" s="20"/>
      <c r="GR18" s="20"/>
      <c r="GS18" s="20"/>
      <c r="GT18" s="20"/>
      <c r="GU18" s="20"/>
      <c r="GV18" s="20"/>
      <c r="GW18" s="20"/>
      <c r="GX18" s="20"/>
      <c r="GY18" s="20"/>
      <c r="GZ18" s="20"/>
      <c r="HA18" s="20"/>
      <c r="HB18" s="20"/>
    </row>
    <row r="19" spans="1:210" s="65" customFormat="1" ht="12.75" customHeight="1">
      <c r="A19" s="14" t="s">
        <v>12</v>
      </c>
      <c r="B19" s="20">
        <f>(2421+401+5367+3022)+(5318+24840)</f>
        <v>41369</v>
      </c>
      <c r="C19" s="20">
        <f>(3180+275+7135+3075)+(7451+28659)</f>
        <v>49775</v>
      </c>
      <c r="D19" s="20">
        <f>(5258+935+8864+4296)+(9459+30724)</f>
        <v>59536</v>
      </c>
      <c r="E19" s="20"/>
      <c r="F19" s="20"/>
      <c r="G19" s="20"/>
      <c r="H19" s="20"/>
      <c r="I19" s="20">
        <f>(24393.376+7864.237)+62787.292</f>
        <v>95044.904999999999</v>
      </c>
      <c r="J19" s="33">
        <v>97216.26</v>
      </c>
      <c r="K19" s="20">
        <f>(28075.049+9822.36)+76085.275</f>
        <v>113982.68399999999</v>
      </c>
      <c r="L19" s="20">
        <f>(34327.01+11435.913)+83079.722</f>
        <v>128842.64499999999</v>
      </c>
      <c r="M19" s="20">
        <v>131355.948</v>
      </c>
      <c r="N19" s="20">
        <f>(39487.81+12365.583)+95679.335</f>
        <v>147532.728</v>
      </c>
      <c r="O19" s="20">
        <v>163441.42053999999</v>
      </c>
      <c r="P19" s="20"/>
      <c r="Q19" s="20"/>
      <c r="R19" s="90">
        <v>192791.51</v>
      </c>
      <c r="S19" s="20">
        <v>240877.33100000001</v>
      </c>
      <c r="T19" s="20">
        <v>228400.45300000001</v>
      </c>
      <c r="U19" s="20">
        <v>268606.11499999999</v>
      </c>
      <c r="V19" s="20">
        <v>347483.30300000001</v>
      </c>
      <c r="W19" s="33">
        <v>456944.31699999998</v>
      </c>
      <c r="X19" s="33">
        <v>402589.56099999999</v>
      </c>
      <c r="Y19" s="33">
        <v>485346.96899999998</v>
      </c>
      <c r="Z19" s="33">
        <v>472422.62099999998</v>
      </c>
      <c r="AA19" s="33">
        <v>486507.40399999998</v>
      </c>
      <c r="AB19" s="50">
        <v>436160.88099999999</v>
      </c>
      <c r="AC19" s="33">
        <v>581855</v>
      </c>
      <c r="AD19" s="20">
        <v>529676.13300000003</v>
      </c>
      <c r="AE19" s="20">
        <v>511993.93400000001</v>
      </c>
      <c r="AF19" s="20">
        <v>514143.364</v>
      </c>
      <c r="AG19" s="20">
        <v>531115.70200000005</v>
      </c>
      <c r="AH19" s="20"/>
      <c r="AI19" s="20"/>
      <c r="AJ19" s="20"/>
      <c r="AK19" s="20"/>
      <c r="AL19" s="20"/>
      <c r="AM19" s="20"/>
      <c r="AN19" s="20"/>
      <c r="AO19" s="20"/>
      <c r="AP19" s="20"/>
      <c r="AQ19" s="20"/>
      <c r="AR19" s="20"/>
      <c r="AS19" s="20"/>
      <c r="AT19" s="20"/>
      <c r="AU19" s="20"/>
      <c r="AV19" s="20"/>
      <c r="AW19" s="20"/>
      <c r="AX19" s="20"/>
      <c r="AY19" s="20"/>
      <c r="AZ19" s="20"/>
      <c r="BA19" s="20"/>
      <c r="BB19" s="20"/>
      <c r="BC19" s="20"/>
      <c r="BD19" s="20"/>
      <c r="BE19" s="20"/>
      <c r="BF19" s="20"/>
      <c r="BG19" s="20"/>
      <c r="BH19" s="20"/>
      <c r="BI19" s="20"/>
      <c r="BJ19" s="20"/>
      <c r="BK19" s="20"/>
      <c r="BL19" s="20"/>
      <c r="BM19" s="20"/>
      <c r="BN19" s="20"/>
      <c r="BO19" s="20"/>
      <c r="BP19" s="20"/>
      <c r="BQ19" s="20"/>
      <c r="BR19" s="20"/>
      <c r="BS19" s="20"/>
      <c r="BT19" s="20"/>
      <c r="BU19" s="20"/>
      <c r="BV19" s="20"/>
      <c r="BW19" s="20"/>
      <c r="BX19" s="20"/>
      <c r="BY19" s="20"/>
      <c r="BZ19" s="20"/>
      <c r="CA19" s="20"/>
      <c r="CB19" s="20"/>
      <c r="CC19" s="20"/>
      <c r="CD19" s="20"/>
      <c r="CE19" s="20"/>
      <c r="CF19" s="20"/>
      <c r="CG19" s="20"/>
      <c r="CH19" s="20"/>
      <c r="CI19" s="20"/>
      <c r="CJ19" s="20"/>
      <c r="CK19" s="20"/>
      <c r="CL19" s="20"/>
      <c r="CM19" s="20"/>
      <c r="CN19" s="20"/>
      <c r="CO19" s="20"/>
      <c r="CP19" s="20"/>
      <c r="CQ19" s="20"/>
      <c r="CR19" s="20"/>
      <c r="CS19" s="20"/>
      <c r="CT19" s="20"/>
      <c r="CU19" s="20"/>
      <c r="CV19" s="20"/>
      <c r="CW19" s="20"/>
      <c r="CX19" s="20"/>
      <c r="CY19" s="20"/>
      <c r="CZ19" s="20"/>
      <c r="DA19" s="20"/>
      <c r="DB19" s="20"/>
      <c r="DC19" s="20"/>
      <c r="DD19" s="20"/>
      <c r="DE19" s="20"/>
      <c r="DF19" s="20"/>
      <c r="DG19" s="20"/>
      <c r="DH19" s="20"/>
      <c r="DI19" s="20"/>
      <c r="DJ19" s="20"/>
      <c r="DK19" s="20"/>
      <c r="DL19" s="20"/>
      <c r="DM19" s="20"/>
      <c r="DN19" s="20"/>
      <c r="DO19" s="20"/>
      <c r="DP19" s="20"/>
      <c r="DQ19" s="20"/>
      <c r="DR19" s="20"/>
      <c r="DS19" s="20"/>
      <c r="DT19" s="20"/>
      <c r="DU19" s="20"/>
      <c r="DV19" s="20"/>
      <c r="DW19" s="20"/>
      <c r="DX19" s="20"/>
      <c r="DY19" s="20"/>
      <c r="DZ19" s="20"/>
      <c r="EA19" s="20"/>
      <c r="EB19" s="20"/>
      <c r="EC19" s="20"/>
      <c r="ED19" s="20"/>
      <c r="EE19" s="20"/>
      <c r="EF19" s="20"/>
      <c r="EG19" s="20"/>
      <c r="EH19" s="20"/>
      <c r="EI19" s="20"/>
      <c r="EJ19" s="20"/>
      <c r="EK19" s="20"/>
      <c r="EL19" s="20"/>
      <c r="EM19" s="20"/>
      <c r="EN19" s="20"/>
      <c r="EO19" s="20"/>
      <c r="EP19" s="20"/>
      <c r="EQ19" s="20"/>
      <c r="ER19" s="20"/>
      <c r="ES19" s="20"/>
      <c r="ET19" s="20"/>
      <c r="EU19" s="20"/>
      <c r="EV19" s="20"/>
      <c r="EW19" s="20"/>
      <c r="EX19" s="20"/>
      <c r="EY19" s="20"/>
      <c r="EZ19" s="20"/>
      <c r="FA19" s="20"/>
      <c r="FB19" s="20"/>
      <c r="FC19" s="20"/>
      <c r="FD19" s="20"/>
      <c r="FE19" s="20"/>
      <c r="FF19" s="20"/>
      <c r="FG19" s="20"/>
      <c r="FH19" s="20"/>
      <c r="FI19" s="20"/>
      <c r="FJ19" s="20"/>
      <c r="FK19" s="20"/>
      <c r="FL19" s="20"/>
      <c r="FM19" s="20"/>
      <c r="FN19" s="20"/>
      <c r="FO19" s="20"/>
      <c r="FP19" s="20"/>
      <c r="FQ19" s="20"/>
      <c r="FR19" s="20"/>
      <c r="FS19" s="20"/>
      <c r="FT19" s="20"/>
      <c r="FU19" s="20"/>
      <c r="FV19" s="20"/>
      <c r="FW19" s="20"/>
      <c r="FX19" s="20"/>
      <c r="FY19" s="20"/>
      <c r="FZ19" s="20"/>
      <c r="GA19" s="20"/>
      <c r="GB19" s="20"/>
      <c r="GC19" s="20"/>
      <c r="GD19" s="20"/>
      <c r="GE19" s="20"/>
      <c r="GF19" s="20"/>
      <c r="GG19" s="20"/>
      <c r="GH19" s="20"/>
      <c r="GI19" s="20"/>
      <c r="GJ19" s="20"/>
      <c r="GK19" s="20"/>
      <c r="GL19" s="20"/>
      <c r="GM19" s="20"/>
      <c r="GN19" s="20"/>
      <c r="GO19" s="20"/>
      <c r="GP19" s="20"/>
      <c r="GQ19" s="20"/>
      <c r="GR19" s="20"/>
      <c r="GS19" s="20"/>
      <c r="GT19" s="20"/>
      <c r="GU19" s="20"/>
      <c r="GV19" s="20"/>
      <c r="GW19" s="20"/>
      <c r="GX19" s="20"/>
      <c r="GY19" s="20"/>
      <c r="GZ19" s="20"/>
      <c r="HA19" s="20"/>
      <c r="HB19" s="20"/>
    </row>
    <row r="20" spans="1:210" s="65" customFormat="1" ht="12.75" customHeight="1">
      <c r="A20" s="14" t="s">
        <v>13</v>
      </c>
      <c r="B20" s="20">
        <f>(9327+315+28045+9355)+(51418+75363)</f>
        <v>173823</v>
      </c>
      <c r="C20" s="20">
        <f>(10989+774+25393+8667)+(71576+81644)</f>
        <v>199043</v>
      </c>
      <c r="D20" s="20">
        <f>(14269+734+39051+9605)+(82970+93479)</f>
        <v>240108</v>
      </c>
      <c r="E20" s="20"/>
      <c r="F20" s="20"/>
      <c r="G20" s="20"/>
      <c r="H20" s="20"/>
      <c r="I20" s="20">
        <f>(82156.718+19159.012)+270054.399</f>
        <v>371370.12899999996</v>
      </c>
      <c r="J20" s="33">
        <v>398147.98599999998</v>
      </c>
      <c r="K20" s="20">
        <f>(134720.432+37176.362)+319096.244</f>
        <v>490993.038</v>
      </c>
      <c r="L20" s="20">
        <f>(153932.665+56799.332)+331835.686</f>
        <v>542567.68299999996</v>
      </c>
      <c r="M20" s="20">
        <v>644779.35</v>
      </c>
      <c r="N20" s="20">
        <f>(424039.378+144985.091)+362306.313</f>
        <v>931330.78200000012</v>
      </c>
      <c r="O20" s="20">
        <v>980974.95600000001</v>
      </c>
      <c r="P20" s="20"/>
      <c r="Q20" s="20"/>
      <c r="R20" s="66">
        <v>1060903.406</v>
      </c>
      <c r="S20" s="20">
        <v>1298274.6270000001</v>
      </c>
      <c r="T20" s="20">
        <v>1440189.3559999999</v>
      </c>
      <c r="U20" s="20">
        <v>1485641.1510000001</v>
      </c>
      <c r="V20" s="20">
        <v>1453709.281</v>
      </c>
      <c r="W20" s="33">
        <v>1563106.254</v>
      </c>
      <c r="X20" s="33">
        <v>1620404.1470000001</v>
      </c>
      <c r="Y20" s="33">
        <v>1682737.7439999999</v>
      </c>
      <c r="Z20" s="33">
        <v>1889548.49</v>
      </c>
      <c r="AA20" s="33">
        <v>1144714.3330000001</v>
      </c>
      <c r="AB20" s="33">
        <v>2075958.7080000001</v>
      </c>
      <c r="AC20" s="33">
        <v>2420576</v>
      </c>
      <c r="AD20" s="20">
        <v>2433950.713</v>
      </c>
      <c r="AE20" s="20">
        <v>1339633.5959999999</v>
      </c>
      <c r="AF20" s="20">
        <v>1985514.0989999999</v>
      </c>
      <c r="AG20" s="20">
        <v>1522668.7990000001</v>
      </c>
      <c r="AH20" s="20"/>
      <c r="AI20" s="20"/>
      <c r="AJ20" s="20"/>
      <c r="AK20" s="20"/>
      <c r="AL20" s="20"/>
      <c r="AM20" s="20"/>
      <c r="AN20" s="20"/>
      <c r="AO20" s="20"/>
      <c r="AP20" s="20"/>
      <c r="AQ20" s="20"/>
      <c r="AR20" s="20"/>
      <c r="AS20" s="20"/>
      <c r="AT20" s="20"/>
      <c r="AU20" s="20"/>
      <c r="AV20" s="20"/>
      <c r="AW20" s="20"/>
      <c r="AX20" s="20"/>
      <c r="AY20" s="20"/>
      <c r="AZ20" s="20"/>
      <c r="BA20" s="20"/>
      <c r="BB20" s="20"/>
      <c r="BC20" s="20"/>
      <c r="BD20" s="20"/>
      <c r="BE20" s="20"/>
      <c r="BF20" s="20"/>
      <c r="BG20" s="20"/>
      <c r="BH20" s="20"/>
      <c r="BI20" s="20"/>
      <c r="BJ20" s="20"/>
      <c r="BK20" s="20"/>
      <c r="BL20" s="20"/>
      <c r="BM20" s="20"/>
      <c r="BN20" s="20"/>
      <c r="BO20" s="20"/>
      <c r="BP20" s="20"/>
      <c r="BQ20" s="20"/>
      <c r="BR20" s="20"/>
      <c r="BS20" s="20"/>
      <c r="BT20" s="20"/>
      <c r="BU20" s="20"/>
      <c r="BV20" s="20"/>
      <c r="BW20" s="20"/>
      <c r="BX20" s="20"/>
      <c r="BY20" s="20"/>
      <c r="BZ20" s="20"/>
      <c r="CA20" s="20"/>
      <c r="CB20" s="20"/>
      <c r="CC20" s="20"/>
      <c r="CD20" s="20"/>
      <c r="CE20" s="20"/>
      <c r="CF20" s="20"/>
      <c r="CG20" s="20"/>
      <c r="CH20" s="20"/>
      <c r="CI20" s="20"/>
      <c r="CJ20" s="20"/>
      <c r="CK20" s="20"/>
      <c r="CL20" s="20"/>
      <c r="CM20" s="20"/>
      <c r="CN20" s="20"/>
      <c r="CO20" s="20"/>
      <c r="CP20" s="20"/>
      <c r="CQ20" s="20"/>
      <c r="CR20" s="20"/>
      <c r="CS20" s="20"/>
      <c r="CT20" s="20"/>
      <c r="CU20" s="20"/>
      <c r="CV20" s="20"/>
      <c r="CW20" s="20"/>
      <c r="CX20" s="20"/>
      <c r="CY20" s="20"/>
      <c r="CZ20" s="20"/>
      <c r="DA20" s="20"/>
      <c r="DB20" s="20"/>
      <c r="DC20" s="20"/>
      <c r="DD20" s="20"/>
      <c r="DE20" s="20"/>
      <c r="DF20" s="20"/>
      <c r="DG20" s="20"/>
      <c r="DH20" s="20"/>
      <c r="DI20" s="20"/>
      <c r="DJ20" s="20"/>
      <c r="DK20" s="20"/>
      <c r="DL20" s="20"/>
      <c r="DM20" s="20"/>
      <c r="DN20" s="20"/>
      <c r="DO20" s="20"/>
      <c r="DP20" s="20"/>
      <c r="DQ20" s="20"/>
      <c r="DR20" s="20"/>
      <c r="DS20" s="20"/>
      <c r="DT20" s="20"/>
      <c r="DU20" s="20"/>
      <c r="DV20" s="20"/>
      <c r="DW20" s="20"/>
      <c r="DX20" s="20"/>
      <c r="DY20" s="20"/>
      <c r="DZ20" s="20"/>
      <c r="EA20" s="20"/>
      <c r="EB20" s="20"/>
      <c r="EC20" s="20"/>
      <c r="ED20" s="20"/>
      <c r="EE20" s="20"/>
      <c r="EF20" s="20"/>
      <c r="EG20" s="20"/>
      <c r="EH20" s="20"/>
      <c r="EI20" s="20"/>
      <c r="EJ20" s="20"/>
      <c r="EK20" s="20"/>
      <c r="EL20" s="20"/>
      <c r="EM20" s="20"/>
      <c r="EN20" s="20"/>
      <c r="EO20" s="20"/>
      <c r="EP20" s="20"/>
      <c r="EQ20" s="20"/>
      <c r="ER20" s="20"/>
      <c r="ES20" s="20"/>
      <c r="ET20" s="20"/>
      <c r="EU20" s="20"/>
      <c r="EV20" s="20"/>
      <c r="EW20" s="20"/>
      <c r="EX20" s="20"/>
      <c r="EY20" s="20"/>
      <c r="EZ20" s="20"/>
      <c r="FA20" s="20"/>
      <c r="FB20" s="20"/>
      <c r="FC20" s="20"/>
      <c r="FD20" s="20"/>
      <c r="FE20" s="20"/>
      <c r="FF20" s="20"/>
      <c r="FG20" s="20"/>
      <c r="FH20" s="20"/>
      <c r="FI20" s="20"/>
      <c r="FJ20" s="20"/>
      <c r="FK20" s="20"/>
      <c r="FL20" s="20"/>
      <c r="FM20" s="20"/>
      <c r="FN20" s="20"/>
      <c r="FO20" s="20"/>
      <c r="FP20" s="20"/>
      <c r="FQ20" s="20"/>
      <c r="FR20" s="20"/>
      <c r="FS20" s="20"/>
      <c r="FT20" s="20"/>
      <c r="FU20" s="20"/>
      <c r="FV20" s="20"/>
      <c r="FW20" s="20"/>
      <c r="FX20" s="20"/>
      <c r="FY20" s="20"/>
      <c r="FZ20" s="20"/>
      <c r="GA20" s="20"/>
      <c r="GB20" s="20"/>
      <c r="GC20" s="20"/>
      <c r="GD20" s="20"/>
      <c r="GE20" s="20"/>
      <c r="GF20" s="20"/>
      <c r="GG20" s="20"/>
      <c r="GH20" s="20"/>
      <c r="GI20" s="20"/>
      <c r="GJ20" s="20"/>
      <c r="GK20" s="20"/>
      <c r="GL20" s="20"/>
      <c r="GM20" s="20"/>
      <c r="GN20" s="20"/>
      <c r="GO20" s="20"/>
      <c r="GP20" s="20"/>
      <c r="GQ20" s="20"/>
      <c r="GR20" s="20"/>
      <c r="GS20" s="20"/>
      <c r="GT20" s="20"/>
      <c r="GU20" s="20"/>
      <c r="GV20" s="20"/>
      <c r="GW20" s="20"/>
      <c r="GX20" s="20"/>
      <c r="GY20" s="20"/>
      <c r="GZ20" s="20"/>
      <c r="HA20" s="20"/>
      <c r="HB20" s="20"/>
    </row>
    <row r="21" spans="1:210" s="65" customFormat="1" ht="12.75" customHeight="1">
      <c r="A21" s="14" t="s">
        <v>14</v>
      </c>
      <c r="B21" s="20">
        <f>(1545+65+6189+5754)+(23119+15903)</f>
        <v>52575</v>
      </c>
      <c r="C21" s="20">
        <f>(2945+285+8007+7595)+(24108+18426)</f>
        <v>61366</v>
      </c>
      <c r="D21" s="20">
        <f>(5010+210+11107+8856)+(27161+21327)</f>
        <v>73671</v>
      </c>
      <c r="E21" s="20"/>
      <c r="F21" s="20"/>
      <c r="G21" s="20"/>
      <c r="H21" s="20"/>
      <c r="I21" s="20">
        <f>(34295.611+15086.725)+131991.385</f>
        <v>181373.72100000002</v>
      </c>
      <c r="J21" s="33">
        <v>195830.60399999999</v>
      </c>
      <c r="K21" s="20">
        <f>(47289.674+11817.062)+143460.087</f>
        <v>202566.823</v>
      </c>
      <c r="L21" s="20">
        <f>(53218.572+13164.865)+151608.538</f>
        <v>217991.97500000001</v>
      </c>
      <c r="M21" s="20">
        <v>255346.484</v>
      </c>
      <c r="N21" s="20">
        <f>(76039.939+10655.602)+186666.727</f>
        <v>273362.26800000004</v>
      </c>
      <c r="O21" s="20">
        <v>294613.505</v>
      </c>
      <c r="P21" s="20"/>
      <c r="Q21" s="20"/>
      <c r="R21" s="66">
        <v>337443.48499999999</v>
      </c>
      <c r="S21" s="20">
        <v>373846.755</v>
      </c>
      <c r="T21" s="20">
        <v>321463.14799999999</v>
      </c>
      <c r="U21" s="20">
        <v>341761.538</v>
      </c>
      <c r="V21" s="20">
        <v>341125.11200000002</v>
      </c>
      <c r="W21" s="33">
        <v>370334.23800000001</v>
      </c>
      <c r="X21" s="33">
        <v>386324.15700000001</v>
      </c>
      <c r="Y21" s="33">
        <v>497686.636</v>
      </c>
      <c r="Z21" s="33">
        <v>485921.56</v>
      </c>
      <c r="AA21" s="33">
        <v>469336.413</v>
      </c>
      <c r="AB21" s="33">
        <v>477573.96</v>
      </c>
      <c r="AC21" s="33">
        <v>472476</v>
      </c>
      <c r="AD21" s="20">
        <v>483203.69799999997</v>
      </c>
      <c r="AE21" s="20">
        <v>507825.11200000002</v>
      </c>
      <c r="AF21" s="20">
        <v>519906.23800000001</v>
      </c>
      <c r="AG21" s="20">
        <v>559079.875</v>
      </c>
      <c r="AH21" s="20"/>
      <c r="AI21" s="20"/>
      <c r="AJ21" s="20"/>
      <c r="AK21" s="20"/>
      <c r="AL21" s="20"/>
      <c r="AM21" s="20"/>
      <c r="AN21" s="20"/>
      <c r="AO21" s="20"/>
      <c r="AP21" s="20"/>
      <c r="AQ21" s="20"/>
      <c r="AR21" s="20"/>
      <c r="AS21" s="20"/>
      <c r="AT21" s="20"/>
      <c r="AU21" s="20"/>
      <c r="AV21" s="20"/>
      <c r="AW21" s="20"/>
      <c r="AX21" s="20"/>
      <c r="AY21" s="20"/>
      <c r="AZ21" s="20"/>
      <c r="BA21" s="20"/>
      <c r="BB21" s="20"/>
      <c r="BC21" s="20"/>
      <c r="BD21" s="20"/>
      <c r="BE21" s="20"/>
      <c r="BF21" s="20"/>
      <c r="BG21" s="20"/>
      <c r="BH21" s="20"/>
      <c r="BI21" s="20"/>
      <c r="BJ21" s="20"/>
      <c r="BK21" s="20"/>
      <c r="BL21" s="20"/>
      <c r="BM21" s="20"/>
      <c r="BN21" s="20"/>
      <c r="BO21" s="20"/>
      <c r="BP21" s="20"/>
      <c r="BQ21" s="20"/>
      <c r="BR21" s="20"/>
      <c r="BS21" s="20"/>
      <c r="BT21" s="20"/>
      <c r="BU21" s="20"/>
      <c r="BV21" s="20"/>
      <c r="BW21" s="20"/>
      <c r="BX21" s="20"/>
      <c r="BY21" s="20"/>
      <c r="BZ21" s="20"/>
      <c r="CA21" s="20"/>
      <c r="CB21" s="20"/>
      <c r="CC21" s="20"/>
      <c r="CD21" s="20"/>
      <c r="CE21" s="20"/>
      <c r="CF21" s="20"/>
      <c r="CG21" s="20"/>
      <c r="CH21" s="20"/>
      <c r="CI21" s="20"/>
      <c r="CJ21" s="20"/>
      <c r="CK21" s="20"/>
      <c r="CL21" s="20"/>
      <c r="CM21" s="20"/>
      <c r="CN21" s="20"/>
      <c r="CO21" s="20"/>
      <c r="CP21" s="20"/>
      <c r="CQ21" s="20"/>
      <c r="CR21" s="20"/>
      <c r="CS21" s="20"/>
      <c r="CT21" s="20"/>
      <c r="CU21" s="20"/>
      <c r="CV21" s="20"/>
      <c r="CW21" s="20"/>
      <c r="CX21" s="20"/>
      <c r="CY21" s="20"/>
      <c r="CZ21" s="20"/>
      <c r="DA21" s="20"/>
      <c r="DB21" s="20"/>
      <c r="DC21" s="20"/>
      <c r="DD21" s="20"/>
      <c r="DE21" s="20"/>
      <c r="DF21" s="20"/>
      <c r="DG21" s="20"/>
      <c r="DH21" s="20"/>
      <c r="DI21" s="20"/>
      <c r="DJ21" s="20"/>
      <c r="DK21" s="20"/>
      <c r="DL21" s="20"/>
      <c r="DM21" s="20"/>
      <c r="DN21" s="20"/>
      <c r="DO21" s="20"/>
      <c r="DP21" s="20"/>
      <c r="DQ21" s="20"/>
      <c r="DR21" s="20"/>
      <c r="DS21" s="20"/>
      <c r="DT21" s="20"/>
      <c r="DU21" s="20"/>
      <c r="DV21" s="20"/>
      <c r="DW21" s="20"/>
      <c r="DX21" s="20"/>
      <c r="DY21" s="20"/>
      <c r="DZ21" s="20"/>
      <c r="EA21" s="20"/>
      <c r="EB21" s="20"/>
      <c r="EC21" s="20"/>
      <c r="ED21" s="20"/>
      <c r="EE21" s="20"/>
      <c r="EF21" s="20"/>
      <c r="EG21" s="20"/>
      <c r="EH21" s="20"/>
      <c r="EI21" s="20"/>
      <c r="EJ21" s="20"/>
      <c r="EK21" s="20"/>
      <c r="EL21" s="20"/>
      <c r="EM21" s="20"/>
      <c r="EN21" s="20"/>
      <c r="EO21" s="20"/>
      <c r="EP21" s="20"/>
      <c r="EQ21" s="20"/>
      <c r="ER21" s="20"/>
      <c r="ES21" s="20"/>
      <c r="ET21" s="20"/>
      <c r="EU21" s="20"/>
      <c r="EV21" s="20"/>
      <c r="EW21" s="20"/>
      <c r="EX21" s="20"/>
      <c r="EY21" s="20"/>
      <c r="EZ21" s="20"/>
      <c r="FA21" s="20"/>
      <c r="FB21" s="20"/>
      <c r="FC21" s="20"/>
      <c r="FD21" s="20"/>
      <c r="FE21" s="20"/>
      <c r="FF21" s="20"/>
      <c r="FG21" s="20"/>
      <c r="FH21" s="20"/>
      <c r="FI21" s="20"/>
      <c r="FJ21" s="20"/>
      <c r="FK21" s="20"/>
      <c r="FL21" s="20"/>
      <c r="FM21" s="20"/>
      <c r="FN21" s="20"/>
      <c r="FO21" s="20"/>
      <c r="FP21" s="20"/>
      <c r="FQ21" s="20"/>
      <c r="FR21" s="20"/>
      <c r="FS21" s="20"/>
      <c r="FT21" s="20"/>
      <c r="FU21" s="20"/>
      <c r="FV21" s="20"/>
      <c r="FW21" s="20"/>
      <c r="FX21" s="20"/>
      <c r="FY21" s="20"/>
      <c r="FZ21" s="20"/>
      <c r="GA21" s="20"/>
      <c r="GB21" s="20"/>
      <c r="GC21" s="20"/>
      <c r="GD21" s="20"/>
      <c r="GE21" s="20"/>
      <c r="GF21" s="20"/>
      <c r="GG21" s="20"/>
      <c r="GH21" s="20"/>
      <c r="GI21" s="20"/>
      <c r="GJ21" s="20"/>
      <c r="GK21" s="20"/>
      <c r="GL21" s="20"/>
      <c r="GM21" s="20"/>
      <c r="GN21" s="20"/>
      <c r="GO21" s="20"/>
      <c r="GP21" s="20"/>
      <c r="GQ21" s="20"/>
      <c r="GR21" s="20"/>
      <c r="GS21" s="20"/>
      <c r="GT21" s="20"/>
      <c r="GU21" s="20"/>
      <c r="GV21" s="20"/>
      <c r="GW21" s="20"/>
      <c r="GX21" s="20"/>
      <c r="GY21" s="20"/>
      <c r="GZ21" s="20"/>
      <c r="HA21" s="20"/>
      <c r="HB21" s="20"/>
    </row>
    <row r="22" spans="1:210" s="65" customFormat="1" ht="12.75" customHeight="1">
      <c r="A22" s="93" t="s">
        <v>15</v>
      </c>
      <c r="B22" s="51">
        <f>(9260+718+2793+260)+(4574+2729)</f>
        <v>20334</v>
      </c>
      <c r="C22" s="51">
        <f>(3541+746+3253+509)+(3362+1823)</f>
        <v>13234</v>
      </c>
      <c r="D22" s="51">
        <f>(3752+798+3788+432)+(3656+1778)</f>
        <v>14204</v>
      </c>
      <c r="E22" s="51"/>
      <c r="F22" s="51"/>
      <c r="G22" s="51"/>
      <c r="H22" s="51"/>
      <c r="I22" s="51">
        <f>(14234.282+611.255)+21132.843</f>
        <v>35978.379999999997</v>
      </c>
      <c r="J22" s="50">
        <v>34823.506999999998</v>
      </c>
      <c r="K22" s="51">
        <f>(16708.006+679.244)+19229.914</f>
        <v>36617.164000000004</v>
      </c>
      <c r="L22" s="51">
        <f>(21191.993+849.665)+20525.048</f>
        <v>42566.705999999998</v>
      </c>
      <c r="M22" s="51">
        <v>46115.683000000005</v>
      </c>
      <c r="N22" s="51">
        <f>(22604.742+749.687)+28334.513</f>
        <v>51688.941999999995</v>
      </c>
      <c r="O22" s="51">
        <v>52258.230219999998</v>
      </c>
      <c r="P22" s="51"/>
      <c r="Q22" s="51"/>
      <c r="R22" s="51">
        <v>68626.902000000002</v>
      </c>
      <c r="S22" s="51">
        <v>74342.016999999993</v>
      </c>
      <c r="T22" s="51">
        <v>85544.873000000007</v>
      </c>
      <c r="U22" s="51">
        <v>90284.737999999998</v>
      </c>
      <c r="V22" s="51">
        <v>108398.247</v>
      </c>
      <c r="W22" s="50">
        <v>120025.636</v>
      </c>
      <c r="X22" s="50">
        <v>145690.033</v>
      </c>
      <c r="Y22" s="50">
        <v>152646.951</v>
      </c>
      <c r="Z22" s="50">
        <v>166377.41899999999</v>
      </c>
      <c r="AA22" s="50">
        <v>181594.99799999999</v>
      </c>
      <c r="AB22" s="50">
        <v>176778.05300000001</v>
      </c>
      <c r="AC22" s="50">
        <v>177381</v>
      </c>
      <c r="AD22" s="51">
        <v>189915.21599999999</v>
      </c>
      <c r="AE22" s="51">
        <v>194531.908</v>
      </c>
      <c r="AF22" s="51">
        <v>204535.86600000001</v>
      </c>
      <c r="AG22" s="51">
        <v>212340.239</v>
      </c>
      <c r="AH22" s="20"/>
      <c r="AI22" s="20"/>
      <c r="AJ22" s="20"/>
      <c r="AK22" s="20"/>
      <c r="AL22" s="20"/>
      <c r="AM22" s="20"/>
      <c r="AN22" s="20"/>
      <c r="AO22" s="20"/>
      <c r="AP22" s="20"/>
      <c r="AQ22" s="20"/>
      <c r="AR22" s="20"/>
      <c r="AS22" s="20"/>
      <c r="AT22" s="20"/>
      <c r="AU22" s="20"/>
      <c r="AV22" s="20"/>
      <c r="AW22" s="20"/>
      <c r="AX22" s="20"/>
      <c r="AY22" s="20"/>
      <c r="AZ22" s="20"/>
      <c r="BA22" s="20"/>
      <c r="BB22" s="20"/>
      <c r="BC22" s="20"/>
      <c r="BD22" s="20"/>
      <c r="BE22" s="20"/>
      <c r="BF22" s="20"/>
      <c r="BG22" s="20"/>
      <c r="BH22" s="20"/>
      <c r="BI22" s="20"/>
      <c r="BJ22" s="20"/>
      <c r="BK22" s="20"/>
      <c r="BL22" s="20"/>
      <c r="BM22" s="20"/>
      <c r="BN22" s="20"/>
      <c r="BO22" s="20"/>
      <c r="BP22" s="20"/>
      <c r="BQ22" s="20"/>
      <c r="BR22" s="20"/>
      <c r="BS22" s="20"/>
      <c r="BT22" s="20"/>
      <c r="BU22" s="20"/>
      <c r="BV22" s="20"/>
      <c r="BW22" s="20"/>
      <c r="BX22" s="20"/>
      <c r="BY22" s="20"/>
      <c r="BZ22" s="20"/>
      <c r="CA22" s="20"/>
      <c r="CB22" s="20"/>
      <c r="CC22" s="20"/>
      <c r="CD22" s="20"/>
      <c r="CE22" s="20"/>
      <c r="CF22" s="20"/>
      <c r="CG22" s="20"/>
      <c r="CH22" s="20"/>
      <c r="CI22" s="20"/>
      <c r="CJ22" s="20"/>
      <c r="CK22" s="20"/>
      <c r="CL22" s="20"/>
      <c r="CM22" s="20"/>
      <c r="CN22" s="20"/>
      <c r="CO22" s="20"/>
      <c r="CP22" s="20"/>
      <c r="CQ22" s="20"/>
      <c r="CR22" s="20"/>
      <c r="CS22" s="20"/>
      <c r="CT22" s="20"/>
      <c r="CU22" s="20"/>
      <c r="CV22" s="20"/>
      <c r="CW22" s="20"/>
      <c r="CX22" s="20"/>
      <c r="CY22" s="20"/>
      <c r="CZ22" s="20"/>
      <c r="DA22" s="20"/>
      <c r="DB22" s="20"/>
      <c r="DC22" s="20"/>
      <c r="DD22" s="20"/>
      <c r="DE22" s="20"/>
      <c r="DF22" s="20"/>
      <c r="DG22" s="20"/>
      <c r="DH22" s="20"/>
      <c r="DI22" s="20"/>
      <c r="DJ22" s="20"/>
      <c r="DK22" s="20"/>
      <c r="DL22" s="20"/>
      <c r="DM22" s="20"/>
      <c r="DN22" s="20"/>
      <c r="DO22" s="20"/>
      <c r="DP22" s="20"/>
      <c r="DQ22" s="20"/>
      <c r="DR22" s="20"/>
      <c r="DS22" s="20"/>
      <c r="DT22" s="20"/>
      <c r="DU22" s="20"/>
      <c r="DV22" s="20"/>
      <c r="DW22" s="20"/>
      <c r="DX22" s="20"/>
      <c r="DY22" s="20"/>
      <c r="DZ22" s="20"/>
      <c r="EA22" s="20"/>
      <c r="EB22" s="20"/>
      <c r="EC22" s="20"/>
      <c r="ED22" s="20"/>
      <c r="EE22" s="20"/>
      <c r="EF22" s="20"/>
      <c r="EG22" s="20"/>
      <c r="EH22" s="20"/>
      <c r="EI22" s="20"/>
      <c r="EJ22" s="20"/>
      <c r="EK22" s="20"/>
      <c r="EL22" s="20"/>
      <c r="EM22" s="20"/>
      <c r="EN22" s="20"/>
      <c r="EO22" s="20"/>
      <c r="EP22" s="20"/>
      <c r="EQ22" s="20"/>
      <c r="ER22" s="20"/>
      <c r="ES22" s="20"/>
      <c r="ET22" s="20"/>
      <c r="EU22" s="20"/>
      <c r="EV22" s="20"/>
      <c r="EW22" s="20"/>
      <c r="EX22" s="20"/>
      <c r="EY22" s="20"/>
      <c r="EZ22" s="20"/>
      <c r="FA22" s="20"/>
      <c r="FB22" s="20"/>
      <c r="FC22" s="20"/>
      <c r="FD22" s="20"/>
      <c r="FE22" s="20"/>
      <c r="FF22" s="20"/>
      <c r="FG22" s="20"/>
      <c r="FH22" s="20"/>
      <c r="FI22" s="20"/>
      <c r="FJ22" s="20"/>
      <c r="FK22" s="20"/>
      <c r="FL22" s="20"/>
      <c r="FM22" s="20"/>
      <c r="FN22" s="20"/>
      <c r="FO22" s="20"/>
      <c r="FP22" s="20"/>
      <c r="FQ22" s="20"/>
      <c r="FR22" s="20"/>
      <c r="FS22" s="20"/>
      <c r="FT22" s="20"/>
      <c r="FU22" s="20"/>
      <c r="FV22" s="20"/>
      <c r="FW22" s="20"/>
      <c r="FX22" s="20"/>
      <c r="FY22" s="20"/>
      <c r="FZ22" s="20"/>
      <c r="GA22" s="20"/>
      <c r="GB22" s="20"/>
      <c r="GC22" s="20"/>
      <c r="GD22" s="20"/>
      <c r="GE22" s="20"/>
      <c r="GF22" s="20"/>
      <c r="GG22" s="20"/>
      <c r="GH22" s="20"/>
      <c r="GI22" s="20"/>
      <c r="GJ22" s="20"/>
      <c r="GK22" s="20"/>
      <c r="GL22" s="20"/>
      <c r="GM22" s="20"/>
      <c r="GN22" s="20"/>
      <c r="GO22" s="20"/>
      <c r="GP22" s="20"/>
      <c r="GQ22" s="20"/>
      <c r="GR22" s="20"/>
      <c r="GS22" s="20"/>
      <c r="GT22" s="20"/>
      <c r="GU22" s="20"/>
      <c r="GV22" s="20"/>
      <c r="GW22" s="20"/>
      <c r="GX22" s="20"/>
      <c r="GY22" s="20"/>
      <c r="GZ22" s="20"/>
      <c r="HA22" s="20"/>
      <c r="HB22" s="20"/>
    </row>
    <row r="23" spans="1:210" s="65" customFormat="1" ht="12.75" customHeight="1">
      <c r="A23" s="84" t="s">
        <v>144</v>
      </c>
      <c r="J23" s="104">
        <f>SUM(J25:J37)</f>
        <v>1338923.6929999997</v>
      </c>
      <c r="M23" s="104">
        <f>SUM(M25:M37)</f>
        <v>1677829.814</v>
      </c>
      <c r="O23" s="104">
        <f>SUM(O25:O37)</f>
        <v>1883061.03804</v>
      </c>
      <c r="R23" s="104">
        <f t="shared" ref="R23:AG23" si="11">SUM(R25:R37)</f>
        <v>2776026.7480000001</v>
      </c>
      <c r="S23" s="104">
        <f t="shared" si="11"/>
        <v>3159879.389</v>
      </c>
      <c r="T23" s="104">
        <f t="shared" si="11"/>
        <v>3059614.4639999997</v>
      </c>
      <c r="U23" s="104">
        <f t="shared" si="11"/>
        <v>3327981.4420000003</v>
      </c>
      <c r="V23" s="104">
        <f t="shared" si="11"/>
        <v>3506409.885999999</v>
      </c>
      <c r="W23" s="104">
        <f t="shared" si="11"/>
        <v>3711205.2239999999</v>
      </c>
      <c r="X23" s="104">
        <f t="shared" si="11"/>
        <v>4305856.79</v>
      </c>
      <c r="Y23" s="104">
        <f t="shared" si="11"/>
        <v>4760076.7819999987</v>
      </c>
      <c r="Z23" s="104">
        <f t="shared" si="11"/>
        <v>5233308.9850000003</v>
      </c>
      <c r="AA23" s="104">
        <f t="shared" si="11"/>
        <v>4621631.1229999997</v>
      </c>
      <c r="AB23" s="104">
        <f t="shared" si="11"/>
        <v>5503348.665000001</v>
      </c>
      <c r="AC23" s="104">
        <f t="shared" si="11"/>
        <v>5712765</v>
      </c>
      <c r="AD23" s="104">
        <f t="shared" si="11"/>
        <v>5904547.2089999979</v>
      </c>
      <c r="AE23" s="104">
        <f t="shared" si="11"/>
        <v>6151722.0719999997</v>
      </c>
      <c r="AF23" s="104">
        <f t="shared" si="11"/>
        <v>6483997.9960000003</v>
      </c>
      <c r="AG23" s="104">
        <f t="shared" si="11"/>
        <v>7160959.3460000008</v>
      </c>
      <c r="AH23" s="20"/>
      <c r="AI23" s="20"/>
      <c r="AJ23" s="20"/>
      <c r="AK23" s="20"/>
      <c r="AL23" s="20"/>
      <c r="AM23" s="20"/>
      <c r="AN23" s="20"/>
      <c r="AO23" s="20"/>
      <c r="AP23" s="20"/>
      <c r="AQ23" s="20"/>
      <c r="AR23" s="20"/>
      <c r="AS23" s="20"/>
      <c r="AT23" s="20"/>
      <c r="AU23" s="20"/>
      <c r="AV23" s="20"/>
      <c r="AW23" s="20"/>
      <c r="AX23" s="20"/>
      <c r="AY23" s="20"/>
      <c r="AZ23" s="20"/>
      <c r="BA23" s="20"/>
      <c r="BB23" s="20"/>
      <c r="BC23" s="20"/>
      <c r="BD23" s="20"/>
      <c r="BE23" s="20"/>
      <c r="BF23" s="20"/>
      <c r="BG23" s="20"/>
      <c r="BH23" s="20"/>
      <c r="BI23" s="20"/>
      <c r="BJ23" s="20"/>
      <c r="BK23" s="20"/>
      <c r="BL23" s="20"/>
      <c r="BM23" s="20"/>
      <c r="BN23" s="20"/>
      <c r="BO23" s="20"/>
      <c r="BP23" s="20"/>
      <c r="BQ23" s="20"/>
      <c r="BR23" s="20"/>
      <c r="BS23" s="20"/>
      <c r="BT23" s="20"/>
      <c r="BU23" s="20"/>
      <c r="BV23" s="20"/>
      <c r="BW23" s="20"/>
      <c r="BX23" s="20"/>
      <c r="BY23" s="20"/>
      <c r="BZ23" s="20"/>
      <c r="CA23" s="20"/>
      <c r="CB23" s="20"/>
      <c r="CC23" s="20"/>
      <c r="CD23" s="20"/>
      <c r="CE23" s="20"/>
      <c r="CF23" s="20"/>
      <c r="CG23" s="20"/>
      <c r="CH23" s="20"/>
      <c r="CI23" s="20"/>
      <c r="CJ23" s="20"/>
      <c r="CK23" s="20"/>
      <c r="CL23" s="20"/>
      <c r="CM23" s="20"/>
      <c r="CN23" s="20"/>
      <c r="CO23" s="20"/>
      <c r="CP23" s="20"/>
      <c r="CQ23" s="20"/>
      <c r="CR23" s="20"/>
      <c r="CS23" s="20"/>
      <c r="CT23" s="20"/>
      <c r="CU23" s="20"/>
      <c r="CV23" s="20"/>
      <c r="CW23" s="20"/>
      <c r="CX23" s="20"/>
      <c r="CY23" s="20"/>
      <c r="CZ23" s="20"/>
      <c r="DA23" s="20"/>
      <c r="DB23" s="20"/>
      <c r="DC23" s="20"/>
      <c r="DD23" s="20"/>
      <c r="DE23" s="20"/>
      <c r="DF23" s="20"/>
      <c r="DG23" s="20"/>
      <c r="DH23" s="20"/>
      <c r="DI23" s="20"/>
      <c r="DJ23" s="20"/>
      <c r="DK23" s="20"/>
      <c r="DL23" s="20"/>
      <c r="DM23" s="20"/>
      <c r="DN23" s="20"/>
      <c r="DO23" s="20"/>
      <c r="DP23" s="20"/>
      <c r="DQ23" s="20"/>
      <c r="DR23" s="20"/>
      <c r="DS23" s="20"/>
      <c r="DT23" s="20"/>
      <c r="DU23" s="20"/>
      <c r="DV23" s="20"/>
      <c r="DW23" s="20"/>
      <c r="DX23" s="20"/>
      <c r="DY23" s="20"/>
      <c r="DZ23" s="20"/>
      <c r="EA23" s="20"/>
      <c r="EB23" s="20"/>
      <c r="EC23" s="20"/>
      <c r="ED23" s="20"/>
      <c r="EE23" s="20"/>
      <c r="EF23" s="20"/>
      <c r="EG23" s="20"/>
      <c r="EH23" s="20"/>
      <c r="EI23" s="20"/>
      <c r="EJ23" s="20"/>
      <c r="EK23" s="20"/>
      <c r="EL23" s="20"/>
      <c r="EM23" s="20"/>
      <c r="EN23" s="20"/>
      <c r="EO23" s="20"/>
      <c r="EP23" s="20"/>
      <c r="EQ23" s="20"/>
      <c r="ER23" s="20"/>
      <c r="ES23" s="20"/>
      <c r="ET23" s="20"/>
      <c r="EU23" s="20"/>
      <c r="EV23" s="20"/>
      <c r="EW23" s="20"/>
      <c r="EX23" s="20"/>
      <c r="EY23" s="20"/>
      <c r="EZ23" s="20"/>
      <c r="FA23" s="20"/>
      <c r="FB23" s="20"/>
      <c r="FC23" s="20"/>
      <c r="FD23" s="20"/>
      <c r="FE23" s="20"/>
      <c r="FF23" s="20"/>
      <c r="FG23" s="20"/>
      <c r="FH23" s="20"/>
      <c r="FI23" s="20"/>
      <c r="FJ23" s="20"/>
      <c r="FK23" s="20"/>
      <c r="FL23" s="20"/>
      <c r="FM23" s="20"/>
      <c r="FN23" s="20"/>
      <c r="FO23" s="20"/>
      <c r="FP23" s="20"/>
      <c r="FQ23" s="20"/>
      <c r="FR23" s="20"/>
      <c r="FS23" s="20"/>
      <c r="FT23" s="20"/>
      <c r="FU23" s="20"/>
      <c r="FV23" s="20"/>
      <c r="FW23" s="20"/>
      <c r="FX23" s="20"/>
      <c r="FY23" s="20"/>
      <c r="FZ23" s="20"/>
      <c r="GA23" s="20"/>
      <c r="GB23" s="20"/>
      <c r="GC23" s="20"/>
      <c r="GD23" s="20"/>
      <c r="GE23" s="20"/>
      <c r="GF23" s="20"/>
      <c r="GG23" s="20"/>
      <c r="GH23" s="20"/>
      <c r="GI23" s="20"/>
      <c r="GJ23" s="20"/>
      <c r="GK23" s="20"/>
      <c r="GL23" s="20"/>
      <c r="GM23" s="20"/>
      <c r="GN23" s="20"/>
      <c r="GO23" s="20"/>
      <c r="GP23" s="20"/>
      <c r="GQ23" s="20"/>
      <c r="GR23" s="20"/>
      <c r="GS23" s="20"/>
      <c r="GT23" s="20"/>
      <c r="GU23" s="20"/>
      <c r="GV23" s="20"/>
      <c r="GW23" s="20"/>
      <c r="GX23" s="20"/>
      <c r="GY23" s="20"/>
      <c r="GZ23" s="20"/>
      <c r="HA23" s="20"/>
      <c r="HB23" s="20"/>
    </row>
    <row r="24" spans="1:210" s="65" customFormat="1" ht="12.75" customHeight="1">
      <c r="A24" s="84" t="s">
        <v>143</v>
      </c>
      <c r="W24" s="91"/>
      <c r="X24" s="91"/>
      <c r="Y24" s="91"/>
      <c r="Z24" s="91"/>
      <c r="AA24" s="91">
        <v>0</v>
      </c>
      <c r="AB24" s="91"/>
      <c r="AC24" s="91"/>
      <c r="AF24" s="20"/>
      <c r="AG24" s="20"/>
      <c r="AH24" s="20"/>
      <c r="AI24" s="20"/>
      <c r="AJ24" s="20"/>
      <c r="AK24" s="20"/>
      <c r="AL24" s="20"/>
      <c r="AM24" s="20"/>
      <c r="AN24" s="20"/>
      <c r="AO24" s="20"/>
      <c r="AP24" s="20"/>
      <c r="AQ24" s="20"/>
      <c r="AR24" s="20"/>
      <c r="AS24" s="20"/>
      <c r="AT24" s="20"/>
      <c r="AU24" s="20"/>
      <c r="AV24" s="20"/>
      <c r="AW24" s="20"/>
      <c r="AX24" s="20"/>
      <c r="AY24" s="20"/>
      <c r="AZ24" s="20"/>
      <c r="BA24" s="20"/>
      <c r="BB24" s="20"/>
      <c r="BC24" s="20"/>
      <c r="BD24" s="20"/>
      <c r="BE24" s="20"/>
      <c r="BF24" s="20"/>
      <c r="BG24" s="20"/>
      <c r="BH24" s="20"/>
      <c r="BI24" s="20"/>
      <c r="BJ24" s="20"/>
      <c r="BK24" s="20"/>
      <c r="BL24" s="20"/>
      <c r="BM24" s="20"/>
      <c r="BN24" s="20"/>
      <c r="BO24" s="20"/>
      <c r="BP24" s="20"/>
      <c r="BQ24" s="20"/>
      <c r="BR24" s="20"/>
      <c r="BS24" s="20"/>
      <c r="BT24" s="20"/>
      <c r="BU24" s="20"/>
      <c r="BV24" s="20"/>
      <c r="BW24" s="20"/>
      <c r="BX24" s="20"/>
      <c r="BY24" s="20"/>
      <c r="BZ24" s="20"/>
      <c r="CA24" s="20"/>
      <c r="CB24" s="20"/>
      <c r="CC24" s="20"/>
      <c r="CD24" s="20"/>
      <c r="CE24" s="20"/>
      <c r="CF24" s="20"/>
      <c r="CG24" s="20"/>
      <c r="CH24" s="20"/>
      <c r="CI24" s="20"/>
      <c r="CJ24" s="20"/>
      <c r="CK24" s="20"/>
      <c r="CL24" s="20"/>
      <c r="CM24" s="20"/>
      <c r="CN24" s="20"/>
      <c r="CO24" s="20"/>
      <c r="CP24" s="20"/>
      <c r="CQ24" s="20"/>
      <c r="CR24" s="20"/>
      <c r="CS24" s="20"/>
      <c r="CT24" s="20"/>
      <c r="CU24" s="20"/>
      <c r="CV24" s="20"/>
      <c r="CW24" s="20"/>
      <c r="CX24" s="20"/>
      <c r="CY24" s="20"/>
      <c r="CZ24" s="20"/>
      <c r="DA24" s="20"/>
      <c r="DB24" s="20"/>
      <c r="DC24" s="20"/>
      <c r="DD24" s="20"/>
      <c r="DE24" s="20"/>
      <c r="DF24" s="20"/>
      <c r="DG24" s="20"/>
      <c r="DH24" s="20"/>
      <c r="DI24" s="20"/>
      <c r="DJ24" s="20"/>
      <c r="DK24" s="20"/>
      <c r="DL24" s="20"/>
      <c r="DM24" s="20"/>
      <c r="DN24" s="20"/>
      <c r="DO24" s="20"/>
      <c r="DP24" s="20"/>
      <c r="DQ24" s="20"/>
      <c r="DR24" s="20"/>
      <c r="DS24" s="20"/>
      <c r="DT24" s="20"/>
      <c r="DU24" s="20"/>
      <c r="DV24" s="20"/>
      <c r="DW24" s="20"/>
      <c r="DX24" s="20"/>
      <c r="DY24" s="20"/>
      <c r="DZ24" s="20"/>
      <c r="EA24" s="20"/>
      <c r="EB24" s="20"/>
      <c r="EC24" s="20"/>
      <c r="ED24" s="20"/>
      <c r="EE24" s="20"/>
      <c r="EF24" s="20"/>
      <c r="EG24" s="20"/>
      <c r="EH24" s="20"/>
      <c r="EI24" s="20"/>
      <c r="EJ24" s="20"/>
      <c r="EK24" s="20"/>
      <c r="EL24" s="20"/>
      <c r="EM24" s="20"/>
      <c r="EN24" s="20"/>
      <c r="EO24" s="20"/>
      <c r="EP24" s="20"/>
      <c r="EQ24" s="20"/>
      <c r="ER24" s="20"/>
      <c r="ES24" s="20"/>
      <c r="ET24" s="20"/>
      <c r="EU24" s="20"/>
      <c r="EV24" s="20"/>
      <c r="EW24" s="20"/>
      <c r="EX24" s="20"/>
      <c r="EY24" s="20"/>
      <c r="EZ24" s="20"/>
      <c r="FA24" s="20"/>
      <c r="FB24" s="20"/>
      <c r="FC24" s="20"/>
      <c r="FD24" s="20"/>
      <c r="FE24" s="20"/>
      <c r="FF24" s="20"/>
      <c r="FG24" s="20"/>
      <c r="FH24" s="20"/>
      <c r="FI24" s="20"/>
      <c r="FJ24" s="20"/>
      <c r="FK24" s="20"/>
      <c r="FL24" s="20"/>
      <c r="FM24" s="20"/>
      <c r="FN24" s="20"/>
      <c r="FO24" s="20"/>
      <c r="FP24" s="20"/>
      <c r="FQ24" s="20"/>
      <c r="FR24" s="20"/>
      <c r="FS24" s="20"/>
      <c r="FT24" s="20"/>
      <c r="FU24" s="20"/>
      <c r="FV24" s="20"/>
      <c r="FW24" s="20"/>
      <c r="FX24" s="20"/>
      <c r="FY24" s="20"/>
      <c r="FZ24" s="20"/>
      <c r="GA24" s="20"/>
      <c r="GB24" s="20"/>
      <c r="GC24" s="20"/>
      <c r="GD24" s="20"/>
      <c r="GE24" s="20"/>
      <c r="GF24" s="20"/>
      <c r="GG24" s="20"/>
      <c r="GH24" s="20"/>
      <c r="GI24" s="20"/>
      <c r="GJ24" s="20"/>
      <c r="GK24" s="20"/>
      <c r="GL24" s="20"/>
      <c r="GM24" s="20"/>
      <c r="GN24" s="20"/>
      <c r="GO24" s="20"/>
      <c r="GP24" s="20"/>
      <c r="GQ24" s="20"/>
      <c r="GR24" s="20"/>
      <c r="GS24" s="20"/>
      <c r="GT24" s="20"/>
      <c r="GU24" s="20"/>
      <c r="GV24" s="20"/>
      <c r="GW24" s="20"/>
      <c r="GX24" s="20"/>
      <c r="GY24" s="20"/>
      <c r="GZ24" s="20"/>
      <c r="HA24" s="20"/>
      <c r="HB24" s="20"/>
    </row>
    <row r="25" spans="1:210" s="65" customFormat="1" ht="12.75" customHeight="1">
      <c r="A25" s="23" t="s">
        <v>109</v>
      </c>
      <c r="J25" s="33">
        <v>15407.030999999999</v>
      </c>
      <c r="K25" s="20"/>
      <c r="L25" s="20"/>
      <c r="M25" s="20">
        <v>19863.101000000002</v>
      </c>
      <c r="N25" s="20"/>
      <c r="O25" s="20">
        <v>25670.386999999999</v>
      </c>
      <c r="P25" s="20"/>
      <c r="Q25" s="20"/>
      <c r="R25" s="66">
        <v>35331.415000000001</v>
      </c>
      <c r="S25" s="20">
        <v>42924.266000000003</v>
      </c>
      <c r="T25" s="20">
        <v>41221.035000000003</v>
      </c>
      <c r="U25" s="20">
        <v>50808.667999999998</v>
      </c>
      <c r="V25" s="20">
        <v>47031.574999999997</v>
      </c>
      <c r="W25" s="33">
        <v>51450.142999999996</v>
      </c>
      <c r="X25" s="33">
        <v>56790.298000000003</v>
      </c>
      <c r="Y25" s="33">
        <v>58706.675000000003</v>
      </c>
      <c r="Z25" s="33">
        <v>58680.936999999998</v>
      </c>
      <c r="AA25" s="33">
        <v>61233.963000000003</v>
      </c>
      <c r="AB25" s="33">
        <v>60675.631999999998</v>
      </c>
      <c r="AC25" s="33">
        <v>56743</v>
      </c>
      <c r="AD25" s="20">
        <v>65743.096000000005</v>
      </c>
      <c r="AE25" s="20">
        <v>68641.160999999993</v>
      </c>
      <c r="AF25" s="20">
        <v>68414.210999999996</v>
      </c>
      <c r="AG25" s="20">
        <v>63736.978999999999</v>
      </c>
      <c r="AH25" s="20"/>
      <c r="AI25" s="20"/>
      <c r="AJ25" s="20"/>
      <c r="AK25" s="20"/>
      <c r="AL25" s="20"/>
      <c r="AM25" s="20"/>
      <c r="AN25" s="20"/>
      <c r="AO25" s="20"/>
      <c r="AP25" s="20"/>
      <c r="AQ25" s="20"/>
      <c r="AR25" s="20"/>
      <c r="AS25" s="20"/>
      <c r="AT25" s="20"/>
      <c r="AU25" s="20"/>
      <c r="AV25" s="20"/>
      <c r="AW25" s="20"/>
      <c r="AX25" s="20"/>
      <c r="AY25" s="20"/>
      <c r="AZ25" s="20"/>
      <c r="BA25" s="20"/>
      <c r="BB25" s="20"/>
      <c r="BC25" s="20"/>
      <c r="BD25" s="20"/>
      <c r="BE25" s="20"/>
      <c r="BF25" s="20"/>
      <c r="BG25" s="20"/>
      <c r="BH25" s="20"/>
      <c r="BI25" s="20"/>
      <c r="BJ25" s="20"/>
      <c r="BK25" s="20"/>
      <c r="BL25" s="20"/>
      <c r="BM25" s="20"/>
      <c r="BN25" s="20"/>
      <c r="BO25" s="20"/>
      <c r="BP25" s="20"/>
      <c r="BQ25" s="20"/>
      <c r="BR25" s="20"/>
      <c r="BS25" s="20"/>
      <c r="BT25" s="20"/>
      <c r="BU25" s="20"/>
      <c r="BV25" s="20"/>
      <c r="BW25" s="20"/>
      <c r="BX25" s="20"/>
      <c r="BY25" s="20"/>
      <c r="BZ25" s="20"/>
      <c r="CA25" s="20"/>
      <c r="CB25" s="20"/>
      <c r="CC25" s="20"/>
      <c r="CD25" s="20"/>
      <c r="CE25" s="20"/>
      <c r="CF25" s="20"/>
      <c r="CG25" s="20"/>
      <c r="CH25" s="20"/>
      <c r="CI25" s="20"/>
      <c r="CJ25" s="20"/>
      <c r="CK25" s="20"/>
      <c r="CL25" s="20"/>
      <c r="CM25" s="20"/>
      <c r="CN25" s="20"/>
      <c r="CO25" s="20"/>
      <c r="CP25" s="20"/>
      <c r="CQ25" s="20"/>
      <c r="CR25" s="20"/>
      <c r="CS25" s="20"/>
      <c r="CT25" s="20"/>
      <c r="CU25" s="20"/>
      <c r="CV25" s="20"/>
      <c r="CW25" s="20"/>
      <c r="CX25" s="20"/>
      <c r="CY25" s="20"/>
      <c r="CZ25" s="20"/>
      <c r="DA25" s="20"/>
      <c r="DB25" s="20"/>
      <c r="DC25" s="20"/>
      <c r="DD25" s="20"/>
      <c r="DE25" s="20"/>
      <c r="DF25" s="20"/>
      <c r="DG25" s="20"/>
      <c r="DH25" s="20"/>
      <c r="DI25" s="20"/>
      <c r="DJ25" s="20"/>
      <c r="DK25" s="20"/>
      <c r="DL25" s="20"/>
      <c r="DM25" s="20"/>
      <c r="DN25" s="20"/>
      <c r="DO25" s="20"/>
      <c r="DP25" s="20"/>
      <c r="DQ25" s="20"/>
      <c r="DR25" s="20"/>
      <c r="DS25" s="20"/>
      <c r="DT25" s="20"/>
      <c r="DU25" s="20"/>
      <c r="DV25" s="20"/>
      <c r="DW25" s="20"/>
      <c r="DX25" s="20"/>
      <c r="DY25" s="20"/>
      <c r="DZ25" s="20"/>
      <c r="EA25" s="20"/>
      <c r="EB25" s="20"/>
      <c r="EC25" s="20"/>
      <c r="ED25" s="20"/>
      <c r="EE25" s="20"/>
      <c r="EF25" s="20"/>
      <c r="EG25" s="20"/>
      <c r="EH25" s="20"/>
      <c r="EI25" s="20"/>
      <c r="EJ25" s="20"/>
      <c r="EK25" s="20"/>
      <c r="EL25" s="20"/>
      <c r="EM25" s="20"/>
      <c r="EN25" s="20"/>
      <c r="EO25" s="20"/>
      <c r="EP25" s="20"/>
      <c r="EQ25" s="20"/>
      <c r="ER25" s="20"/>
      <c r="ES25" s="20"/>
      <c r="ET25" s="20"/>
      <c r="EU25" s="20"/>
      <c r="EV25" s="20"/>
      <c r="EW25" s="20"/>
      <c r="EX25" s="20"/>
      <c r="EY25" s="20"/>
      <c r="EZ25" s="20"/>
      <c r="FA25" s="20"/>
      <c r="FB25" s="20"/>
      <c r="FC25" s="20"/>
      <c r="FD25" s="20"/>
      <c r="FE25" s="20"/>
      <c r="FF25" s="20"/>
      <c r="FG25" s="20"/>
      <c r="FH25" s="20"/>
      <c r="FI25" s="20"/>
      <c r="FJ25" s="20"/>
      <c r="FK25" s="20"/>
      <c r="FL25" s="20"/>
      <c r="FM25" s="20"/>
      <c r="FN25" s="20"/>
      <c r="FO25" s="20"/>
      <c r="FP25" s="20"/>
      <c r="FQ25" s="20"/>
      <c r="FR25" s="20"/>
      <c r="FS25" s="20"/>
      <c r="FT25" s="20"/>
      <c r="FU25" s="20"/>
      <c r="FV25" s="20"/>
      <c r="FW25" s="20"/>
      <c r="FX25" s="20"/>
      <c r="FY25" s="20"/>
      <c r="FZ25" s="20"/>
      <c r="GA25" s="20"/>
      <c r="GB25" s="20"/>
      <c r="GC25" s="20"/>
      <c r="GD25" s="20"/>
      <c r="GE25" s="20"/>
      <c r="GF25" s="20"/>
      <c r="GG25" s="20"/>
      <c r="GH25" s="20"/>
      <c r="GI25" s="20"/>
      <c r="GJ25" s="20"/>
      <c r="GK25" s="20"/>
      <c r="GL25" s="20"/>
      <c r="GM25" s="20"/>
      <c r="GN25" s="20"/>
      <c r="GO25" s="20"/>
      <c r="GP25" s="20"/>
      <c r="GQ25" s="20"/>
      <c r="GR25" s="20"/>
      <c r="GS25" s="20"/>
      <c r="GT25" s="20"/>
      <c r="GU25" s="20"/>
      <c r="GV25" s="20"/>
      <c r="GW25" s="20"/>
      <c r="GX25" s="20"/>
      <c r="GY25" s="20"/>
      <c r="GZ25" s="20"/>
      <c r="HA25" s="20"/>
      <c r="HB25" s="20"/>
    </row>
    <row r="26" spans="1:210" s="65" customFormat="1" ht="12.75" customHeight="1">
      <c r="A26" s="23" t="s">
        <v>110</v>
      </c>
      <c r="J26" s="33">
        <v>88402.16399999999</v>
      </c>
      <c r="K26" s="20"/>
      <c r="L26" s="20"/>
      <c r="M26" s="20">
        <v>101855.35800000001</v>
      </c>
      <c r="N26" s="20"/>
      <c r="O26" s="20">
        <v>121510.78</v>
      </c>
      <c r="P26" s="20"/>
      <c r="Q26" s="20"/>
      <c r="R26" s="66">
        <v>168534.45199999999</v>
      </c>
      <c r="S26" s="20">
        <v>173840.785</v>
      </c>
      <c r="T26" s="20">
        <v>170704.59899999999</v>
      </c>
      <c r="U26" s="20">
        <v>197174.361</v>
      </c>
      <c r="V26" s="20">
        <v>201432.269</v>
      </c>
      <c r="W26" s="33">
        <v>214053.12300000002</v>
      </c>
      <c r="X26" s="33">
        <v>246140.58900000001</v>
      </c>
      <c r="Y26" s="33">
        <v>260884.171</v>
      </c>
      <c r="Z26" s="33">
        <v>309759.46399999998</v>
      </c>
      <c r="AA26" s="33">
        <v>352001.56699999998</v>
      </c>
      <c r="AB26" s="33">
        <v>339450.42</v>
      </c>
      <c r="AC26" s="33">
        <v>340452</v>
      </c>
      <c r="AD26" s="20">
        <v>366598.54200000002</v>
      </c>
      <c r="AE26" s="20">
        <v>361965.495</v>
      </c>
      <c r="AF26" s="20">
        <v>350139.59399999998</v>
      </c>
      <c r="AG26" s="20">
        <v>452143.87699999998</v>
      </c>
      <c r="AH26" s="20"/>
      <c r="AI26" s="20"/>
      <c r="AJ26" s="20"/>
      <c r="AK26" s="20"/>
      <c r="AL26" s="20"/>
      <c r="AM26" s="20"/>
      <c r="AN26" s="20"/>
      <c r="AO26" s="20"/>
      <c r="AP26" s="20"/>
      <c r="AQ26" s="20"/>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c r="BP26" s="20"/>
      <c r="BQ26" s="20"/>
      <c r="BR26" s="20"/>
      <c r="BS26" s="20"/>
      <c r="BT26" s="20"/>
      <c r="BU26" s="20"/>
      <c r="BV26" s="20"/>
      <c r="BW26" s="20"/>
      <c r="BX26" s="20"/>
      <c r="BY26" s="20"/>
      <c r="BZ26" s="20"/>
      <c r="CA26" s="20"/>
      <c r="CB26" s="20"/>
      <c r="CC26" s="20"/>
      <c r="CD26" s="20"/>
      <c r="CE26" s="20"/>
      <c r="CF26" s="20"/>
      <c r="CG26" s="20"/>
      <c r="CH26" s="20"/>
      <c r="CI26" s="20"/>
      <c r="CJ26" s="20"/>
      <c r="CK26" s="20"/>
      <c r="CL26" s="20"/>
      <c r="CM26" s="20"/>
      <c r="CN26" s="20"/>
      <c r="CO26" s="20"/>
      <c r="CP26" s="20"/>
      <c r="CQ26" s="20"/>
      <c r="CR26" s="20"/>
      <c r="CS26" s="20"/>
      <c r="CT26" s="20"/>
      <c r="CU26" s="20"/>
      <c r="CV26" s="20"/>
      <c r="CW26" s="20"/>
      <c r="CX26" s="20"/>
      <c r="CY26" s="20"/>
      <c r="CZ26" s="20"/>
      <c r="DA26" s="20"/>
      <c r="DB26" s="20"/>
      <c r="DC26" s="20"/>
      <c r="DD26" s="20"/>
      <c r="DE26" s="20"/>
      <c r="DF26" s="20"/>
      <c r="DG26" s="20"/>
      <c r="DH26" s="20"/>
      <c r="DI26" s="20"/>
      <c r="DJ26" s="20"/>
      <c r="DK26" s="20"/>
      <c r="DL26" s="20"/>
      <c r="DM26" s="20"/>
      <c r="DN26" s="20"/>
      <c r="DO26" s="20"/>
      <c r="DP26" s="20"/>
      <c r="DQ26" s="20"/>
      <c r="DR26" s="20"/>
      <c r="DS26" s="20"/>
      <c r="DT26" s="20"/>
      <c r="DU26" s="20"/>
      <c r="DV26" s="20"/>
      <c r="DW26" s="20"/>
      <c r="DX26" s="20"/>
      <c r="DY26" s="20"/>
      <c r="DZ26" s="20"/>
      <c r="EA26" s="20"/>
      <c r="EB26" s="20"/>
      <c r="EC26" s="20"/>
      <c r="ED26" s="20"/>
      <c r="EE26" s="20"/>
      <c r="EF26" s="20"/>
      <c r="EG26" s="20"/>
      <c r="EH26" s="20"/>
      <c r="EI26" s="20"/>
      <c r="EJ26" s="20"/>
      <c r="EK26" s="20"/>
      <c r="EL26" s="20"/>
      <c r="EM26" s="20"/>
      <c r="EN26" s="20"/>
      <c r="EO26" s="20"/>
      <c r="EP26" s="20"/>
      <c r="EQ26" s="20"/>
      <c r="ER26" s="20"/>
      <c r="ES26" s="20"/>
      <c r="ET26" s="20"/>
      <c r="EU26" s="20"/>
      <c r="EV26" s="20"/>
      <c r="EW26" s="20"/>
      <c r="EX26" s="20"/>
      <c r="EY26" s="20"/>
      <c r="EZ26" s="20"/>
      <c r="FA26" s="20"/>
      <c r="FB26" s="20"/>
      <c r="FC26" s="20"/>
      <c r="FD26" s="20"/>
      <c r="FE26" s="20"/>
      <c r="FF26" s="20"/>
      <c r="FG26" s="20"/>
      <c r="FH26" s="20"/>
      <c r="FI26" s="20"/>
      <c r="FJ26" s="20"/>
      <c r="FK26" s="20"/>
      <c r="FL26" s="20"/>
      <c r="FM26" s="20"/>
      <c r="FN26" s="20"/>
      <c r="FO26" s="20"/>
      <c r="FP26" s="20"/>
      <c r="FQ26" s="20"/>
      <c r="FR26" s="20"/>
      <c r="FS26" s="20"/>
      <c r="FT26" s="20"/>
      <c r="FU26" s="20"/>
      <c r="FV26" s="20"/>
      <c r="FW26" s="20"/>
      <c r="FX26" s="20"/>
      <c r="FY26" s="20"/>
      <c r="FZ26" s="20"/>
      <c r="GA26" s="20"/>
      <c r="GB26" s="20"/>
      <c r="GC26" s="20"/>
      <c r="GD26" s="20"/>
      <c r="GE26" s="20"/>
      <c r="GF26" s="20"/>
      <c r="GG26" s="20"/>
      <c r="GH26" s="20"/>
      <c r="GI26" s="20"/>
      <c r="GJ26" s="20"/>
      <c r="GK26" s="20"/>
      <c r="GL26" s="20"/>
      <c r="GM26" s="20"/>
      <c r="GN26" s="20"/>
      <c r="GO26" s="20"/>
      <c r="GP26" s="20"/>
      <c r="GQ26" s="20"/>
      <c r="GR26" s="20"/>
      <c r="GS26" s="20"/>
      <c r="GT26" s="20"/>
      <c r="GU26" s="20"/>
      <c r="GV26" s="20"/>
      <c r="GW26" s="20"/>
      <c r="GX26" s="20"/>
      <c r="GY26" s="20"/>
      <c r="GZ26" s="20"/>
      <c r="HA26" s="20"/>
      <c r="HB26" s="20"/>
    </row>
    <row r="27" spans="1:210" s="65" customFormat="1" ht="12.75" customHeight="1">
      <c r="A27" s="23" t="s">
        <v>111</v>
      </c>
      <c r="J27" s="33">
        <v>625912.31999999995</v>
      </c>
      <c r="K27" s="20"/>
      <c r="L27" s="20"/>
      <c r="M27" s="20">
        <v>809778.05300000007</v>
      </c>
      <c r="N27" s="20"/>
      <c r="O27" s="20">
        <v>879861.16399999987</v>
      </c>
      <c r="P27" s="20"/>
      <c r="Q27" s="20"/>
      <c r="R27" s="66">
        <v>1439263.304</v>
      </c>
      <c r="S27" s="20">
        <v>1650378.8820000002</v>
      </c>
      <c r="T27" s="20">
        <v>1514229.6170000001</v>
      </c>
      <c r="U27" s="20">
        <v>1612746.3659999999</v>
      </c>
      <c r="V27" s="20">
        <v>1821209.4779999999</v>
      </c>
      <c r="W27" s="33">
        <v>1839822.541</v>
      </c>
      <c r="X27" s="33">
        <v>2051038.868</v>
      </c>
      <c r="Y27" s="33">
        <v>2250497.5619999999</v>
      </c>
      <c r="Z27" s="33">
        <v>2463579.1349999998</v>
      </c>
      <c r="AA27" s="33">
        <v>2075308.6740000001</v>
      </c>
      <c r="AB27" s="33">
        <v>2860680.2220000001</v>
      </c>
      <c r="AC27" s="33">
        <v>2917827</v>
      </c>
      <c r="AD27" s="20">
        <v>3067560.4870000002</v>
      </c>
      <c r="AE27" s="20">
        <v>3066061.585</v>
      </c>
      <c r="AF27" s="20">
        <v>3312123.6209999998</v>
      </c>
      <c r="AG27" s="20">
        <v>3618222.22</v>
      </c>
      <c r="AH27" s="20"/>
      <c r="AI27" s="20"/>
      <c r="AJ27" s="20"/>
      <c r="AK27" s="20"/>
      <c r="AL27" s="20"/>
      <c r="AM27" s="20"/>
      <c r="AN27" s="20"/>
      <c r="AO27" s="20"/>
      <c r="AP27" s="20"/>
      <c r="AQ27" s="20"/>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c r="BP27" s="20"/>
      <c r="BQ27" s="20"/>
      <c r="BR27" s="20"/>
      <c r="BS27" s="20"/>
      <c r="BT27" s="20"/>
      <c r="BU27" s="20"/>
      <c r="BV27" s="20"/>
      <c r="BW27" s="20"/>
      <c r="BX27" s="20"/>
      <c r="BY27" s="20"/>
      <c r="BZ27" s="20"/>
      <c r="CA27" s="20"/>
      <c r="CB27" s="20"/>
      <c r="CC27" s="20"/>
      <c r="CD27" s="20"/>
      <c r="CE27" s="20"/>
      <c r="CF27" s="20"/>
      <c r="CG27" s="20"/>
      <c r="CH27" s="20"/>
      <c r="CI27" s="20"/>
      <c r="CJ27" s="20"/>
      <c r="CK27" s="20"/>
      <c r="CL27" s="20"/>
      <c r="CM27" s="20"/>
      <c r="CN27" s="20"/>
      <c r="CO27" s="20"/>
      <c r="CP27" s="20"/>
      <c r="CQ27" s="20"/>
      <c r="CR27" s="20"/>
      <c r="CS27" s="20"/>
      <c r="CT27" s="20"/>
      <c r="CU27" s="20"/>
      <c r="CV27" s="20"/>
      <c r="CW27" s="20"/>
      <c r="CX27" s="20"/>
      <c r="CY27" s="20"/>
      <c r="CZ27" s="20"/>
      <c r="DA27" s="20"/>
      <c r="DB27" s="20"/>
      <c r="DC27" s="20"/>
      <c r="DD27" s="20"/>
      <c r="DE27" s="20"/>
      <c r="DF27" s="20"/>
      <c r="DG27" s="20"/>
      <c r="DH27" s="20"/>
      <c r="DI27" s="20"/>
      <c r="DJ27" s="20"/>
      <c r="DK27" s="20"/>
      <c r="DL27" s="20"/>
      <c r="DM27" s="20"/>
      <c r="DN27" s="20"/>
      <c r="DO27" s="20"/>
      <c r="DP27" s="20"/>
      <c r="DQ27" s="20"/>
      <c r="DR27" s="20"/>
      <c r="DS27" s="20"/>
      <c r="DT27" s="20"/>
      <c r="DU27" s="20"/>
      <c r="DV27" s="20"/>
      <c r="DW27" s="20"/>
      <c r="DX27" s="20"/>
      <c r="DY27" s="20"/>
      <c r="DZ27" s="20"/>
      <c r="EA27" s="20"/>
      <c r="EB27" s="20"/>
      <c r="EC27" s="20"/>
      <c r="ED27" s="20"/>
      <c r="EE27" s="20"/>
      <c r="EF27" s="20"/>
      <c r="EG27" s="20"/>
      <c r="EH27" s="20"/>
      <c r="EI27" s="20"/>
      <c r="EJ27" s="20"/>
      <c r="EK27" s="20"/>
      <c r="EL27" s="20"/>
      <c r="EM27" s="20"/>
      <c r="EN27" s="20"/>
      <c r="EO27" s="20"/>
      <c r="EP27" s="20"/>
      <c r="EQ27" s="20"/>
      <c r="ER27" s="20"/>
      <c r="ES27" s="20"/>
      <c r="ET27" s="20"/>
      <c r="EU27" s="20"/>
      <c r="EV27" s="20"/>
      <c r="EW27" s="20"/>
      <c r="EX27" s="20"/>
      <c r="EY27" s="20"/>
      <c r="EZ27" s="20"/>
      <c r="FA27" s="20"/>
      <c r="FB27" s="20"/>
      <c r="FC27" s="20"/>
      <c r="FD27" s="20"/>
      <c r="FE27" s="20"/>
      <c r="FF27" s="20"/>
      <c r="FG27" s="20"/>
      <c r="FH27" s="20"/>
      <c r="FI27" s="20"/>
      <c r="FJ27" s="20"/>
      <c r="FK27" s="20"/>
      <c r="FL27" s="20"/>
      <c r="FM27" s="20"/>
      <c r="FN27" s="20"/>
      <c r="FO27" s="20"/>
      <c r="FP27" s="20"/>
      <c r="FQ27" s="20"/>
      <c r="FR27" s="20"/>
      <c r="FS27" s="20"/>
      <c r="FT27" s="20"/>
      <c r="FU27" s="20"/>
      <c r="FV27" s="20"/>
      <c r="FW27" s="20"/>
      <c r="FX27" s="20"/>
      <c r="FY27" s="20"/>
      <c r="FZ27" s="20"/>
      <c r="GA27" s="20"/>
      <c r="GB27" s="20"/>
      <c r="GC27" s="20"/>
      <c r="GD27" s="20"/>
      <c r="GE27" s="20"/>
      <c r="GF27" s="20"/>
      <c r="GG27" s="20"/>
      <c r="GH27" s="20"/>
      <c r="GI27" s="20"/>
      <c r="GJ27" s="20"/>
      <c r="GK27" s="20"/>
      <c r="GL27" s="20"/>
      <c r="GM27" s="20"/>
      <c r="GN27" s="20"/>
      <c r="GO27" s="20"/>
      <c r="GP27" s="20"/>
      <c r="GQ27" s="20"/>
      <c r="GR27" s="20"/>
      <c r="GS27" s="20"/>
      <c r="GT27" s="20"/>
      <c r="GU27" s="20"/>
      <c r="GV27" s="20"/>
      <c r="GW27" s="20"/>
      <c r="GX27" s="20"/>
      <c r="GY27" s="20"/>
      <c r="GZ27" s="20"/>
      <c r="HA27" s="20"/>
      <c r="HB27" s="20"/>
    </row>
    <row r="28" spans="1:210" s="65" customFormat="1" ht="12.75" customHeight="1">
      <c r="A28" s="23" t="s">
        <v>112</v>
      </c>
      <c r="J28" s="33">
        <v>128070.04800000001</v>
      </c>
      <c r="K28" s="20"/>
      <c r="L28" s="20"/>
      <c r="M28" s="20">
        <v>135322.43</v>
      </c>
      <c r="N28" s="20"/>
      <c r="O28" s="20">
        <v>150018.226</v>
      </c>
      <c r="P28" s="20"/>
      <c r="Q28" s="20"/>
      <c r="R28" s="66">
        <v>188769.49299999999</v>
      </c>
      <c r="S28" s="20">
        <v>229201.88500000001</v>
      </c>
      <c r="T28" s="20">
        <v>276626.46799999999</v>
      </c>
      <c r="U28" s="20">
        <v>255524.95199999999</v>
      </c>
      <c r="V28" s="20">
        <v>203619.91899999999</v>
      </c>
      <c r="W28" s="33">
        <v>263654.34899999999</v>
      </c>
      <c r="X28" s="33">
        <v>491701.41700000002</v>
      </c>
      <c r="Y28" s="33">
        <v>543516.08799999999</v>
      </c>
      <c r="Z28" s="33">
        <v>628270.78799999994</v>
      </c>
      <c r="AA28" s="33">
        <v>598566.12899999996</v>
      </c>
      <c r="AB28" s="33">
        <v>527451.16500000004</v>
      </c>
      <c r="AC28" s="33">
        <v>681473</v>
      </c>
      <c r="AD28" s="20">
        <v>664109.32999999996</v>
      </c>
      <c r="AE28" s="20">
        <v>651319.41500000004</v>
      </c>
      <c r="AF28" s="20">
        <v>702442.69799999997</v>
      </c>
      <c r="AG28" s="20">
        <v>783858.44099999999</v>
      </c>
      <c r="AH28" s="20"/>
      <c r="AI28" s="20"/>
      <c r="AJ28" s="20"/>
      <c r="AK28" s="20"/>
      <c r="AL28" s="20"/>
      <c r="AM28" s="20"/>
      <c r="AN28" s="20"/>
      <c r="AO28" s="20"/>
      <c r="AP28" s="20"/>
      <c r="AQ28" s="20"/>
      <c r="AR28" s="20"/>
      <c r="AS28" s="20"/>
      <c r="AT28" s="20"/>
      <c r="AU28" s="20"/>
      <c r="AV28" s="20"/>
      <c r="AW28" s="20"/>
      <c r="AX28" s="20"/>
      <c r="AY28" s="20"/>
      <c r="AZ28" s="20"/>
      <c r="BA28" s="20"/>
      <c r="BB28" s="20"/>
      <c r="BC28" s="20"/>
      <c r="BD28" s="20"/>
      <c r="BE28" s="20"/>
      <c r="BF28" s="20"/>
      <c r="BG28" s="20"/>
      <c r="BH28" s="20"/>
      <c r="BI28" s="20"/>
      <c r="BJ28" s="20"/>
      <c r="BK28" s="20"/>
      <c r="BL28" s="20"/>
      <c r="BM28" s="20"/>
      <c r="BN28" s="20"/>
      <c r="BO28" s="20"/>
      <c r="BP28" s="20"/>
      <c r="BQ28" s="20"/>
      <c r="BR28" s="20"/>
      <c r="BS28" s="20"/>
      <c r="BT28" s="20"/>
      <c r="BU28" s="20"/>
      <c r="BV28" s="20"/>
      <c r="BW28" s="20"/>
      <c r="BX28" s="20"/>
      <c r="BY28" s="20"/>
      <c r="BZ28" s="20"/>
      <c r="CA28" s="20"/>
      <c r="CB28" s="20"/>
      <c r="CC28" s="20"/>
      <c r="CD28" s="20"/>
      <c r="CE28" s="20"/>
      <c r="CF28" s="20"/>
      <c r="CG28" s="20"/>
      <c r="CH28" s="20"/>
      <c r="CI28" s="20"/>
      <c r="CJ28" s="20"/>
      <c r="CK28" s="20"/>
      <c r="CL28" s="20"/>
      <c r="CM28" s="20"/>
      <c r="CN28" s="20"/>
      <c r="CO28" s="20"/>
      <c r="CP28" s="20"/>
      <c r="CQ28" s="20"/>
      <c r="CR28" s="20"/>
      <c r="CS28" s="20"/>
      <c r="CT28" s="20"/>
      <c r="CU28" s="20"/>
      <c r="CV28" s="20"/>
      <c r="CW28" s="20"/>
      <c r="CX28" s="20"/>
      <c r="CY28" s="20"/>
      <c r="CZ28" s="20"/>
      <c r="DA28" s="20"/>
      <c r="DB28" s="20"/>
      <c r="DC28" s="20"/>
      <c r="DD28" s="20"/>
      <c r="DE28" s="20"/>
      <c r="DF28" s="20"/>
      <c r="DG28" s="20"/>
      <c r="DH28" s="20"/>
      <c r="DI28" s="20"/>
      <c r="DJ28" s="20"/>
      <c r="DK28" s="20"/>
      <c r="DL28" s="20"/>
      <c r="DM28" s="20"/>
      <c r="DN28" s="20"/>
      <c r="DO28" s="20"/>
      <c r="DP28" s="20"/>
      <c r="DQ28" s="20"/>
      <c r="DR28" s="20"/>
      <c r="DS28" s="20"/>
      <c r="DT28" s="20"/>
      <c r="DU28" s="20"/>
      <c r="DV28" s="20"/>
      <c r="DW28" s="20"/>
      <c r="DX28" s="20"/>
      <c r="DY28" s="20"/>
      <c r="DZ28" s="20"/>
      <c r="EA28" s="20"/>
      <c r="EB28" s="20"/>
      <c r="EC28" s="20"/>
      <c r="ED28" s="20"/>
      <c r="EE28" s="20"/>
      <c r="EF28" s="20"/>
      <c r="EG28" s="20"/>
      <c r="EH28" s="20"/>
      <c r="EI28" s="20"/>
      <c r="EJ28" s="20"/>
      <c r="EK28" s="20"/>
      <c r="EL28" s="20"/>
      <c r="EM28" s="20"/>
      <c r="EN28" s="20"/>
      <c r="EO28" s="20"/>
      <c r="EP28" s="20"/>
      <c r="EQ28" s="20"/>
      <c r="ER28" s="20"/>
      <c r="ES28" s="20"/>
      <c r="ET28" s="20"/>
      <c r="EU28" s="20"/>
      <c r="EV28" s="20"/>
      <c r="EW28" s="20"/>
      <c r="EX28" s="20"/>
      <c r="EY28" s="20"/>
      <c r="EZ28" s="20"/>
      <c r="FA28" s="20"/>
      <c r="FB28" s="20"/>
      <c r="FC28" s="20"/>
      <c r="FD28" s="20"/>
      <c r="FE28" s="20"/>
      <c r="FF28" s="20"/>
      <c r="FG28" s="20"/>
      <c r="FH28" s="20"/>
      <c r="FI28" s="20"/>
      <c r="FJ28" s="20"/>
      <c r="FK28" s="20"/>
      <c r="FL28" s="20"/>
      <c r="FM28" s="20"/>
      <c r="FN28" s="20"/>
      <c r="FO28" s="20"/>
      <c r="FP28" s="20"/>
      <c r="FQ28" s="20"/>
      <c r="FR28" s="20"/>
      <c r="FS28" s="20"/>
      <c r="FT28" s="20"/>
      <c r="FU28" s="20"/>
      <c r="FV28" s="20"/>
      <c r="FW28" s="20"/>
      <c r="FX28" s="20"/>
      <c r="FY28" s="20"/>
      <c r="FZ28" s="20"/>
      <c r="GA28" s="20"/>
      <c r="GB28" s="20"/>
      <c r="GC28" s="20"/>
      <c r="GD28" s="20"/>
      <c r="GE28" s="20"/>
      <c r="GF28" s="20"/>
      <c r="GG28" s="20"/>
      <c r="GH28" s="20"/>
      <c r="GI28" s="20"/>
      <c r="GJ28" s="20"/>
      <c r="GK28" s="20"/>
      <c r="GL28" s="20"/>
      <c r="GM28" s="20"/>
      <c r="GN28" s="20"/>
      <c r="GO28" s="20"/>
      <c r="GP28" s="20"/>
      <c r="GQ28" s="20"/>
      <c r="GR28" s="20"/>
      <c r="GS28" s="20"/>
      <c r="GT28" s="20"/>
      <c r="GU28" s="20"/>
      <c r="GV28" s="20"/>
      <c r="GW28" s="20"/>
      <c r="GX28" s="20"/>
      <c r="GY28" s="20"/>
      <c r="GZ28" s="20"/>
      <c r="HA28" s="20"/>
      <c r="HB28" s="20"/>
    </row>
    <row r="29" spans="1:210" s="65" customFormat="1" ht="12.75" customHeight="1">
      <c r="A29" s="23" t="s">
        <v>115</v>
      </c>
      <c r="J29" s="33">
        <v>23069.416000000001</v>
      </c>
      <c r="K29" s="20"/>
      <c r="L29" s="20"/>
      <c r="M29" s="20">
        <v>27193.417000000001</v>
      </c>
      <c r="N29" s="20"/>
      <c r="O29" s="20">
        <v>24609.377</v>
      </c>
      <c r="P29" s="20"/>
      <c r="Q29" s="20"/>
      <c r="R29" s="66">
        <v>31804.14</v>
      </c>
      <c r="S29" s="20">
        <v>28007.008999999998</v>
      </c>
      <c r="T29" s="20">
        <v>39131.025000000001</v>
      </c>
      <c r="U29" s="20">
        <v>113308.311</v>
      </c>
      <c r="V29" s="20">
        <v>111673.68799999999</v>
      </c>
      <c r="W29" s="33">
        <v>113817.18700000001</v>
      </c>
      <c r="X29" s="33">
        <v>126654.08</v>
      </c>
      <c r="Y29" s="33">
        <v>144658.40299999999</v>
      </c>
      <c r="Z29" s="33">
        <v>173707.21400000001</v>
      </c>
      <c r="AA29" s="33">
        <v>187018.72500000001</v>
      </c>
      <c r="AB29" s="33">
        <v>181636.47700000001</v>
      </c>
      <c r="AC29" s="33">
        <v>164737</v>
      </c>
      <c r="AD29" s="20">
        <v>168487.851</v>
      </c>
      <c r="AE29" s="20">
        <v>175108.68799999999</v>
      </c>
      <c r="AF29" s="20">
        <v>183766.204</v>
      </c>
      <c r="AG29" s="20">
        <v>193525.28</v>
      </c>
      <c r="AH29" s="20"/>
      <c r="AI29" s="20"/>
      <c r="AJ29" s="20"/>
      <c r="AK29" s="20"/>
      <c r="AL29" s="20"/>
      <c r="AM29" s="20"/>
      <c r="AN29" s="20"/>
      <c r="AO29" s="20"/>
      <c r="AP29" s="20"/>
      <c r="AQ29" s="20"/>
      <c r="AR29" s="20"/>
      <c r="AS29" s="20"/>
      <c r="AT29" s="20"/>
      <c r="AU29" s="20"/>
      <c r="AV29" s="20"/>
      <c r="AW29" s="20"/>
      <c r="AX29" s="20"/>
      <c r="AY29" s="20"/>
      <c r="AZ29" s="20"/>
      <c r="BA29" s="20"/>
      <c r="BB29" s="20"/>
      <c r="BC29" s="20"/>
      <c r="BD29" s="20"/>
      <c r="BE29" s="20"/>
      <c r="BF29" s="20"/>
      <c r="BG29" s="20"/>
      <c r="BH29" s="20"/>
      <c r="BI29" s="20"/>
      <c r="BJ29" s="20"/>
      <c r="BK29" s="20"/>
      <c r="BL29" s="20"/>
      <c r="BM29" s="20"/>
      <c r="BN29" s="20"/>
      <c r="BO29" s="20"/>
      <c r="BP29" s="20"/>
      <c r="BQ29" s="20"/>
      <c r="BR29" s="20"/>
      <c r="BS29" s="20"/>
      <c r="BT29" s="20"/>
      <c r="BU29" s="20"/>
      <c r="BV29" s="20"/>
      <c r="BW29" s="20"/>
      <c r="BX29" s="20"/>
      <c r="BY29" s="20"/>
      <c r="BZ29" s="20"/>
      <c r="CA29" s="20"/>
      <c r="CB29" s="20"/>
      <c r="CC29" s="20"/>
      <c r="CD29" s="20"/>
      <c r="CE29" s="20"/>
      <c r="CF29" s="20"/>
      <c r="CG29" s="20"/>
      <c r="CH29" s="20"/>
      <c r="CI29" s="20"/>
      <c r="CJ29" s="20"/>
      <c r="CK29" s="20"/>
      <c r="CL29" s="20"/>
      <c r="CM29" s="20"/>
      <c r="CN29" s="20"/>
      <c r="CO29" s="20"/>
      <c r="CP29" s="20"/>
      <c r="CQ29" s="20"/>
      <c r="CR29" s="20"/>
      <c r="CS29" s="20"/>
      <c r="CT29" s="20"/>
      <c r="CU29" s="20"/>
      <c r="CV29" s="20"/>
      <c r="CW29" s="20"/>
      <c r="CX29" s="20"/>
      <c r="CY29" s="20"/>
      <c r="CZ29" s="20"/>
      <c r="DA29" s="20"/>
      <c r="DB29" s="20"/>
      <c r="DC29" s="20"/>
      <c r="DD29" s="20"/>
      <c r="DE29" s="20"/>
      <c r="DF29" s="20"/>
      <c r="DG29" s="20"/>
      <c r="DH29" s="20"/>
      <c r="DI29" s="20"/>
      <c r="DJ29" s="20"/>
      <c r="DK29" s="20"/>
      <c r="DL29" s="20"/>
      <c r="DM29" s="20"/>
      <c r="DN29" s="20"/>
      <c r="DO29" s="20"/>
      <c r="DP29" s="20"/>
      <c r="DQ29" s="20"/>
      <c r="DR29" s="20"/>
      <c r="DS29" s="20"/>
      <c r="DT29" s="20"/>
      <c r="DU29" s="20"/>
      <c r="DV29" s="20"/>
      <c r="DW29" s="20"/>
      <c r="DX29" s="20"/>
      <c r="DY29" s="20"/>
      <c r="DZ29" s="20"/>
      <c r="EA29" s="20"/>
      <c r="EB29" s="20"/>
      <c r="EC29" s="20"/>
      <c r="ED29" s="20"/>
      <c r="EE29" s="20"/>
      <c r="EF29" s="20"/>
      <c r="EG29" s="20"/>
      <c r="EH29" s="20"/>
      <c r="EI29" s="20"/>
      <c r="EJ29" s="20"/>
      <c r="EK29" s="20"/>
      <c r="EL29" s="20"/>
      <c r="EM29" s="20"/>
      <c r="EN29" s="20"/>
      <c r="EO29" s="20"/>
      <c r="EP29" s="20"/>
      <c r="EQ29" s="20"/>
      <c r="ER29" s="20"/>
      <c r="ES29" s="20"/>
      <c r="ET29" s="20"/>
      <c r="EU29" s="20"/>
      <c r="EV29" s="20"/>
      <c r="EW29" s="20"/>
      <c r="EX29" s="20"/>
      <c r="EY29" s="20"/>
      <c r="EZ29" s="20"/>
      <c r="FA29" s="20"/>
      <c r="FB29" s="20"/>
      <c r="FC29" s="20"/>
      <c r="FD29" s="20"/>
      <c r="FE29" s="20"/>
      <c r="FF29" s="20"/>
      <c r="FG29" s="20"/>
      <c r="FH29" s="20"/>
      <c r="FI29" s="20"/>
      <c r="FJ29" s="20"/>
      <c r="FK29" s="20"/>
      <c r="FL29" s="20"/>
      <c r="FM29" s="20"/>
      <c r="FN29" s="20"/>
      <c r="FO29" s="20"/>
      <c r="FP29" s="20"/>
      <c r="FQ29" s="20"/>
      <c r="FR29" s="20"/>
      <c r="FS29" s="20"/>
      <c r="FT29" s="20"/>
      <c r="FU29" s="20"/>
      <c r="FV29" s="20"/>
      <c r="FW29" s="20"/>
      <c r="FX29" s="20"/>
      <c r="FY29" s="20"/>
      <c r="FZ29" s="20"/>
      <c r="GA29" s="20"/>
      <c r="GB29" s="20"/>
      <c r="GC29" s="20"/>
      <c r="GD29" s="20"/>
      <c r="GE29" s="20"/>
      <c r="GF29" s="20"/>
      <c r="GG29" s="20"/>
      <c r="GH29" s="20"/>
      <c r="GI29" s="20"/>
      <c r="GJ29" s="20"/>
      <c r="GK29" s="20"/>
      <c r="GL29" s="20"/>
      <c r="GM29" s="20"/>
      <c r="GN29" s="20"/>
      <c r="GO29" s="20"/>
      <c r="GP29" s="20"/>
      <c r="GQ29" s="20"/>
      <c r="GR29" s="20"/>
      <c r="GS29" s="20"/>
      <c r="GT29" s="20"/>
      <c r="GU29" s="20"/>
      <c r="GV29" s="20"/>
      <c r="GW29" s="20"/>
      <c r="GX29" s="20"/>
      <c r="GY29" s="20"/>
      <c r="GZ29" s="20"/>
      <c r="HA29" s="20"/>
      <c r="HB29" s="20"/>
    </row>
    <row r="30" spans="1:210" s="65" customFormat="1" ht="12.75" customHeight="1">
      <c r="A30" s="23" t="s">
        <v>116</v>
      </c>
      <c r="J30" s="33">
        <v>30595.324999999997</v>
      </c>
      <c r="K30" s="20"/>
      <c r="L30" s="20"/>
      <c r="M30" s="20">
        <v>35831.861000000004</v>
      </c>
      <c r="N30" s="20"/>
      <c r="O30" s="20">
        <v>38961.502999999997</v>
      </c>
      <c r="P30" s="20"/>
      <c r="Q30" s="20"/>
      <c r="R30" s="66">
        <v>47305.305999999997</v>
      </c>
      <c r="S30" s="20">
        <v>52978.012000000002</v>
      </c>
      <c r="T30" s="20">
        <v>59708.008000000002</v>
      </c>
      <c r="U30" s="20">
        <v>66385.028000000006</v>
      </c>
      <c r="V30" s="20">
        <v>75173.956999999995</v>
      </c>
      <c r="W30" s="33">
        <v>80337.490999999995</v>
      </c>
      <c r="X30" s="33">
        <v>89859.722999999998</v>
      </c>
      <c r="Y30" s="33">
        <v>86007.429000000004</v>
      </c>
      <c r="Z30" s="33">
        <v>88212.145999999993</v>
      </c>
      <c r="AA30" s="33">
        <v>80170.850000000006</v>
      </c>
      <c r="AB30" s="33">
        <v>75525.123000000007</v>
      </c>
      <c r="AC30" s="33">
        <v>81318</v>
      </c>
      <c r="AD30" s="20">
        <v>89125.489000000001</v>
      </c>
      <c r="AE30" s="20">
        <v>96794.417000000001</v>
      </c>
      <c r="AF30" s="20">
        <v>94630.608999999997</v>
      </c>
      <c r="AG30" s="20">
        <v>91230.861000000004</v>
      </c>
      <c r="AH30" s="20"/>
      <c r="AI30" s="20"/>
      <c r="AJ30" s="20"/>
      <c r="AK30" s="20"/>
      <c r="AL30" s="20"/>
      <c r="AM30" s="20"/>
      <c r="AN30" s="20"/>
      <c r="AO30" s="20"/>
      <c r="AP30" s="20"/>
      <c r="AQ30" s="20"/>
      <c r="AR30" s="20"/>
      <c r="AS30" s="20"/>
      <c r="AT30" s="20"/>
      <c r="AU30" s="20"/>
      <c r="AV30" s="20"/>
      <c r="AW30" s="20"/>
      <c r="AX30" s="20"/>
      <c r="AY30" s="20"/>
      <c r="AZ30" s="20"/>
      <c r="BA30" s="20"/>
      <c r="BB30" s="20"/>
      <c r="BC30" s="20"/>
      <c r="BD30" s="20"/>
      <c r="BE30" s="20"/>
      <c r="BF30" s="20"/>
      <c r="BG30" s="20"/>
      <c r="BH30" s="20"/>
      <c r="BI30" s="20"/>
      <c r="BJ30" s="20"/>
      <c r="BK30" s="20"/>
      <c r="BL30" s="20"/>
      <c r="BM30" s="20"/>
      <c r="BN30" s="20"/>
      <c r="BO30" s="20"/>
      <c r="BP30" s="20"/>
      <c r="BQ30" s="20"/>
      <c r="BR30" s="20"/>
      <c r="BS30" s="20"/>
      <c r="BT30" s="20"/>
      <c r="BU30" s="20"/>
      <c r="BV30" s="20"/>
      <c r="BW30" s="20"/>
      <c r="BX30" s="20"/>
      <c r="BY30" s="20"/>
      <c r="BZ30" s="20"/>
      <c r="CA30" s="20"/>
      <c r="CB30" s="20"/>
      <c r="CC30" s="20"/>
      <c r="CD30" s="20"/>
      <c r="CE30" s="20"/>
      <c r="CF30" s="20"/>
      <c r="CG30" s="20"/>
      <c r="CH30" s="20"/>
      <c r="CI30" s="20"/>
      <c r="CJ30" s="20"/>
      <c r="CK30" s="20"/>
      <c r="CL30" s="20"/>
      <c r="CM30" s="20"/>
      <c r="CN30" s="20"/>
      <c r="CO30" s="20"/>
      <c r="CP30" s="20"/>
      <c r="CQ30" s="20"/>
      <c r="CR30" s="20"/>
      <c r="CS30" s="20"/>
      <c r="CT30" s="20"/>
      <c r="CU30" s="20"/>
      <c r="CV30" s="20"/>
      <c r="CW30" s="20"/>
      <c r="CX30" s="20"/>
      <c r="CY30" s="20"/>
      <c r="CZ30" s="20"/>
      <c r="DA30" s="20"/>
      <c r="DB30" s="20"/>
      <c r="DC30" s="20"/>
      <c r="DD30" s="20"/>
      <c r="DE30" s="20"/>
      <c r="DF30" s="20"/>
      <c r="DG30" s="20"/>
      <c r="DH30" s="20"/>
      <c r="DI30" s="20"/>
      <c r="DJ30" s="20"/>
      <c r="DK30" s="20"/>
      <c r="DL30" s="20"/>
      <c r="DM30" s="20"/>
      <c r="DN30" s="20"/>
      <c r="DO30" s="20"/>
      <c r="DP30" s="20"/>
      <c r="DQ30" s="20"/>
      <c r="DR30" s="20"/>
      <c r="DS30" s="20"/>
      <c r="DT30" s="20"/>
      <c r="DU30" s="20"/>
      <c r="DV30" s="20"/>
      <c r="DW30" s="20"/>
      <c r="DX30" s="20"/>
      <c r="DY30" s="20"/>
      <c r="DZ30" s="20"/>
      <c r="EA30" s="20"/>
      <c r="EB30" s="20"/>
      <c r="EC30" s="20"/>
      <c r="ED30" s="20"/>
      <c r="EE30" s="20"/>
      <c r="EF30" s="20"/>
      <c r="EG30" s="20"/>
      <c r="EH30" s="20"/>
      <c r="EI30" s="20"/>
      <c r="EJ30" s="20"/>
      <c r="EK30" s="20"/>
      <c r="EL30" s="20"/>
      <c r="EM30" s="20"/>
      <c r="EN30" s="20"/>
      <c r="EO30" s="20"/>
      <c r="EP30" s="20"/>
      <c r="EQ30" s="20"/>
      <c r="ER30" s="20"/>
      <c r="ES30" s="20"/>
      <c r="ET30" s="20"/>
      <c r="EU30" s="20"/>
      <c r="EV30" s="20"/>
      <c r="EW30" s="20"/>
      <c r="EX30" s="20"/>
      <c r="EY30" s="20"/>
      <c r="EZ30" s="20"/>
      <c r="FA30" s="20"/>
      <c r="FB30" s="20"/>
      <c r="FC30" s="20"/>
      <c r="FD30" s="20"/>
      <c r="FE30" s="20"/>
      <c r="FF30" s="20"/>
      <c r="FG30" s="20"/>
      <c r="FH30" s="20"/>
      <c r="FI30" s="20"/>
      <c r="FJ30" s="20"/>
      <c r="FK30" s="20"/>
      <c r="FL30" s="20"/>
      <c r="FM30" s="20"/>
      <c r="FN30" s="20"/>
      <c r="FO30" s="20"/>
      <c r="FP30" s="20"/>
      <c r="FQ30" s="20"/>
      <c r="FR30" s="20"/>
      <c r="FS30" s="20"/>
      <c r="FT30" s="20"/>
      <c r="FU30" s="20"/>
      <c r="FV30" s="20"/>
      <c r="FW30" s="20"/>
      <c r="FX30" s="20"/>
      <c r="FY30" s="20"/>
      <c r="FZ30" s="20"/>
      <c r="GA30" s="20"/>
      <c r="GB30" s="20"/>
      <c r="GC30" s="20"/>
      <c r="GD30" s="20"/>
      <c r="GE30" s="20"/>
      <c r="GF30" s="20"/>
      <c r="GG30" s="20"/>
      <c r="GH30" s="20"/>
      <c r="GI30" s="20"/>
      <c r="GJ30" s="20"/>
      <c r="GK30" s="20"/>
      <c r="GL30" s="20"/>
      <c r="GM30" s="20"/>
      <c r="GN30" s="20"/>
      <c r="GO30" s="20"/>
      <c r="GP30" s="20"/>
      <c r="GQ30" s="20"/>
      <c r="GR30" s="20"/>
      <c r="GS30" s="20"/>
      <c r="GT30" s="20"/>
      <c r="GU30" s="20"/>
      <c r="GV30" s="20"/>
      <c r="GW30" s="20"/>
      <c r="GX30" s="20"/>
      <c r="GY30" s="20"/>
      <c r="GZ30" s="20"/>
      <c r="HA30" s="20"/>
      <c r="HB30" s="20"/>
    </row>
    <row r="31" spans="1:210" s="65" customFormat="1" ht="12.75" customHeight="1">
      <c r="A31" s="23" t="s">
        <v>124</v>
      </c>
      <c r="J31" s="33">
        <v>15741.478999999999</v>
      </c>
      <c r="K31" s="20"/>
      <c r="L31" s="20"/>
      <c r="M31" s="20">
        <v>22564.663</v>
      </c>
      <c r="N31" s="20"/>
      <c r="O31" s="20">
        <v>28028.106</v>
      </c>
      <c r="P31" s="20"/>
      <c r="Q31" s="20"/>
      <c r="R31" s="90">
        <v>47046.615000000005</v>
      </c>
      <c r="S31" s="20">
        <v>42373.832999999999</v>
      </c>
      <c r="T31" s="20">
        <v>49136.220999999998</v>
      </c>
      <c r="U31" s="20">
        <v>40602.216</v>
      </c>
      <c r="V31" s="20">
        <v>42556.478999999999</v>
      </c>
      <c r="W31" s="33">
        <v>46844.29</v>
      </c>
      <c r="X31" s="33">
        <v>56523.307000000001</v>
      </c>
      <c r="Y31" s="33">
        <v>58990.627</v>
      </c>
      <c r="Z31" s="33">
        <v>62008.951999999997</v>
      </c>
      <c r="AA31" s="33">
        <v>63123.883999999998</v>
      </c>
      <c r="AB31" s="33">
        <v>58778.591999999997</v>
      </c>
      <c r="AC31" s="33">
        <v>55063</v>
      </c>
      <c r="AD31" s="20">
        <v>58086.726000000002</v>
      </c>
      <c r="AE31" s="20">
        <v>60144.146000000001</v>
      </c>
      <c r="AF31" s="20">
        <v>62791.86</v>
      </c>
      <c r="AG31" s="20">
        <v>68998.62</v>
      </c>
      <c r="AH31" s="20"/>
      <c r="AI31" s="20"/>
      <c r="AJ31" s="20"/>
      <c r="AK31" s="20"/>
      <c r="AL31" s="20"/>
      <c r="AM31" s="20"/>
      <c r="AN31" s="20"/>
      <c r="AO31" s="20"/>
      <c r="AP31" s="20"/>
      <c r="AQ31" s="20"/>
      <c r="AR31" s="20"/>
      <c r="AS31" s="20"/>
      <c r="AT31" s="20"/>
      <c r="AU31" s="20"/>
      <c r="AV31" s="20"/>
      <c r="AW31" s="20"/>
      <c r="AX31" s="20"/>
      <c r="AY31" s="20"/>
      <c r="AZ31" s="20"/>
      <c r="BA31" s="20"/>
      <c r="BB31" s="20"/>
      <c r="BC31" s="20"/>
      <c r="BD31" s="20"/>
      <c r="BE31" s="20"/>
      <c r="BF31" s="20"/>
      <c r="BG31" s="20"/>
      <c r="BH31" s="20"/>
      <c r="BI31" s="20"/>
      <c r="BJ31" s="20"/>
      <c r="BK31" s="20"/>
      <c r="BL31" s="20"/>
      <c r="BM31" s="20"/>
      <c r="BN31" s="20"/>
      <c r="BO31" s="20"/>
      <c r="BP31" s="20"/>
      <c r="BQ31" s="20"/>
      <c r="BR31" s="20"/>
      <c r="BS31" s="20"/>
      <c r="BT31" s="20"/>
      <c r="BU31" s="20"/>
      <c r="BV31" s="20"/>
      <c r="BW31" s="20"/>
      <c r="BX31" s="20"/>
      <c r="BY31" s="20"/>
      <c r="BZ31" s="20"/>
      <c r="CA31" s="20"/>
      <c r="CB31" s="20"/>
      <c r="CC31" s="20"/>
      <c r="CD31" s="20"/>
      <c r="CE31" s="20"/>
      <c r="CF31" s="20"/>
      <c r="CG31" s="20"/>
      <c r="CH31" s="20"/>
      <c r="CI31" s="20"/>
      <c r="CJ31" s="20"/>
      <c r="CK31" s="20"/>
      <c r="CL31" s="20"/>
      <c r="CM31" s="20"/>
      <c r="CN31" s="20"/>
      <c r="CO31" s="20"/>
      <c r="CP31" s="20"/>
      <c r="CQ31" s="20"/>
      <c r="CR31" s="20"/>
      <c r="CS31" s="20"/>
      <c r="CT31" s="20"/>
      <c r="CU31" s="20"/>
      <c r="CV31" s="20"/>
      <c r="CW31" s="20"/>
      <c r="CX31" s="20"/>
      <c r="CY31" s="20"/>
      <c r="CZ31" s="20"/>
      <c r="DA31" s="20"/>
      <c r="DB31" s="20"/>
      <c r="DC31" s="20"/>
      <c r="DD31" s="20"/>
      <c r="DE31" s="20"/>
      <c r="DF31" s="20"/>
      <c r="DG31" s="20"/>
      <c r="DH31" s="20"/>
      <c r="DI31" s="20"/>
      <c r="DJ31" s="20"/>
      <c r="DK31" s="20"/>
      <c r="DL31" s="20"/>
      <c r="DM31" s="20"/>
      <c r="DN31" s="20"/>
      <c r="DO31" s="20"/>
      <c r="DP31" s="20"/>
      <c r="DQ31" s="20"/>
      <c r="DR31" s="20"/>
      <c r="DS31" s="20"/>
      <c r="DT31" s="20"/>
      <c r="DU31" s="20"/>
      <c r="DV31" s="20"/>
      <c r="DW31" s="20"/>
      <c r="DX31" s="20"/>
      <c r="DY31" s="20"/>
      <c r="DZ31" s="20"/>
      <c r="EA31" s="20"/>
      <c r="EB31" s="20"/>
      <c r="EC31" s="20"/>
      <c r="ED31" s="20"/>
      <c r="EE31" s="20"/>
      <c r="EF31" s="20"/>
      <c r="EG31" s="20"/>
      <c r="EH31" s="20"/>
      <c r="EI31" s="20"/>
      <c r="EJ31" s="20"/>
      <c r="EK31" s="20"/>
      <c r="EL31" s="20"/>
      <c r="EM31" s="20"/>
      <c r="EN31" s="20"/>
      <c r="EO31" s="20"/>
      <c r="EP31" s="20"/>
      <c r="EQ31" s="20"/>
      <c r="ER31" s="20"/>
      <c r="ES31" s="20"/>
      <c r="ET31" s="20"/>
      <c r="EU31" s="20"/>
      <c r="EV31" s="20"/>
      <c r="EW31" s="20"/>
      <c r="EX31" s="20"/>
      <c r="EY31" s="20"/>
      <c r="EZ31" s="20"/>
      <c r="FA31" s="20"/>
      <c r="FB31" s="20"/>
      <c r="FC31" s="20"/>
      <c r="FD31" s="20"/>
      <c r="FE31" s="20"/>
      <c r="FF31" s="20"/>
      <c r="FG31" s="20"/>
      <c r="FH31" s="20"/>
      <c r="FI31" s="20"/>
      <c r="FJ31" s="20"/>
      <c r="FK31" s="20"/>
      <c r="FL31" s="20"/>
      <c r="FM31" s="20"/>
      <c r="FN31" s="20"/>
      <c r="FO31" s="20"/>
      <c r="FP31" s="20"/>
      <c r="FQ31" s="20"/>
      <c r="FR31" s="20"/>
      <c r="FS31" s="20"/>
      <c r="FT31" s="20"/>
      <c r="FU31" s="20"/>
      <c r="FV31" s="20"/>
      <c r="FW31" s="20"/>
      <c r="FX31" s="20"/>
      <c r="FY31" s="20"/>
      <c r="FZ31" s="20"/>
      <c r="GA31" s="20"/>
      <c r="GB31" s="20"/>
      <c r="GC31" s="20"/>
      <c r="GD31" s="20"/>
      <c r="GE31" s="20"/>
      <c r="GF31" s="20"/>
      <c r="GG31" s="20"/>
      <c r="GH31" s="20"/>
      <c r="GI31" s="20"/>
      <c r="GJ31" s="20"/>
      <c r="GK31" s="20"/>
      <c r="GL31" s="20"/>
      <c r="GM31" s="20"/>
      <c r="GN31" s="20"/>
      <c r="GO31" s="20"/>
      <c r="GP31" s="20"/>
      <c r="GQ31" s="20"/>
      <c r="GR31" s="20"/>
      <c r="GS31" s="20"/>
      <c r="GT31" s="20"/>
      <c r="GU31" s="20"/>
      <c r="GV31" s="20"/>
      <c r="GW31" s="20"/>
      <c r="GX31" s="20"/>
      <c r="GY31" s="20"/>
      <c r="GZ31" s="20"/>
      <c r="HA31" s="20"/>
      <c r="HB31" s="20"/>
    </row>
    <row r="32" spans="1:210" s="65" customFormat="1" ht="12.75" customHeight="1">
      <c r="A32" s="23" t="s">
        <v>126</v>
      </c>
      <c r="J32" s="33">
        <v>34754.745999999999</v>
      </c>
      <c r="K32" s="20"/>
      <c r="L32" s="20"/>
      <c r="M32" s="20">
        <v>51429.622000000003</v>
      </c>
      <c r="N32" s="20"/>
      <c r="O32" s="20">
        <v>52573.483</v>
      </c>
      <c r="P32" s="20"/>
      <c r="Q32" s="20"/>
      <c r="R32" s="92">
        <v>61674.952999999994</v>
      </c>
      <c r="S32" s="20">
        <v>70067.638000000006</v>
      </c>
      <c r="T32" s="20">
        <v>58517.455999999998</v>
      </c>
      <c r="U32" s="20">
        <v>69441.843999999997</v>
      </c>
      <c r="V32" s="20">
        <v>81297.138000000006</v>
      </c>
      <c r="W32" s="33">
        <v>88838.294999999998</v>
      </c>
      <c r="X32" s="33">
        <v>98547.163</v>
      </c>
      <c r="Y32" s="33">
        <v>103935.78</v>
      </c>
      <c r="Z32" s="33">
        <v>97935.944000000003</v>
      </c>
      <c r="AA32" s="33">
        <v>86327.24</v>
      </c>
      <c r="AB32" s="33">
        <v>110132.47100000001</v>
      </c>
      <c r="AC32" s="33">
        <v>97495</v>
      </c>
      <c r="AD32" s="20">
        <v>87357.407000000007</v>
      </c>
      <c r="AE32" s="20">
        <v>97385.67</v>
      </c>
      <c r="AF32" s="20">
        <v>104406.143</v>
      </c>
      <c r="AG32" s="20">
        <v>118518.031</v>
      </c>
      <c r="AH32" s="20"/>
      <c r="AI32" s="20"/>
      <c r="AJ32" s="20"/>
      <c r="AK32" s="20"/>
      <c r="AL32" s="20"/>
      <c r="AM32" s="20"/>
      <c r="AN32" s="20"/>
      <c r="AO32" s="20"/>
      <c r="AP32" s="20"/>
      <c r="AQ32" s="20"/>
      <c r="AR32" s="20"/>
      <c r="AS32" s="20"/>
      <c r="AT32" s="20"/>
      <c r="AU32" s="20"/>
      <c r="AV32" s="20"/>
      <c r="AW32" s="20"/>
      <c r="AX32" s="20"/>
      <c r="AY32" s="20"/>
      <c r="AZ32" s="20"/>
      <c r="BA32" s="20"/>
      <c r="BB32" s="20"/>
      <c r="BC32" s="20"/>
      <c r="BD32" s="20"/>
      <c r="BE32" s="20"/>
      <c r="BF32" s="20"/>
      <c r="BG32" s="20"/>
      <c r="BH32" s="20"/>
      <c r="BI32" s="20"/>
      <c r="BJ32" s="20"/>
      <c r="BK32" s="20"/>
      <c r="BL32" s="20"/>
      <c r="BM32" s="20"/>
      <c r="BN32" s="20"/>
      <c r="BO32" s="20"/>
      <c r="BP32" s="20"/>
      <c r="BQ32" s="20"/>
      <c r="BR32" s="20"/>
      <c r="BS32" s="20"/>
      <c r="BT32" s="20"/>
      <c r="BU32" s="20"/>
      <c r="BV32" s="20"/>
      <c r="BW32" s="20"/>
      <c r="BX32" s="20"/>
      <c r="BY32" s="20"/>
      <c r="BZ32" s="20"/>
      <c r="CA32" s="20"/>
      <c r="CB32" s="20"/>
      <c r="CC32" s="20"/>
      <c r="CD32" s="20"/>
      <c r="CE32" s="20"/>
      <c r="CF32" s="20"/>
      <c r="CG32" s="20"/>
      <c r="CH32" s="20"/>
      <c r="CI32" s="20"/>
      <c r="CJ32" s="20"/>
      <c r="CK32" s="20"/>
      <c r="CL32" s="20"/>
      <c r="CM32" s="20"/>
      <c r="CN32" s="20"/>
      <c r="CO32" s="20"/>
      <c r="CP32" s="20"/>
      <c r="CQ32" s="20"/>
      <c r="CR32" s="20"/>
      <c r="CS32" s="20"/>
      <c r="CT32" s="20"/>
      <c r="CU32" s="20"/>
      <c r="CV32" s="20"/>
      <c r="CW32" s="20"/>
      <c r="CX32" s="20"/>
      <c r="CY32" s="20"/>
      <c r="CZ32" s="20"/>
      <c r="DA32" s="20"/>
      <c r="DB32" s="20"/>
      <c r="DC32" s="20"/>
      <c r="DD32" s="20"/>
      <c r="DE32" s="20"/>
      <c r="DF32" s="20"/>
      <c r="DG32" s="20"/>
      <c r="DH32" s="20"/>
      <c r="DI32" s="20"/>
      <c r="DJ32" s="20"/>
      <c r="DK32" s="20"/>
      <c r="DL32" s="20"/>
      <c r="DM32" s="20"/>
      <c r="DN32" s="20"/>
      <c r="DO32" s="20"/>
      <c r="DP32" s="20"/>
      <c r="DQ32" s="20"/>
      <c r="DR32" s="20"/>
      <c r="DS32" s="20"/>
      <c r="DT32" s="20"/>
      <c r="DU32" s="20"/>
      <c r="DV32" s="20"/>
      <c r="DW32" s="20"/>
      <c r="DX32" s="20"/>
      <c r="DY32" s="20"/>
      <c r="DZ32" s="20"/>
      <c r="EA32" s="20"/>
      <c r="EB32" s="20"/>
      <c r="EC32" s="20"/>
      <c r="ED32" s="20"/>
      <c r="EE32" s="20"/>
      <c r="EF32" s="20"/>
      <c r="EG32" s="20"/>
      <c r="EH32" s="20"/>
      <c r="EI32" s="20"/>
      <c r="EJ32" s="20"/>
      <c r="EK32" s="20"/>
      <c r="EL32" s="20"/>
      <c r="EM32" s="20"/>
      <c r="EN32" s="20"/>
      <c r="EO32" s="20"/>
      <c r="EP32" s="20"/>
      <c r="EQ32" s="20"/>
      <c r="ER32" s="20"/>
      <c r="ES32" s="20"/>
      <c r="ET32" s="20"/>
      <c r="EU32" s="20"/>
      <c r="EV32" s="20"/>
      <c r="EW32" s="20"/>
      <c r="EX32" s="20"/>
      <c r="EY32" s="20"/>
      <c r="EZ32" s="20"/>
      <c r="FA32" s="20"/>
      <c r="FB32" s="20"/>
      <c r="FC32" s="20"/>
      <c r="FD32" s="20"/>
      <c r="FE32" s="20"/>
      <c r="FF32" s="20"/>
      <c r="FG32" s="20"/>
      <c r="FH32" s="20"/>
      <c r="FI32" s="20"/>
      <c r="FJ32" s="20"/>
      <c r="FK32" s="20"/>
      <c r="FL32" s="20"/>
      <c r="FM32" s="20"/>
      <c r="FN32" s="20"/>
      <c r="FO32" s="20"/>
      <c r="FP32" s="20"/>
      <c r="FQ32" s="20"/>
      <c r="FR32" s="20"/>
      <c r="FS32" s="20"/>
      <c r="FT32" s="20"/>
      <c r="FU32" s="20"/>
      <c r="FV32" s="20"/>
      <c r="FW32" s="20"/>
      <c r="FX32" s="20"/>
      <c r="FY32" s="20"/>
      <c r="FZ32" s="20"/>
      <c r="GA32" s="20"/>
      <c r="GB32" s="20"/>
      <c r="GC32" s="20"/>
      <c r="GD32" s="20"/>
      <c r="GE32" s="20"/>
      <c r="GF32" s="20"/>
      <c r="GG32" s="20"/>
      <c r="GH32" s="20"/>
      <c r="GI32" s="20"/>
      <c r="GJ32" s="20"/>
      <c r="GK32" s="20"/>
      <c r="GL32" s="20"/>
      <c r="GM32" s="20"/>
      <c r="GN32" s="20"/>
      <c r="GO32" s="20"/>
      <c r="GP32" s="20"/>
      <c r="GQ32" s="20"/>
      <c r="GR32" s="20"/>
      <c r="GS32" s="20"/>
      <c r="GT32" s="20"/>
      <c r="GU32" s="20"/>
      <c r="GV32" s="20"/>
      <c r="GW32" s="20"/>
      <c r="GX32" s="20"/>
      <c r="GY32" s="20"/>
      <c r="GZ32" s="20"/>
      <c r="HA32" s="20"/>
      <c r="HB32" s="20"/>
    </row>
    <row r="33" spans="1:210" s="65" customFormat="1" ht="12.75" customHeight="1">
      <c r="A33" s="23" t="s">
        <v>129</v>
      </c>
      <c r="J33" s="33">
        <v>85490.49</v>
      </c>
      <c r="K33" s="20"/>
      <c r="L33" s="20"/>
      <c r="M33" s="20">
        <v>96271.214000000007</v>
      </c>
      <c r="N33" s="20"/>
      <c r="O33" s="20">
        <v>107358.73804000001</v>
      </c>
      <c r="P33" s="20"/>
      <c r="Q33" s="20"/>
      <c r="R33" s="92">
        <v>126469.93400000001</v>
      </c>
      <c r="S33" s="20">
        <v>143303.5</v>
      </c>
      <c r="T33" s="20">
        <v>122282.11900000001</v>
      </c>
      <c r="U33" s="20">
        <v>138492.80300000001</v>
      </c>
      <c r="V33" s="20">
        <v>144156.394</v>
      </c>
      <c r="W33" s="33">
        <v>139988.29999999999</v>
      </c>
      <c r="X33" s="33">
        <v>149081.394</v>
      </c>
      <c r="Y33" s="33">
        <v>166290.90900000001</v>
      </c>
      <c r="Z33" s="33">
        <v>196087.05499999999</v>
      </c>
      <c r="AA33" s="33">
        <v>208515.59700000001</v>
      </c>
      <c r="AB33" s="33">
        <v>199186.51800000001</v>
      </c>
      <c r="AC33" s="33">
        <v>221840</v>
      </c>
      <c r="AD33" s="20">
        <v>183279.40400000001</v>
      </c>
      <c r="AE33" s="20">
        <v>197434.704</v>
      </c>
      <c r="AF33" s="20">
        <v>201541.75399999999</v>
      </c>
      <c r="AG33" s="20">
        <v>207111.26199999999</v>
      </c>
      <c r="AH33" s="20"/>
      <c r="AI33" s="20"/>
      <c r="AJ33" s="20"/>
      <c r="AK33" s="20"/>
      <c r="AL33" s="20"/>
      <c r="AM33" s="20"/>
      <c r="AN33" s="20"/>
      <c r="AO33" s="20"/>
      <c r="AP33" s="20"/>
      <c r="AQ33" s="20"/>
      <c r="AR33" s="20"/>
      <c r="AS33" s="20"/>
      <c r="AT33" s="20"/>
      <c r="AU33" s="20"/>
      <c r="AV33" s="20"/>
      <c r="AW33" s="20"/>
      <c r="AX33" s="20"/>
      <c r="AY33" s="20"/>
      <c r="AZ33" s="20"/>
      <c r="BA33" s="20"/>
      <c r="BB33" s="20"/>
      <c r="BC33" s="20"/>
      <c r="BD33" s="20"/>
      <c r="BE33" s="20"/>
      <c r="BF33" s="20"/>
      <c r="BG33" s="20"/>
      <c r="BH33" s="20"/>
      <c r="BI33" s="20"/>
      <c r="BJ33" s="20"/>
      <c r="BK33" s="20"/>
      <c r="BL33" s="20"/>
      <c r="BM33" s="20"/>
      <c r="BN33" s="20"/>
      <c r="BO33" s="20"/>
      <c r="BP33" s="20"/>
      <c r="BQ33" s="20"/>
      <c r="BR33" s="20"/>
      <c r="BS33" s="20"/>
      <c r="BT33" s="20"/>
      <c r="BU33" s="20"/>
      <c r="BV33" s="20"/>
      <c r="BW33" s="20"/>
      <c r="BX33" s="20"/>
      <c r="BY33" s="20"/>
      <c r="BZ33" s="20"/>
      <c r="CA33" s="20"/>
      <c r="CB33" s="20"/>
      <c r="CC33" s="20"/>
      <c r="CD33" s="20"/>
      <c r="CE33" s="20"/>
      <c r="CF33" s="20"/>
      <c r="CG33" s="20"/>
      <c r="CH33" s="20"/>
      <c r="CI33" s="20"/>
      <c r="CJ33" s="20"/>
      <c r="CK33" s="20"/>
      <c r="CL33" s="20"/>
      <c r="CM33" s="20"/>
      <c r="CN33" s="20"/>
      <c r="CO33" s="20"/>
      <c r="CP33" s="20"/>
      <c r="CQ33" s="20"/>
      <c r="CR33" s="20"/>
      <c r="CS33" s="20"/>
      <c r="CT33" s="20"/>
      <c r="CU33" s="20"/>
      <c r="CV33" s="20"/>
      <c r="CW33" s="20"/>
      <c r="CX33" s="20"/>
      <c r="CY33" s="20"/>
      <c r="CZ33" s="20"/>
      <c r="DA33" s="20"/>
      <c r="DB33" s="20"/>
      <c r="DC33" s="20"/>
      <c r="DD33" s="20"/>
      <c r="DE33" s="20"/>
      <c r="DF33" s="20"/>
      <c r="DG33" s="20"/>
      <c r="DH33" s="20"/>
      <c r="DI33" s="20"/>
      <c r="DJ33" s="20"/>
      <c r="DK33" s="20"/>
      <c r="DL33" s="20"/>
      <c r="DM33" s="20"/>
      <c r="DN33" s="20"/>
      <c r="DO33" s="20"/>
      <c r="DP33" s="20"/>
      <c r="DQ33" s="20"/>
      <c r="DR33" s="20"/>
      <c r="DS33" s="20"/>
      <c r="DT33" s="20"/>
      <c r="DU33" s="20"/>
      <c r="DV33" s="20"/>
      <c r="DW33" s="20"/>
      <c r="DX33" s="20"/>
      <c r="DY33" s="20"/>
      <c r="DZ33" s="20"/>
      <c r="EA33" s="20"/>
      <c r="EB33" s="20"/>
      <c r="EC33" s="20"/>
      <c r="ED33" s="20"/>
      <c r="EE33" s="20"/>
      <c r="EF33" s="20"/>
      <c r="EG33" s="20"/>
      <c r="EH33" s="20"/>
      <c r="EI33" s="20"/>
      <c r="EJ33" s="20"/>
      <c r="EK33" s="20"/>
      <c r="EL33" s="20"/>
      <c r="EM33" s="20"/>
      <c r="EN33" s="20"/>
      <c r="EO33" s="20"/>
      <c r="EP33" s="20"/>
      <c r="EQ33" s="20"/>
      <c r="ER33" s="20"/>
      <c r="ES33" s="20"/>
      <c r="ET33" s="20"/>
      <c r="EU33" s="20"/>
      <c r="EV33" s="20"/>
      <c r="EW33" s="20"/>
      <c r="EX33" s="20"/>
      <c r="EY33" s="20"/>
      <c r="EZ33" s="20"/>
      <c r="FA33" s="20"/>
      <c r="FB33" s="20"/>
      <c r="FC33" s="20"/>
      <c r="FD33" s="20"/>
      <c r="FE33" s="20"/>
      <c r="FF33" s="20"/>
      <c r="FG33" s="20"/>
      <c r="FH33" s="20"/>
      <c r="FI33" s="20"/>
      <c r="FJ33" s="20"/>
      <c r="FK33" s="20"/>
      <c r="FL33" s="20"/>
      <c r="FM33" s="20"/>
      <c r="FN33" s="20"/>
      <c r="FO33" s="20"/>
      <c r="FP33" s="20"/>
      <c r="FQ33" s="20"/>
      <c r="FR33" s="20"/>
      <c r="FS33" s="20"/>
      <c r="FT33" s="20"/>
      <c r="FU33" s="20"/>
      <c r="FV33" s="20"/>
      <c r="FW33" s="20"/>
      <c r="FX33" s="20"/>
      <c r="FY33" s="20"/>
      <c r="FZ33" s="20"/>
      <c r="GA33" s="20"/>
      <c r="GB33" s="20"/>
      <c r="GC33" s="20"/>
      <c r="GD33" s="20"/>
      <c r="GE33" s="20"/>
      <c r="GF33" s="20"/>
      <c r="GG33" s="20"/>
      <c r="GH33" s="20"/>
      <c r="GI33" s="20"/>
      <c r="GJ33" s="20"/>
      <c r="GK33" s="20"/>
      <c r="GL33" s="20"/>
      <c r="GM33" s="20"/>
      <c r="GN33" s="20"/>
      <c r="GO33" s="20"/>
      <c r="GP33" s="20"/>
      <c r="GQ33" s="20"/>
      <c r="GR33" s="20"/>
      <c r="GS33" s="20"/>
      <c r="GT33" s="20"/>
      <c r="GU33" s="20"/>
      <c r="GV33" s="20"/>
      <c r="GW33" s="20"/>
      <c r="GX33" s="20"/>
      <c r="GY33" s="20"/>
      <c r="GZ33" s="20"/>
      <c r="HA33" s="20"/>
      <c r="HB33" s="20"/>
    </row>
    <row r="34" spans="1:210" s="65" customFormat="1" ht="12.75" customHeight="1">
      <c r="A34" s="23" t="s">
        <v>133</v>
      </c>
      <c r="J34" s="33">
        <v>80187.565000000002</v>
      </c>
      <c r="K34" s="20"/>
      <c r="L34" s="20"/>
      <c r="M34" s="20">
        <v>101222.35699999999</v>
      </c>
      <c r="N34" s="20"/>
      <c r="O34" s="20">
        <v>130936.698</v>
      </c>
      <c r="P34" s="20"/>
      <c r="Q34" s="20"/>
      <c r="R34" s="66">
        <v>194694.86</v>
      </c>
      <c r="S34" s="20">
        <v>274559.37400000001</v>
      </c>
      <c r="T34" s="20">
        <v>215978.63200000001</v>
      </c>
      <c r="U34" s="20">
        <v>234862.58</v>
      </c>
      <c r="V34" s="20">
        <v>288322.71899999998</v>
      </c>
      <c r="W34" s="33">
        <v>339842.16499999998</v>
      </c>
      <c r="X34" s="33">
        <v>326558.32199999999</v>
      </c>
      <c r="Y34" s="33">
        <v>358196.73</v>
      </c>
      <c r="Z34" s="33">
        <v>355288.31800000003</v>
      </c>
      <c r="AA34" s="33">
        <v>179708.429</v>
      </c>
      <c r="AB34" s="33">
        <v>290640.63400000002</v>
      </c>
      <c r="AC34" s="33">
        <v>248197</v>
      </c>
      <c r="AD34" s="20">
        <v>300559.90700000001</v>
      </c>
      <c r="AE34" s="20">
        <v>420406.04</v>
      </c>
      <c r="AF34" s="20">
        <v>410338.50400000002</v>
      </c>
      <c r="AG34" s="20">
        <v>520997.19500000001</v>
      </c>
      <c r="AH34" s="20"/>
      <c r="AI34" s="20"/>
      <c r="AJ34" s="20"/>
      <c r="AK34" s="20"/>
      <c r="AL34" s="20"/>
      <c r="AM34" s="20"/>
      <c r="AN34" s="20"/>
      <c r="AO34" s="20"/>
      <c r="AP34" s="20"/>
      <c r="AQ34" s="20"/>
      <c r="AR34" s="20"/>
      <c r="AS34" s="20"/>
      <c r="AT34" s="20"/>
      <c r="AU34" s="20"/>
      <c r="AV34" s="20"/>
      <c r="AW34" s="20"/>
      <c r="AX34" s="20"/>
      <c r="AY34" s="20"/>
      <c r="AZ34" s="20"/>
      <c r="BA34" s="20"/>
      <c r="BB34" s="20"/>
      <c r="BC34" s="20"/>
      <c r="BD34" s="20"/>
      <c r="BE34" s="20"/>
      <c r="BF34" s="20"/>
      <c r="BG34" s="20"/>
      <c r="BH34" s="20"/>
      <c r="BI34" s="20"/>
      <c r="BJ34" s="20"/>
      <c r="BK34" s="20"/>
      <c r="BL34" s="20"/>
      <c r="BM34" s="20"/>
      <c r="BN34" s="20"/>
      <c r="BO34" s="20"/>
      <c r="BP34" s="20"/>
      <c r="BQ34" s="20"/>
      <c r="BR34" s="20"/>
      <c r="BS34" s="20"/>
      <c r="BT34" s="20"/>
      <c r="BU34" s="20"/>
      <c r="BV34" s="20"/>
      <c r="BW34" s="20"/>
      <c r="BX34" s="20"/>
      <c r="BY34" s="20"/>
      <c r="BZ34" s="20"/>
      <c r="CA34" s="20"/>
      <c r="CB34" s="20"/>
      <c r="CC34" s="20"/>
      <c r="CD34" s="20"/>
      <c r="CE34" s="20"/>
      <c r="CF34" s="20"/>
      <c r="CG34" s="20"/>
      <c r="CH34" s="20"/>
      <c r="CI34" s="20"/>
      <c r="CJ34" s="20"/>
      <c r="CK34" s="20"/>
      <c r="CL34" s="20"/>
      <c r="CM34" s="20"/>
      <c r="CN34" s="20"/>
      <c r="CO34" s="20"/>
      <c r="CP34" s="20"/>
      <c r="CQ34" s="20"/>
      <c r="CR34" s="20"/>
      <c r="CS34" s="20"/>
      <c r="CT34" s="20"/>
      <c r="CU34" s="20"/>
      <c r="CV34" s="20"/>
      <c r="CW34" s="20"/>
      <c r="CX34" s="20"/>
      <c r="CY34" s="20"/>
      <c r="CZ34" s="20"/>
      <c r="DA34" s="20"/>
      <c r="DB34" s="20"/>
      <c r="DC34" s="20"/>
      <c r="DD34" s="20"/>
      <c r="DE34" s="20"/>
      <c r="DF34" s="20"/>
      <c r="DG34" s="20"/>
      <c r="DH34" s="20"/>
      <c r="DI34" s="20"/>
      <c r="DJ34" s="20"/>
      <c r="DK34" s="20"/>
      <c r="DL34" s="20"/>
      <c r="DM34" s="20"/>
      <c r="DN34" s="20"/>
      <c r="DO34" s="20"/>
      <c r="DP34" s="20"/>
      <c r="DQ34" s="20"/>
      <c r="DR34" s="20"/>
      <c r="DS34" s="20"/>
      <c r="DT34" s="20"/>
      <c r="DU34" s="20"/>
      <c r="DV34" s="20"/>
      <c r="DW34" s="20"/>
      <c r="DX34" s="20"/>
      <c r="DY34" s="20"/>
      <c r="DZ34" s="20"/>
      <c r="EA34" s="20"/>
      <c r="EB34" s="20"/>
      <c r="EC34" s="20"/>
      <c r="ED34" s="20"/>
      <c r="EE34" s="20"/>
      <c r="EF34" s="20"/>
      <c r="EG34" s="20"/>
      <c r="EH34" s="20"/>
      <c r="EI34" s="20"/>
      <c r="EJ34" s="20"/>
      <c r="EK34" s="20"/>
      <c r="EL34" s="20"/>
      <c r="EM34" s="20"/>
      <c r="EN34" s="20"/>
      <c r="EO34" s="20"/>
      <c r="EP34" s="20"/>
      <c r="EQ34" s="20"/>
      <c r="ER34" s="20"/>
      <c r="ES34" s="20"/>
      <c r="ET34" s="20"/>
      <c r="EU34" s="20"/>
      <c r="EV34" s="20"/>
      <c r="EW34" s="20"/>
      <c r="EX34" s="20"/>
      <c r="EY34" s="20"/>
      <c r="EZ34" s="20"/>
      <c r="FA34" s="20"/>
      <c r="FB34" s="20"/>
      <c r="FC34" s="20"/>
      <c r="FD34" s="20"/>
      <c r="FE34" s="20"/>
      <c r="FF34" s="20"/>
      <c r="FG34" s="20"/>
      <c r="FH34" s="20"/>
      <c r="FI34" s="20"/>
      <c r="FJ34" s="20"/>
      <c r="FK34" s="20"/>
      <c r="FL34" s="20"/>
      <c r="FM34" s="20"/>
      <c r="FN34" s="20"/>
      <c r="FO34" s="20"/>
      <c r="FP34" s="20"/>
      <c r="FQ34" s="20"/>
      <c r="FR34" s="20"/>
      <c r="FS34" s="20"/>
      <c r="FT34" s="20"/>
      <c r="FU34" s="20"/>
      <c r="FV34" s="20"/>
      <c r="FW34" s="20"/>
      <c r="FX34" s="20"/>
      <c r="FY34" s="20"/>
      <c r="FZ34" s="20"/>
      <c r="GA34" s="20"/>
      <c r="GB34" s="20"/>
      <c r="GC34" s="20"/>
      <c r="GD34" s="20"/>
      <c r="GE34" s="20"/>
      <c r="GF34" s="20"/>
      <c r="GG34" s="20"/>
      <c r="GH34" s="20"/>
      <c r="GI34" s="20"/>
      <c r="GJ34" s="20"/>
      <c r="GK34" s="20"/>
      <c r="GL34" s="20"/>
      <c r="GM34" s="20"/>
      <c r="GN34" s="20"/>
      <c r="GO34" s="20"/>
      <c r="GP34" s="20"/>
      <c r="GQ34" s="20"/>
      <c r="GR34" s="20"/>
      <c r="GS34" s="20"/>
      <c r="GT34" s="20"/>
      <c r="GU34" s="20"/>
      <c r="GV34" s="20"/>
      <c r="GW34" s="20"/>
      <c r="GX34" s="20"/>
      <c r="GY34" s="20"/>
      <c r="GZ34" s="20"/>
      <c r="HA34" s="20"/>
      <c r="HB34" s="20"/>
    </row>
    <row r="35" spans="1:210" s="65" customFormat="1" ht="12.75" customHeight="1">
      <c r="A35" s="23" t="s">
        <v>137</v>
      </c>
      <c r="J35" s="33">
        <v>62216.790999999997</v>
      </c>
      <c r="K35" s="20"/>
      <c r="L35" s="20"/>
      <c r="M35" s="20">
        <v>81257.512000000002</v>
      </c>
      <c r="N35" s="20"/>
      <c r="O35" s="20">
        <v>106055.93400000001</v>
      </c>
      <c r="P35" s="20"/>
      <c r="Q35" s="20"/>
      <c r="R35" s="66">
        <v>167006.82800000001</v>
      </c>
      <c r="S35" s="20">
        <v>156279.606</v>
      </c>
      <c r="T35" s="20">
        <v>183003.60500000001</v>
      </c>
      <c r="U35" s="20">
        <v>150652.40700000001</v>
      </c>
      <c r="V35" s="20">
        <v>149958.696</v>
      </c>
      <c r="W35" s="33">
        <v>158198.22500000001</v>
      </c>
      <c r="X35" s="33">
        <v>173427.07199999999</v>
      </c>
      <c r="Y35" s="33">
        <v>236738.95699999999</v>
      </c>
      <c r="Z35" s="33">
        <v>290686.82699999999</v>
      </c>
      <c r="AA35" s="33">
        <v>245559.269</v>
      </c>
      <c r="AB35" s="33">
        <v>267335.78499999997</v>
      </c>
      <c r="AC35" s="33">
        <v>262051</v>
      </c>
      <c r="AD35" s="20">
        <v>265665.049</v>
      </c>
      <c r="AE35" s="20">
        <v>282808.91100000002</v>
      </c>
      <c r="AF35" s="20">
        <v>303835.45600000001</v>
      </c>
      <c r="AG35" s="20">
        <v>309276.21000000002</v>
      </c>
      <c r="AH35" s="20"/>
      <c r="AI35" s="20"/>
      <c r="AJ35" s="20"/>
      <c r="AK35" s="20"/>
      <c r="AL35" s="20"/>
      <c r="AM35" s="20"/>
      <c r="AN35" s="20"/>
      <c r="AO35" s="20"/>
      <c r="AP35" s="20"/>
      <c r="AQ35" s="20"/>
      <c r="AR35" s="20"/>
      <c r="AS35" s="20"/>
      <c r="AT35" s="20"/>
      <c r="AU35" s="20"/>
      <c r="AV35" s="20"/>
      <c r="AW35" s="20"/>
      <c r="AX35" s="20"/>
      <c r="AY35" s="20"/>
      <c r="AZ35" s="20"/>
      <c r="BA35" s="20"/>
      <c r="BB35" s="20"/>
      <c r="BC35" s="20"/>
      <c r="BD35" s="20"/>
      <c r="BE35" s="20"/>
      <c r="BF35" s="20"/>
      <c r="BG35" s="20"/>
      <c r="BH35" s="20"/>
      <c r="BI35" s="20"/>
      <c r="BJ35" s="20"/>
      <c r="BK35" s="20"/>
      <c r="BL35" s="20"/>
      <c r="BM35" s="20"/>
      <c r="BN35" s="20"/>
      <c r="BO35" s="20"/>
      <c r="BP35" s="20"/>
      <c r="BQ35" s="20"/>
      <c r="BR35" s="20"/>
      <c r="BS35" s="20"/>
      <c r="BT35" s="20"/>
      <c r="BU35" s="20"/>
      <c r="BV35" s="20"/>
      <c r="BW35" s="20"/>
      <c r="BX35" s="20"/>
      <c r="BY35" s="20"/>
      <c r="BZ35" s="20"/>
      <c r="CA35" s="20"/>
      <c r="CB35" s="20"/>
      <c r="CC35" s="20"/>
      <c r="CD35" s="20"/>
      <c r="CE35" s="20"/>
      <c r="CF35" s="20"/>
      <c r="CG35" s="20"/>
      <c r="CH35" s="20"/>
      <c r="CI35" s="20"/>
      <c r="CJ35" s="20"/>
      <c r="CK35" s="20"/>
      <c r="CL35" s="20"/>
      <c r="CM35" s="20"/>
      <c r="CN35" s="20"/>
      <c r="CO35" s="20"/>
      <c r="CP35" s="20"/>
      <c r="CQ35" s="20"/>
      <c r="CR35" s="20"/>
      <c r="CS35" s="20"/>
      <c r="CT35" s="20"/>
      <c r="CU35" s="20"/>
      <c r="CV35" s="20"/>
      <c r="CW35" s="20"/>
      <c r="CX35" s="20"/>
      <c r="CY35" s="20"/>
      <c r="CZ35" s="20"/>
      <c r="DA35" s="20"/>
      <c r="DB35" s="20"/>
      <c r="DC35" s="20"/>
      <c r="DD35" s="20"/>
      <c r="DE35" s="20"/>
      <c r="DF35" s="20"/>
      <c r="DG35" s="20"/>
      <c r="DH35" s="20"/>
      <c r="DI35" s="20"/>
      <c r="DJ35" s="20"/>
      <c r="DK35" s="20"/>
      <c r="DL35" s="20"/>
      <c r="DM35" s="20"/>
      <c r="DN35" s="20"/>
      <c r="DO35" s="20"/>
      <c r="DP35" s="20"/>
      <c r="DQ35" s="20"/>
      <c r="DR35" s="20"/>
      <c r="DS35" s="20"/>
      <c r="DT35" s="20"/>
      <c r="DU35" s="20"/>
      <c r="DV35" s="20"/>
      <c r="DW35" s="20"/>
      <c r="DX35" s="20"/>
      <c r="DY35" s="20"/>
      <c r="DZ35" s="20"/>
      <c r="EA35" s="20"/>
      <c r="EB35" s="20"/>
      <c r="EC35" s="20"/>
      <c r="ED35" s="20"/>
      <c r="EE35" s="20"/>
      <c r="EF35" s="20"/>
      <c r="EG35" s="20"/>
      <c r="EH35" s="20"/>
      <c r="EI35" s="20"/>
      <c r="EJ35" s="20"/>
      <c r="EK35" s="20"/>
      <c r="EL35" s="20"/>
      <c r="EM35" s="20"/>
      <c r="EN35" s="20"/>
      <c r="EO35" s="20"/>
      <c r="EP35" s="20"/>
      <c r="EQ35" s="20"/>
      <c r="ER35" s="20"/>
      <c r="ES35" s="20"/>
      <c r="ET35" s="20"/>
      <c r="EU35" s="20"/>
      <c r="EV35" s="20"/>
      <c r="EW35" s="20"/>
      <c r="EX35" s="20"/>
      <c r="EY35" s="20"/>
      <c r="EZ35" s="20"/>
      <c r="FA35" s="20"/>
      <c r="FB35" s="20"/>
      <c r="FC35" s="20"/>
      <c r="FD35" s="20"/>
      <c r="FE35" s="20"/>
      <c r="FF35" s="20"/>
      <c r="FG35" s="20"/>
      <c r="FH35" s="20"/>
      <c r="FI35" s="20"/>
      <c r="FJ35" s="20"/>
      <c r="FK35" s="20"/>
      <c r="FL35" s="20"/>
      <c r="FM35" s="20"/>
      <c r="FN35" s="20"/>
      <c r="FO35" s="20"/>
      <c r="FP35" s="20"/>
      <c r="FQ35" s="20"/>
      <c r="FR35" s="20"/>
      <c r="FS35" s="20"/>
      <c r="FT35" s="20"/>
      <c r="FU35" s="20"/>
      <c r="FV35" s="20"/>
      <c r="FW35" s="20"/>
      <c r="FX35" s="20"/>
      <c r="FY35" s="20"/>
      <c r="FZ35" s="20"/>
      <c r="GA35" s="20"/>
      <c r="GB35" s="20"/>
      <c r="GC35" s="20"/>
      <c r="GD35" s="20"/>
      <c r="GE35" s="20"/>
      <c r="GF35" s="20"/>
      <c r="GG35" s="20"/>
      <c r="GH35" s="20"/>
      <c r="GI35" s="20"/>
      <c r="GJ35" s="20"/>
      <c r="GK35" s="20"/>
      <c r="GL35" s="20"/>
      <c r="GM35" s="20"/>
      <c r="GN35" s="20"/>
      <c r="GO35" s="20"/>
      <c r="GP35" s="20"/>
      <c r="GQ35" s="20"/>
      <c r="GR35" s="20"/>
      <c r="GS35" s="20"/>
      <c r="GT35" s="20"/>
      <c r="GU35" s="20"/>
      <c r="GV35" s="20"/>
      <c r="GW35" s="20"/>
      <c r="GX35" s="20"/>
      <c r="GY35" s="20"/>
      <c r="GZ35" s="20"/>
      <c r="HA35" s="20"/>
      <c r="HB35" s="20"/>
    </row>
    <row r="36" spans="1:210" s="65" customFormat="1" ht="12.75" customHeight="1">
      <c r="A36" s="23" t="s">
        <v>139</v>
      </c>
      <c r="J36" s="33">
        <v>136475.068</v>
      </c>
      <c r="K36" s="20"/>
      <c r="L36" s="20"/>
      <c r="M36" s="20">
        <v>175338.299</v>
      </c>
      <c r="N36" s="20"/>
      <c r="O36" s="20">
        <v>198616.43300000002</v>
      </c>
      <c r="P36" s="20"/>
      <c r="Q36" s="20"/>
      <c r="R36" s="66">
        <v>247229.75599999999</v>
      </c>
      <c r="S36" s="20">
        <v>268324.76799999998</v>
      </c>
      <c r="T36" s="20">
        <v>302085.18699999998</v>
      </c>
      <c r="U36" s="20">
        <v>374348.56</v>
      </c>
      <c r="V36" s="20">
        <v>309329.88199999998</v>
      </c>
      <c r="W36" s="33">
        <v>344262.745</v>
      </c>
      <c r="X36" s="33">
        <v>405209.94500000001</v>
      </c>
      <c r="Y36" s="33">
        <v>445537.41399999999</v>
      </c>
      <c r="Z36" s="33">
        <v>470049.21399999998</v>
      </c>
      <c r="AA36" s="33">
        <v>434418.64899999998</v>
      </c>
      <c r="AB36" s="33">
        <v>469370.45400000003</v>
      </c>
      <c r="AC36" s="33">
        <v>508845</v>
      </c>
      <c r="AD36" s="20">
        <v>515508.99699999997</v>
      </c>
      <c r="AE36" s="20">
        <v>592498.06000000006</v>
      </c>
      <c r="AF36" s="20">
        <v>620657.90800000005</v>
      </c>
      <c r="AG36" s="20">
        <v>642147.69499999995</v>
      </c>
      <c r="AH36" s="20"/>
      <c r="AI36" s="20"/>
      <c r="AJ36" s="20"/>
      <c r="AK36" s="20"/>
      <c r="AL36" s="20"/>
      <c r="AM36" s="20"/>
      <c r="AN36" s="20"/>
      <c r="AO36" s="20"/>
      <c r="AP36" s="20"/>
      <c r="AQ36" s="20"/>
      <c r="AR36" s="20"/>
      <c r="AS36" s="20"/>
      <c r="AT36" s="20"/>
      <c r="AU36" s="20"/>
      <c r="AV36" s="20"/>
      <c r="AW36" s="20"/>
      <c r="AX36" s="20"/>
      <c r="AY36" s="20"/>
      <c r="AZ36" s="20"/>
      <c r="BA36" s="20"/>
      <c r="BB36" s="20"/>
      <c r="BC36" s="20"/>
      <c r="BD36" s="20"/>
      <c r="BE36" s="20"/>
      <c r="BF36" s="20"/>
      <c r="BG36" s="20"/>
      <c r="BH36" s="20"/>
      <c r="BI36" s="20"/>
      <c r="BJ36" s="20"/>
      <c r="BK36" s="20"/>
      <c r="BL36" s="20"/>
      <c r="BM36" s="20"/>
      <c r="BN36" s="20"/>
      <c r="BO36" s="20"/>
      <c r="BP36" s="20"/>
      <c r="BQ36" s="20"/>
      <c r="BR36" s="20"/>
      <c r="BS36" s="20"/>
      <c r="BT36" s="20"/>
      <c r="BU36" s="20"/>
      <c r="BV36" s="20"/>
      <c r="BW36" s="20"/>
      <c r="BX36" s="20"/>
      <c r="BY36" s="20"/>
      <c r="BZ36" s="20"/>
      <c r="CA36" s="20"/>
      <c r="CB36" s="20"/>
      <c r="CC36" s="20"/>
      <c r="CD36" s="20"/>
      <c r="CE36" s="20"/>
      <c r="CF36" s="20"/>
      <c r="CG36" s="20"/>
      <c r="CH36" s="20"/>
      <c r="CI36" s="20"/>
      <c r="CJ36" s="20"/>
      <c r="CK36" s="20"/>
      <c r="CL36" s="20"/>
      <c r="CM36" s="20"/>
      <c r="CN36" s="20"/>
      <c r="CO36" s="20"/>
      <c r="CP36" s="20"/>
      <c r="CQ36" s="20"/>
      <c r="CR36" s="20"/>
      <c r="CS36" s="20"/>
      <c r="CT36" s="20"/>
      <c r="CU36" s="20"/>
      <c r="CV36" s="20"/>
      <c r="CW36" s="20"/>
      <c r="CX36" s="20"/>
      <c r="CY36" s="20"/>
      <c r="CZ36" s="20"/>
      <c r="DA36" s="20"/>
      <c r="DB36" s="20"/>
      <c r="DC36" s="20"/>
      <c r="DD36" s="20"/>
      <c r="DE36" s="20"/>
      <c r="DF36" s="20"/>
      <c r="DG36" s="20"/>
      <c r="DH36" s="20"/>
      <c r="DI36" s="20"/>
      <c r="DJ36" s="20"/>
      <c r="DK36" s="20"/>
      <c r="DL36" s="20"/>
      <c r="DM36" s="20"/>
      <c r="DN36" s="20"/>
      <c r="DO36" s="20"/>
      <c r="DP36" s="20"/>
      <c r="DQ36" s="20"/>
      <c r="DR36" s="20"/>
      <c r="DS36" s="20"/>
      <c r="DT36" s="20"/>
      <c r="DU36" s="20"/>
      <c r="DV36" s="20"/>
      <c r="DW36" s="20"/>
      <c r="DX36" s="20"/>
      <c r="DY36" s="20"/>
      <c r="DZ36" s="20"/>
      <c r="EA36" s="20"/>
      <c r="EB36" s="20"/>
      <c r="EC36" s="20"/>
      <c r="ED36" s="20"/>
      <c r="EE36" s="20"/>
      <c r="EF36" s="20"/>
      <c r="EG36" s="20"/>
      <c r="EH36" s="20"/>
      <c r="EI36" s="20"/>
      <c r="EJ36" s="20"/>
      <c r="EK36" s="20"/>
      <c r="EL36" s="20"/>
      <c r="EM36" s="20"/>
      <c r="EN36" s="20"/>
      <c r="EO36" s="20"/>
      <c r="EP36" s="20"/>
      <c r="EQ36" s="20"/>
      <c r="ER36" s="20"/>
      <c r="ES36" s="20"/>
      <c r="ET36" s="20"/>
      <c r="EU36" s="20"/>
      <c r="EV36" s="20"/>
      <c r="EW36" s="20"/>
      <c r="EX36" s="20"/>
      <c r="EY36" s="20"/>
      <c r="EZ36" s="20"/>
      <c r="FA36" s="20"/>
      <c r="FB36" s="20"/>
      <c r="FC36" s="20"/>
      <c r="FD36" s="20"/>
      <c r="FE36" s="20"/>
      <c r="FF36" s="20"/>
      <c r="FG36" s="20"/>
      <c r="FH36" s="20"/>
      <c r="FI36" s="20"/>
      <c r="FJ36" s="20"/>
      <c r="FK36" s="20"/>
      <c r="FL36" s="20"/>
      <c r="FM36" s="20"/>
      <c r="FN36" s="20"/>
      <c r="FO36" s="20"/>
      <c r="FP36" s="20"/>
      <c r="FQ36" s="20"/>
      <c r="FR36" s="20"/>
      <c r="FS36" s="20"/>
      <c r="FT36" s="20"/>
      <c r="FU36" s="20"/>
      <c r="FV36" s="20"/>
      <c r="FW36" s="20"/>
      <c r="FX36" s="20"/>
      <c r="FY36" s="20"/>
      <c r="FZ36" s="20"/>
      <c r="GA36" s="20"/>
      <c r="GB36" s="20"/>
      <c r="GC36" s="20"/>
      <c r="GD36" s="20"/>
      <c r="GE36" s="20"/>
      <c r="GF36" s="20"/>
      <c r="GG36" s="20"/>
      <c r="GH36" s="20"/>
      <c r="GI36" s="20"/>
      <c r="GJ36" s="20"/>
      <c r="GK36" s="20"/>
      <c r="GL36" s="20"/>
      <c r="GM36" s="20"/>
      <c r="GN36" s="20"/>
      <c r="GO36" s="20"/>
      <c r="GP36" s="20"/>
      <c r="GQ36" s="20"/>
      <c r="GR36" s="20"/>
      <c r="GS36" s="20"/>
      <c r="GT36" s="20"/>
      <c r="GU36" s="20"/>
      <c r="GV36" s="20"/>
      <c r="GW36" s="20"/>
      <c r="GX36" s="20"/>
      <c r="GY36" s="20"/>
      <c r="GZ36" s="20"/>
      <c r="HA36" s="20"/>
      <c r="HB36" s="20"/>
    </row>
    <row r="37" spans="1:210" s="65" customFormat="1" ht="12.75" customHeight="1">
      <c r="A37" s="94" t="s">
        <v>141</v>
      </c>
      <c r="B37" s="64"/>
      <c r="C37" s="64"/>
      <c r="D37" s="64"/>
      <c r="E37" s="64"/>
      <c r="F37" s="64"/>
      <c r="G37" s="64"/>
      <c r="H37" s="64"/>
      <c r="I37" s="64"/>
      <c r="J37" s="50">
        <v>12601.25</v>
      </c>
      <c r="K37" s="51"/>
      <c r="L37" s="51"/>
      <c r="M37" s="51">
        <v>19901.927</v>
      </c>
      <c r="N37" s="51"/>
      <c r="O37" s="51">
        <v>18860.209000000003</v>
      </c>
      <c r="P37" s="51"/>
      <c r="Q37" s="51"/>
      <c r="R37" s="67">
        <v>20895.692000000003</v>
      </c>
      <c r="S37" s="51">
        <v>27639.830999999998</v>
      </c>
      <c r="T37" s="51">
        <v>26990.491999999998</v>
      </c>
      <c r="U37" s="51">
        <v>23633.346000000001</v>
      </c>
      <c r="V37" s="51">
        <v>30647.691999999999</v>
      </c>
      <c r="W37" s="50">
        <v>30096.37</v>
      </c>
      <c r="X37" s="50">
        <v>34324.612000000001</v>
      </c>
      <c r="Y37" s="50">
        <v>46116.036999999997</v>
      </c>
      <c r="Z37" s="50">
        <v>39042.991000000002</v>
      </c>
      <c r="AA37" s="50">
        <v>49678.146999999997</v>
      </c>
      <c r="AB37" s="50">
        <v>62485.171999999999</v>
      </c>
      <c r="AC37" s="50">
        <v>76724</v>
      </c>
      <c r="AD37" s="51">
        <v>72464.923999999999</v>
      </c>
      <c r="AE37" s="51">
        <v>81153.78</v>
      </c>
      <c r="AF37" s="51">
        <v>68909.433999999994</v>
      </c>
      <c r="AG37" s="51">
        <v>91192.675000000003</v>
      </c>
      <c r="AH37" s="20"/>
      <c r="AI37" s="20"/>
      <c r="AJ37" s="20"/>
      <c r="AK37" s="20"/>
      <c r="AL37" s="20"/>
      <c r="AM37" s="20"/>
      <c r="AN37" s="20"/>
      <c r="AO37" s="20"/>
      <c r="AP37" s="20"/>
      <c r="AQ37" s="20"/>
      <c r="AR37" s="20"/>
      <c r="AS37" s="20"/>
      <c r="AT37" s="20"/>
      <c r="AU37" s="20"/>
      <c r="AV37" s="20"/>
      <c r="AW37" s="20"/>
      <c r="AX37" s="20"/>
      <c r="AY37" s="20"/>
      <c r="AZ37" s="20"/>
      <c r="BA37" s="20"/>
      <c r="BB37" s="20"/>
      <c r="BC37" s="20"/>
      <c r="BD37" s="20"/>
      <c r="BE37" s="20"/>
      <c r="BF37" s="20"/>
      <c r="BG37" s="20"/>
      <c r="BH37" s="20"/>
      <c r="BI37" s="20"/>
      <c r="BJ37" s="20"/>
      <c r="BK37" s="20"/>
      <c r="BL37" s="20"/>
      <c r="BM37" s="20"/>
      <c r="BN37" s="20"/>
      <c r="BO37" s="20"/>
      <c r="BP37" s="20"/>
      <c r="BQ37" s="20"/>
      <c r="BR37" s="20"/>
      <c r="BS37" s="20"/>
      <c r="BT37" s="20"/>
      <c r="BU37" s="20"/>
      <c r="BV37" s="20"/>
      <c r="BW37" s="20"/>
      <c r="BX37" s="20"/>
      <c r="BY37" s="20"/>
      <c r="BZ37" s="20"/>
      <c r="CA37" s="20"/>
      <c r="CB37" s="20"/>
      <c r="CC37" s="20"/>
      <c r="CD37" s="20"/>
      <c r="CE37" s="20"/>
      <c r="CF37" s="20"/>
      <c r="CG37" s="20"/>
      <c r="CH37" s="20"/>
      <c r="CI37" s="20"/>
      <c r="CJ37" s="20"/>
      <c r="CK37" s="20"/>
      <c r="CL37" s="20"/>
      <c r="CM37" s="20"/>
      <c r="CN37" s="20"/>
      <c r="CO37" s="20"/>
      <c r="CP37" s="20"/>
      <c r="CQ37" s="20"/>
      <c r="CR37" s="20"/>
      <c r="CS37" s="20"/>
      <c r="CT37" s="20"/>
      <c r="CU37" s="20"/>
      <c r="CV37" s="20"/>
      <c r="CW37" s="20"/>
      <c r="CX37" s="20"/>
      <c r="CY37" s="20"/>
      <c r="CZ37" s="20"/>
      <c r="DA37" s="20"/>
      <c r="DB37" s="20"/>
      <c r="DC37" s="20"/>
      <c r="DD37" s="20"/>
      <c r="DE37" s="20"/>
      <c r="DF37" s="20"/>
      <c r="DG37" s="20"/>
      <c r="DH37" s="20"/>
      <c r="DI37" s="20"/>
      <c r="DJ37" s="20"/>
      <c r="DK37" s="20"/>
      <c r="DL37" s="20"/>
      <c r="DM37" s="20"/>
      <c r="DN37" s="20"/>
      <c r="DO37" s="20"/>
      <c r="DP37" s="20"/>
      <c r="DQ37" s="20"/>
      <c r="DR37" s="20"/>
      <c r="DS37" s="20"/>
      <c r="DT37" s="20"/>
      <c r="DU37" s="20"/>
      <c r="DV37" s="20"/>
      <c r="DW37" s="20"/>
      <c r="DX37" s="20"/>
      <c r="DY37" s="20"/>
      <c r="DZ37" s="20"/>
      <c r="EA37" s="20"/>
      <c r="EB37" s="20"/>
      <c r="EC37" s="20"/>
      <c r="ED37" s="20"/>
      <c r="EE37" s="20"/>
      <c r="EF37" s="20"/>
      <c r="EG37" s="20"/>
      <c r="EH37" s="20"/>
      <c r="EI37" s="20"/>
      <c r="EJ37" s="20"/>
      <c r="EK37" s="20"/>
      <c r="EL37" s="20"/>
      <c r="EM37" s="20"/>
      <c r="EN37" s="20"/>
      <c r="EO37" s="20"/>
      <c r="EP37" s="20"/>
      <c r="EQ37" s="20"/>
      <c r="ER37" s="20"/>
      <c r="ES37" s="20"/>
      <c r="ET37" s="20"/>
      <c r="EU37" s="20"/>
      <c r="EV37" s="20"/>
      <c r="EW37" s="20"/>
      <c r="EX37" s="20"/>
      <c r="EY37" s="20"/>
      <c r="EZ37" s="20"/>
      <c r="FA37" s="20"/>
      <c r="FB37" s="20"/>
      <c r="FC37" s="20"/>
      <c r="FD37" s="20"/>
      <c r="FE37" s="20"/>
      <c r="FF37" s="20"/>
      <c r="FG37" s="20"/>
      <c r="FH37" s="20"/>
      <c r="FI37" s="20"/>
      <c r="FJ37" s="20"/>
      <c r="FK37" s="20"/>
      <c r="FL37" s="20"/>
      <c r="FM37" s="20"/>
      <c r="FN37" s="20"/>
      <c r="FO37" s="20"/>
      <c r="FP37" s="20"/>
      <c r="FQ37" s="20"/>
      <c r="FR37" s="20"/>
      <c r="FS37" s="20"/>
      <c r="FT37" s="20"/>
      <c r="FU37" s="20"/>
      <c r="FV37" s="20"/>
      <c r="FW37" s="20"/>
      <c r="FX37" s="20"/>
      <c r="FY37" s="20"/>
      <c r="FZ37" s="20"/>
      <c r="GA37" s="20"/>
      <c r="GB37" s="20"/>
      <c r="GC37" s="20"/>
      <c r="GD37" s="20"/>
      <c r="GE37" s="20"/>
      <c r="GF37" s="20"/>
      <c r="GG37" s="20"/>
      <c r="GH37" s="20"/>
      <c r="GI37" s="20"/>
      <c r="GJ37" s="20"/>
      <c r="GK37" s="20"/>
      <c r="GL37" s="20"/>
      <c r="GM37" s="20"/>
      <c r="GN37" s="20"/>
      <c r="GO37" s="20"/>
      <c r="GP37" s="20"/>
      <c r="GQ37" s="20"/>
      <c r="GR37" s="20"/>
      <c r="GS37" s="20"/>
      <c r="GT37" s="20"/>
      <c r="GU37" s="20"/>
      <c r="GV37" s="20"/>
      <c r="GW37" s="20"/>
      <c r="GX37" s="20"/>
      <c r="GY37" s="20"/>
      <c r="GZ37" s="20"/>
      <c r="HA37" s="20"/>
      <c r="HB37" s="20"/>
    </row>
    <row r="38" spans="1:210" s="65" customFormat="1" ht="12.75" customHeight="1">
      <c r="A38" s="84" t="s">
        <v>145</v>
      </c>
      <c r="J38" s="104">
        <f>SUM(J40:J51)</f>
        <v>1480621.1579999998</v>
      </c>
      <c r="M38" s="104">
        <f>SUM(M40:M51)</f>
        <v>1722751.62</v>
      </c>
      <c r="O38" s="104">
        <f>SUM(O40:O51)</f>
        <v>1977295.8350199999</v>
      </c>
      <c r="R38" s="104">
        <f t="shared" ref="R38:AG38" si="12">SUM(R40:R51)</f>
        <v>2568874.318</v>
      </c>
      <c r="S38" s="104">
        <f t="shared" si="12"/>
        <v>2967725.8830000004</v>
      </c>
      <c r="T38" s="104">
        <f t="shared" si="12"/>
        <v>3131635.7169999997</v>
      </c>
      <c r="U38" s="104">
        <f t="shared" si="12"/>
        <v>3376676.0999999996</v>
      </c>
      <c r="V38" s="104">
        <f t="shared" si="12"/>
        <v>3398600.1679999996</v>
      </c>
      <c r="W38" s="104">
        <f t="shared" si="12"/>
        <v>3698238.1620000005</v>
      </c>
      <c r="X38" s="104">
        <f t="shared" si="12"/>
        <v>3786095.6839999999</v>
      </c>
      <c r="Y38" s="104">
        <f t="shared" si="12"/>
        <v>4037776.4559999998</v>
      </c>
      <c r="Z38" s="104">
        <f t="shared" si="12"/>
        <v>4407579.5520000001</v>
      </c>
      <c r="AA38" s="104">
        <f t="shared" si="12"/>
        <v>4337841.9180000005</v>
      </c>
      <c r="AB38" s="104">
        <f t="shared" si="12"/>
        <v>4560749.1840000004</v>
      </c>
      <c r="AC38" s="104">
        <f t="shared" si="12"/>
        <v>4565211</v>
      </c>
      <c r="AD38" s="104">
        <f t="shared" si="12"/>
        <v>4719960.5619999999</v>
      </c>
      <c r="AE38" s="104">
        <f t="shared" si="12"/>
        <v>5058048.33</v>
      </c>
      <c r="AF38" s="104">
        <f t="shared" si="12"/>
        <v>5341367.3840000005</v>
      </c>
      <c r="AG38" s="104">
        <f t="shared" si="12"/>
        <v>5685764.476999999</v>
      </c>
      <c r="AH38" s="20"/>
      <c r="AI38" s="20"/>
      <c r="AJ38" s="20"/>
      <c r="AK38" s="20"/>
      <c r="AL38" s="20"/>
      <c r="AM38" s="20"/>
      <c r="AN38" s="20"/>
      <c r="AO38" s="20"/>
      <c r="AP38" s="20"/>
      <c r="AQ38" s="20"/>
      <c r="AR38" s="20"/>
      <c r="AS38" s="20"/>
      <c r="AT38" s="20"/>
      <c r="AU38" s="20"/>
      <c r="AV38" s="20"/>
      <c r="AW38" s="20"/>
      <c r="AX38" s="20"/>
      <c r="AY38" s="20"/>
      <c r="AZ38" s="20"/>
      <c r="BA38" s="20"/>
      <c r="BB38" s="20"/>
      <c r="BC38" s="20"/>
      <c r="BD38" s="20"/>
      <c r="BE38" s="20"/>
      <c r="BF38" s="20"/>
      <c r="BG38" s="20"/>
      <c r="BH38" s="20"/>
      <c r="BI38" s="20"/>
      <c r="BJ38" s="20"/>
      <c r="BK38" s="20"/>
      <c r="BL38" s="20"/>
      <c r="BM38" s="20"/>
      <c r="BN38" s="20"/>
      <c r="BO38" s="20"/>
      <c r="BP38" s="20"/>
      <c r="BQ38" s="20"/>
      <c r="BR38" s="20"/>
      <c r="BS38" s="20"/>
      <c r="BT38" s="20"/>
      <c r="BU38" s="20"/>
      <c r="BV38" s="20"/>
      <c r="BW38" s="20"/>
      <c r="BX38" s="20"/>
      <c r="BY38" s="20"/>
      <c r="BZ38" s="20"/>
      <c r="CA38" s="20"/>
      <c r="CB38" s="20"/>
      <c r="CC38" s="20"/>
      <c r="CD38" s="20"/>
      <c r="CE38" s="20"/>
      <c r="CF38" s="20"/>
      <c r="CG38" s="20"/>
      <c r="CH38" s="20"/>
      <c r="CI38" s="20"/>
      <c r="CJ38" s="20"/>
      <c r="CK38" s="20"/>
      <c r="CL38" s="20"/>
      <c r="CM38" s="20"/>
      <c r="CN38" s="20"/>
      <c r="CO38" s="20"/>
      <c r="CP38" s="20"/>
      <c r="CQ38" s="20"/>
      <c r="CR38" s="20"/>
      <c r="CS38" s="20"/>
      <c r="CT38" s="20"/>
      <c r="CU38" s="20"/>
      <c r="CV38" s="20"/>
      <c r="CW38" s="20"/>
      <c r="CX38" s="20"/>
      <c r="CY38" s="20"/>
      <c r="CZ38" s="20"/>
      <c r="DA38" s="20"/>
      <c r="DB38" s="20"/>
      <c r="DC38" s="20"/>
      <c r="DD38" s="20"/>
      <c r="DE38" s="20"/>
      <c r="DF38" s="20"/>
      <c r="DG38" s="20"/>
      <c r="DH38" s="20"/>
      <c r="DI38" s="20"/>
      <c r="DJ38" s="20"/>
      <c r="DK38" s="20"/>
      <c r="DL38" s="20"/>
      <c r="DM38" s="20"/>
      <c r="DN38" s="20"/>
      <c r="DO38" s="20"/>
      <c r="DP38" s="20"/>
      <c r="DQ38" s="20"/>
      <c r="DR38" s="20"/>
      <c r="DS38" s="20"/>
      <c r="DT38" s="20"/>
      <c r="DU38" s="20"/>
      <c r="DV38" s="20"/>
      <c r="DW38" s="20"/>
      <c r="DX38" s="20"/>
      <c r="DY38" s="20"/>
      <c r="DZ38" s="20"/>
      <c r="EA38" s="20"/>
      <c r="EB38" s="20"/>
      <c r="EC38" s="20"/>
      <c r="ED38" s="20"/>
      <c r="EE38" s="20"/>
      <c r="EF38" s="20"/>
      <c r="EG38" s="20"/>
      <c r="EH38" s="20"/>
      <c r="EI38" s="20"/>
      <c r="EJ38" s="20"/>
      <c r="EK38" s="20"/>
      <c r="EL38" s="20"/>
      <c r="EM38" s="20"/>
      <c r="EN38" s="20"/>
      <c r="EO38" s="20"/>
      <c r="EP38" s="20"/>
      <c r="EQ38" s="20"/>
      <c r="ER38" s="20"/>
      <c r="ES38" s="20"/>
      <c r="ET38" s="20"/>
      <c r="EU38" s="20"/>
      <c r="EV38" s="20"/>
      <c r="EW38" s="20"/>
      <c r="EX38" s="20"/>
      <c r="EY38" s="20"/>
      <c r="EZ38" s="20"/>
      <c r="FA38" s="20"/>
      <c r="FB38" s="20"/>
      <c r="FC38" s="20"/>
      <c r="FD38" s="20"/>
      <c r="FE38" s="20"/>
      <c r="FF38" s="20"/>
      <c r="FG38" s="20"/>
      <c r="FH38" s="20"/>
      <c r="FI38" s="20"/>
      <c r="FJ38" s="20"/>
      <c r="FK38" s="20"/>
      <c r="FL38" s="20"/>
      <c r="FM38" s="20"/>
      <c r="FN38" s="20"/>
      <c r="FO38" s="20"/>
      <c r="FP38" s="20"/>
      <c r="FQ38" s="20"/>
      <c r="FR38" s="20"/>
      <c r="FS38" s="20"/>
      <c r="FT38" s="20"/>
      <c r="FU38" s="20"/>
      <c r="FV38" s="20"/>
      <c r="FW38" s="20"/>
      <c r="FX38" s="20"/>
      <c r="FY38" s="20"/>
      <c r="FZ38" s="20"/>
      <c r="GA38" s="20"/>
      <c r="GB38" s="20"/>
      <c r="GC38" s="20"/>
      <c r="GD38" s="20"/>
      <c r="GE38" s="20"/>
      <c r="GF38" s="20"/>
      <c r="GG38" s="20"/>
      <c r="GH38" s="20"/>
      <c r="GI38" s="20"/>
      <c r="GJ38" s="20"/>
      <c r="GK38" s="20"/>
      <c r="GL38" s="20"/>
      <c r="GM38" s="20"/>
      <c r="GN38" s="20"/>
      <c r="GO38" s="20"/>
      <c r="GP38" s="20"/>
      <c r="GQ38" s="20"/>
      <c r="GR38" s="20"/>
      <c r="GS38" s="20"/>
      <c r="GT38" s="20"/>
      <c r="GU38" s="20"/>
      <c r="GV38" s="20"/>
      <c r="GW38" s="20"/>
      <c r="GX38" s="20"/>
      <c r="GY38" s="20"/>
      <c r="GZ38" s="20"/>
      <c r="HA38" s="20"/>
      <c r="HB38" s="20"/>
    </row>
    <row r="39" spans="1:210" s="65" customFormat="1" ht="12.75" customHeight="1">
      <c r="A39" s="84" t="s">
        <v>143</v>
      </c>
      <c r="W39" s="91"/>
      <c r="X39" s="91"/>
      <c r="Y39" s="91"/>
      <c r="Z39" s="91"/>
      <c r="AA39" s="91">
        <v>0</v>
      </c>
      <c r="AB39" s="91"/>
      <c r="AC39" s="91"/>
      <c r="AF39" s="20"/>
      <c r="AG39" s="20"/>
      <c r="AH39" s="20"/>
      <c r="AI39" s="20"/>
      <c r="AJ39" s="20"/>
      <c r="AK39" s="20"/>
      <c r="AL39" s="20"/>
      <c r="AM39" s="20"/>
      <c r="AN39" s="20"/>
      <c r="AO39" s="20"/>
      <c r="AP39" s="20"/>
      <c r="AQ39" s="20"/>
      <c r="AR39" s="20"/>
      <c r="AS39" s="20"/>
      <c r="AT39" s="20"/>
      <c r="AU39" s="20"/>
      <c r="AV39" s="20"/>
      <c r="AW39" s="20"/>
      <c r="AX39" s="20"/>
      <c r="AY39" s="20"/>
      <c r="AZ39" s="20"/>
      <c r="BA39" s="20"/>
      <c r="BB39" s="20"/>
      <c r="BC39" s="20"/>
      <c r="BD39" s="20"/>
      <c r="BE39" s="20"/>
      <c r="BF39" s="20"/>
      <c r="BG39" s="20"/>
      <c r="BH39" s="20"/>
      <c r="BI39" s="20"/>
      <c r="BJ39" s="20"/>
      <c r="BK39" s="20"/>
      <c r="BL39" s="20"/>
      <c r="BM39" s="20"/>
      <c r="BN39" s="20"/>
      <c r="BO39" s="20"/>
      <c r="BP39" s="20"/>
      <c r="BQ39" s="20"/>
      <c r="BR39" s="20"/>
      <c r="BS39" s="20"/>
      <c r="BT39" s="20"/>
      <c r="BU39" s="20"/>
      <c r="BV39" s="20"/>
      <c r="BW39" s="20"/>
      <c r="BX39" s="20"/>
      <c r="BY39" s="20"/>
      <c r="BZ39" s="20"/>
      <c r="CA39" s="20"/>
      <c r="CB39" s="20"/>
      <c r="CC39" s="20"/>
      <c r="CD39" s="20"/>
      <c r="CE39" s="20"/>
      <c r="CF39" s="20"/>
      <c r="CG39" s="20"/>
      <c r="CH39" s="20"/>
      <c r="CI39" s="20"/>
      <c r="CJ39" s="20"/>
      <c r="CK39" s="20"/>
      <c r="CL39" s="20"/>
      <c r="CM39" s="20"/>
      <c r="CN39" s="20"/>
      <c r="CO39" s="20"/>
      <c r="CP39" s="20"/>
      <c r="CQ39" s="20"/>
      <c r="CR39" s="20"/>
      <c r="CS39" s="20"/>
      <c r="CT39" s="20"/>
      <c r="CU39" s="20"/>
      <c r="CV39" s="20"/>
      <c r="CW39" s="20"/>
      <c r="CX39" s="20"/>
      <c r="CY39" s="20"/>
      <c r="CZ39" s="20"/>
      <c r="DA39" s="20"/>
      <c r="DB39" s="20"/>
      <c r="DC39" s="20"/>
      <c r="DD39" s="20"/>
      <c r="DE39" s="20"/>
      <c r="DF39" s="20"/>
      <c r="DG39" s="20"/>
      <c r="DH39" s="20"/>
      <c r="DI39" s="20"/>
      <c r="DJ39" s="20"/>
      <c r="DK39" s="20"/>
      <c r="DL39" s="20"/>
      <c r="DM39" s="20"/>
      <c r="DN39" s="20"/>
      <c r="DO39" s="20"/>
      <c r="DP39" s="20"/>
      <c r="DQ39" s="20"/>
      <c r="DR39" s="20"/>
      <c r="DS39" s="20"/>
      <c r="DT39" s="20"/>
      <c r="DU39" s="20"/>
      <c r="DV39" s="20"/>
      <c r="DW39" s="20"/>
      <c r="DX39" s="20"/>
      <c r="DY39" s="20"/>
      <c r="DZ39" s="20"/>
      <c r="EA39" s="20"/>
      <c r="EB39" s="20"/>
      <c r="EC39" s="20"/>
      <c r="ED39" s="20"/>
      <c r="EE39" s="20"/>
      <c r="EF39" s="20"/>
      <c r="EG39" s="20"/>
      <c r="EH39" s="20"/>
      <c r="EI39" s="20"/>
      <c r="EJ39" s="20"/>
      <c r="EK39" s="20"/>
      <c r="EL39" s="20"/>
      <c r="EM39" s="20"/>
      <c r="EN39" s="20"/>
      <c r="EO39" s="20"/>
      <c r="EP39" s="20"/>
      <c r="EQ39" s="20"/>
      <c r="ER39" s="20"/>
      <c r="ES39" s="20"/>
      <c r="ET39" s="20"/>
      <c r="EU39" s="20"/>
      <c r="EV39" s="20"/>
      <c r="EW39" s="20"/>
      <c r="EX39" s="20"/>
      <c r="EY39" s="20"/>
      <c r="EZ39" s="20"/>
      <c r="FA39" s="20"/>
      <c r="FB39" s="20"/>
      <c r="FC39" s="20"/>
      <c r="FD39" s="20"/>
      <c r="FE39" s="20"/>
      <c r="FF39" s="20"/>
      <c r="FG39" s="20"/>
      <c r="FH39" s="20"/>
      <c r="FI39" s="20"/>
      <c r="FJ39" s="20"/>
      <c r="FK39" s="20"/>
      <c r="FL39" s="20"/>
      <c r="FM39" s="20"/>
      <c r="FN39" s="20"/>
      <c r="FO39" s="20"/>
      <c r="FP39" s="20"/>
      <c r="FQ39" s="20"/>
      <c r="FR39" s="20"/>
      <c r="FS39" s="20"/>
      <c r="FT39" s="20"/>
      <c r="FU39" s="20"/>
      <c r="FV39" s="20"/>
      <c r="FW39" s="20"/>
      <c r="FX39" s="20"/>
      <c r="FY39" s="20"/>
      <c r="FZ39" s="20"/>
      <c r="GA39" s="20"/>
      <c r="GB39" s="20"/>
      <c r="GC39" s="20"/>
      <c r="GD39" s="20"/>
      <c r="GE39" s="20"/>
      <c r="GF39" s="20"/>
      <c r="GG39" s="20"/>
      <c r="GH39" s="20"/>
      <c r="GI39" s="20"/>
      <c r="GJ39" s="20"/>
      <c r="GK39" s="20"/>
      <c r="GL39" s="20"/>
      <c r="GM39" s="20"/>
      <c r="GN39" s="20"/>
      <c r="GO39" s="20"/>
      <c r="GP39" s="20"/>
      <c r="GQ39" s="20"/>
      <c r="GR39" s="20"/>
      <c r="GS39" s="20"/>
      <c r="GT39" s="20"/>
      <c r="GU39" s="20"/>
      <c r="GV39" s="20"/>
      <c r="GW39" s="20"/>
      <c r="GX39" s="20"/>
      <c r="GY39" s="20"/>
      <c r="GZ39" s="20"/>
      <c r="HA39" s="20"/>
      <c r="HB39" s="20"/>
    </row>
    <row r="40" spans="1:210" s="65" customFormat="1" ht="12.75" customHeight="1">
      <c r="A40" s="23" t="s">
        <v>117</v>
      </c>
      <c r="J40" s="33">
        <v>217510.75700000001</v>
      </c>
      <c r="K40" s="20"/>
      <c r="L40" s="20"/>
      <c r="M40" s="20">
        <v>205642.86600000001</v>
      </c>
      <c r="N40" s="20"/>
      <c r="O40" s="20">
        <v>239683.42</v>
      </c>
      <c r="P40" s="20"/>
      <c r="Q40" s="20"/>
      <c r="R40" s="66">
        <v>332336.25100000005</v>
      </c>
      <c r="S40" s="20">
        <v>372534.89899999998</v>
      </c>
      <c r="T40" s="20">
        <v>434041.68099999998</v>
      </c>
      <c r="U40" s="20">
        <v>438875.913</v>
      </c>
      <c r="V40" s="20">
        <v>342795.54100000003</v>
      </c>
      <c r="W40" s="33">
        <v>370391.24199999997</v>
      </c>
      <c r="X40" s="33">
        <v>410378.05599999998</v>
      </c>
      <c r="Y40" s="33">
        <v>433967.06800000003</v>
      </c>
      <c r="Z40" s="33">
        <v>469184.185</v>
      </c>
      <c r="AA40" s="33">
        <v>475253.93599999999</v>
      </c>
      <c r="AB40" s="33">
        <v>493493.734</v>
      </c>
      <c r="AC40" s="33">
        <v>471711</v>
      </c>
      <c r="AD40" s="20">
        <v>482296.06199999998</v>
      </c>
      <c r="AE40" s="20">
        <v>484872.87599999999</v>
      </c>
      <c r="AF40" s="20">
        <v>638623.53500000003</v>
      </c>
      <c r="AG40" s="20">
        <v>638576.27599999995</v>
      </c>
      <c r="AH40" s="20"/>
      <c r="AI40" s="20"/>
      <c r="AJ40" s="20"/>
      <c r="AK40" s="20"/>
      <c r="AL40" s="20"/>
      <c r="AM40" s="20"/>
      <c r="AN40" s="20"/>
      <c r="AO40" s="20"/>
      <c r="AP40" s="20"/>
      <c r="AQ40" s="20"/>
      <c r="AR40" s="20"/>
      <c r="AS40" s="20"/>
      <c r="AT40" s="20"/>
      <c r="AU40" s="20"/>
      <c r="AV40" s="20"/>
      <c r="AW40" s="20"/>
      <c r="AX40" s="20"/>
      <c r="AY40" s="20"/>
      <c r="AZ40" s="20"/>
      <c r="BA40" s="20"/>
      <c r="BB40" s="20"/>
      <c r="BC40" s="20"/>
      <c r="BD40" s="20"/>
      <c r="BE40" s="20"/>
      <c r="BF40" s="20"/>
      <c r="BG40" s="20"/>
      <c r="BH40" s="20"/>
      <c r="BI40" s="20"/>
      <c r="BJ40" s="20"/>
      <c r="BK40" s="20"/>
      <c r="BL40" s="20"/>
      <c r="BM40" s="20"/>
      <c r="BN40" s="20"/>
      <c r="BO40" s="20"/>
      <c r="BP40" s="20"/>
      <c r="BQ40" s="20"/>
      <c r="BR40" s="20"/>
      <c r="BS40" s="20"/>
      <c r="BT40" s="20"/>
      <c r="BU40" s="20"/>
      <c r="BV40" s="20"/>
      <c r="BW40" s="20"/>
      <c r="BX40" s="20"/>
      <c r="BY40" s="20"/>
      <c r="BZ40" s="20"/>
      <c r="CA40" s="20"/>
      <c r="CB40" s="20"/>
      <c r="CC40" s="20"/>
      <c r="CD40" s="20"/>
      <c r="CE40" s="20"/>
      <c r="CF40" s="20"/>
      <c r="CG40" s="20"/>
      <c r="CH40" s="20"/>
      <c r="CI40" s="20"/>
      <c r="CJ40" s="20"/>
      <c r="CK40" s="20"/>
      <c r="CL40" s="20"/>
      <c r="CM40" s="20"/>
      <c r="CN40" s="20"/>
      <c r="CO40" s="20"/>
      <c r="CP40" s="20"/>
      <c r="CQ40" s="20"/>
      <c r="CR40" s="20"/>
      <c r="CS40" s="20"/>
      <c r="CT40" s="20"/>
      <c r="CU40" s="20"/>
      <c r="CV40" s="20"/>
      <c r="CW40" s="20"/>
      <c r="CX40" s="20"/>
      <c r="CY40" s="20"/>
      <c r="CZ40" s="20"/>
      <c r="DA40" s="20"/>
      <c r="DB40" s="20"/>
      <c r="DC40" s="20"/>
      <c r="DD40" s="20"/>
      <c r="DE40" s="20"/>
      <c r="DF40" s="20"/>
      <c r="DG40" s="20"/>
      <c r="DH40" s="20"/>
      <c r="DI40" s="20"/>
      <c r="DJ40" s="20"/>
      <c r="DK40" s="20"/>
      <c r="DL40" s="20"/>
      <c r="DM40" s="20"/>
      <c r="DN40" s="20"/>
      <c r="DO40" s="20"/>
      <c r="DP40" s="20"/>
      <c r="DQ40" s="20"/>
      <c r="DR40" s="20"/>
      <c r="DS40" s="20"/>
      <c r="DT40" s="20"/>
      <c r="DU40" s="20"/>
      <c r="DV40" s="20"/>
      <c r="DW40" s="20"/>
      <c r="DX40" s="20"/>
      <c r="DY40" s="20"/>
      <c r="DZ40" s="20"/>
      <c r="EA40" s="20"/>
      <c r="EB40" s="20"/>
      <c r="EC40" s="20"/>
      <c r="ED40" s="20"/>
      <c r="EE40" s="20"/>
      <c r="EF40" s="20"/>
      <c r="EG40" s="20"/>
      <c r="EH40" s="20"/>
      <c r="EI40" s="20"/>
      <c r="EJ40" s="20"/>
      <c r="EK40" s="20"/>
      <c r="EL40" s="20"/>
      <c r="EM40" s="20"/>
      <c r="EN40" s="20"/>
      <c r="EO40" s="20"/>
      <c r="EP40" s="20"/>
      <c r="EQ40" s="20"/>
      <c r="ER40" s="20"/>
      <c r="ES40" s="20"/>
      <c r="ET40" s="20"/>
      <c r="EU40" s="20"/>
      <c r="EV40" s="20"/>
      <c r="EW40" s="20"/>
      <c r="EX40" s="20"/>
      <c r="EY40" s="20"/>
      <c r="EZ40" s="20"/>
      <c r="FA40" s="20"/>
      <c r="FB40" s="20"/>
      <c r="FC40" s="20"/>
      <c r="FD40" s="20"/>
      <c r="FE40" s="20"/>
      <c r="FF40" s="20"/>
      <c r="FG40" s="20"/>
      <c r="FH40" s="20"/>
      <c r="FI40" s="20"/>
      <c r="FJ40" s="20"/>
      <c r="FK40" s="20"/>
      <c r="FL40" s="20"/>
      <c r="FM40" s="20"/>
      <c r="FN40" s="20"/>
      <c r="FO40" s="20"/>
      <c r="FP40" s="20"/>
      <c r="FQ40" s="20"/>
      <c r="FR40" s="20"/>
      <c r="FS40" s="20"/>
      <c r="FT40" s="20"/>
      <c r="FU40" s="20"/>
      <c r="FV40" s="20"/>
      <c r="FW40" s="20"/>
      <c r="FX40" s="20"/>
      <c r="FY40" s="20"/>
      <c r="FZ40" s="20"/>
      <c r="GA40" s="20"/>
      <c r="GB40" s="20"/>
      <c r="GC40" s="20"/>
      <c r="GD40" s="20"/>
      <c r="GE40" s="20"/>
      <c r="GF40" s="20"/>
      <c r="GG40" s="20"/>
      <c r="GH40" s="20"/>
      <c r="GI40" s="20"/>
      <c r="GJ40" s="20"/>
      <c r="GK40" s="20"/>
      <c r="GL40" s="20"/>
      <c r="GM40" s="20"/>
      <c r="GN40" s="20"/>
      <c r="GO40" s="20"/>
      <c r="GP40" s="20"/>
      <c r="GQ40" s="20"/>
      <c r="GR40" s="20"/>
      <c r="GS40" s="20"/>
      <c r="GT40" s="20"/>
      <c r="GU40" s="20"/>
      <c r="GV40" s="20"/>
      <c r="GW40" s="20"/>
      <c r="GX40" s="20"/>
      <c r="GY40" s="20"/>
      <c r="GZ40" s="20"/>
      <c r="HA40" s="20"/>
      <c r="HB40" s="20"/>
    </row>
    <row r="41" spans="1:210" s="65" customFormat="1" ht="12.75" customHeight="1">
      <c r="A41" s="23" t="s">
        <v>66</v>
      </c>
      <c r="J41" s="33">
        <v>151952.46400000001</v>
      </c>
      <c r="K41" s="20"/>
      <c r="L41" s="20"/>
      <c r="M41" s="20">
        <v>152930.70699999999</v>
      </c>
      <c r="N41" s="20"/>
      <c r="O41" s="20">
        <v>172290.633</v>
      </c>
      <c r="P41" s="20"/>
      <c r="Q41" s="20"/>
      <c r="R41" s="66">
        <v>227607.375</v>
      </c>
      <c r="S41" s="20">
        <v>298299.41100000002</v>
      </c>
      <c r="T41" s="20">
        <v>391273.48800000001</v>
      </c>
      <c r="U41" s="20">
        <v>355388.071</v>
      </c>
      <c r="V41" s="20">
        <v>412229.94</v>
      </c>
      <c r="W41" s="33">
        <v>439398.03300000005</v>
      </c>
      <c r="X41" s="33">
        <v>392798.984</v>
      </c>
      <c r="Y41" s="33">
        <v>440045.28100000002</v>
      </c>
      <c r="Z41" s="33">
        <v>459451.71399999998</v>
      </c>
      <c r="AA41" s="33">
        <v>500309.19799999997</v>
      </c>
      <c r="AB41" s="33">
        <v>445344.42200000002</v>
      </c>
      <c r="AC41" s="33">
        <v>461343</v>
      </c>
      <c r="AD41" s="20">
        <v>461138.52799999999</v>
      </c>
      <c r="AE41" s="20">
        <v>471904.924</v>
      </c>
      <c r="AF41" s="20">
        <v>527265.07700000005</v>
      </c>
      <c r="AG41" s="20">
        <v>554966.03399999999</v>
      </c>
      <c r="AH41" s="20"/>
      <c r="AI41" s="20"/>
      <c r="AJ41" s="20"/>
      <c r="AK41" s="20"/>
      <c r="AL41" s="20"/>
      <c r="AM41" s="20"/>
      <c r="AN41" s="20"/>
      <c r="AO41" s="20"/>
      <c r="AP41" s="20"/>
      <c r="AQ41" s="20"/>
      <c r="AR41" s="20"/>
      <c r="AS41" s="20"/>
      <c r="AT41" s="20"/>
      <c r="AU41" s="20"/>
      <c r="AV41" s="20"/>
      <c r="AW41" s="20"/>
      <c r="AX41" s="20"/>
      <c r="AY41" s="20"/>
      <c r="AZ41" s="20"/>
      <c r="BA41" s="20"/>
      <c r="BB41" s="20"/>
      <c r="BC41" s="20"/>
      <c r="BD41" s="20"/>
      <c r="BE41" s="20"/>
      <c r="BF41" s="20"/>
      <c r="BG41" s="20"/>
      <c r="BH41" s="20"/>
      <c r="BI41" s="20"/>
      <c r="BJ41" s="20"/>
      <c r="BK41" s="20"/>
      <c r="BL41" s="20"/>
      <c r="BM41" s="20"/>
      <c r="BN41" s="20"/>
      <c r="BO41" s="20"/>
      <c r="BP41" s="20"/>
      <c r="BQ41" s="20"/>
      <c r="BR41" s="20"/>
      <c r="BS41" s="20"/>
      <c r="BT41" s="20"/>
      <c r="BU41" s="20"/>
      <c r="BV41" s="20"/>
      <c r="BW41" s="20"/>
      <c r="BX41" s="20"/>
      <c r="BY41" s="20"/>
      <c r="BZ41" s="20"/>
      <c r="CA41" s="20"/>
      <c r="CB41" s="20"/>
      <c r="CC41" s="20"/>
      <c r="CD41" s="20"/>
      <c r="CE41" s="20"/>
      <c r="CF41" s="20"/>
      <c r="CG41" s="20"/>
      <c r="CH41" s="20"/>
      <c r="CI41" s="20"/>
      <c r="CJ41" s="20"/>
      <c r="CK41" s="20"/>
      <c r="CL41" s="20"/>
      <c r="CM41" s="20"/>
      <c r="CN41" s="20"/>
      <c r="CO41" s="20"/>
      <c r="CP41" s="20"/>
      <c r="CQ41" s="20"/>
      <c r="CR41" s="20"/>
      <c r="CS41" s="20"/>
      <c r="CT41" s="20"/>
      <c r="CU41" s="20"/>
      <c r="CV41" s="20"/>
      <c r="CW41" s="20"/>
      <c r="CX41" s="20"/>
      <c r="CY41" s="20"/>
      <c r="CZ41" s="20"/>
      <c r="DA41" s="20"/>
      <c r="DB41" s="20"/>
      <c r="DC41" s="20"/>
      <c r="DD41" s="20"/>
      <c r="DE41" s="20"/>
      <c r="DF41" s="20"/>
      <c r="DG41" s="20"/>
      <c r="DH41" s="20"/>
      <c r="DI41" s="20"/>
      <c r="DJ41" s="20"/>
      <c r="DK41" s="20"/>
      <c r="DL41" s="20"/>
      <c r="DM41" s="20"/>
      <c r="DN41" s="20"/>
      <c r="DO41" s="20"/>
      <c r="DP41" s="20"/>
      <c r="DQ41" s="20"/>
      <c r="DR41" s="20"/>
      <c r="DS41" s="20"/>
      <c r="DT41" s="20"/>
      <c r="DU41" s="20"/>
      <c r="DV41" s="20"/>
      <c r="DW41" s="20"/>
      <c r="DX41" s="20"/>
      <c r="DY41" s="20"/>
      <c r="DZ41" s="20"/>
      <c r="EA41" s="20"/>
      <c r="EB41" s="20"/>
      <c r="EC41" s="20"/>
      <c r="ED41" s="20"/>
      <c r="EE41" s="20"/>
      <c r="EF41" s="20"/>
      <c r="EG41" s="20"/>
      <c r="EH41" s="20"/>
      <c r="EI41" s="20"/>
      <c r="EJ41" s="20"/>
      <c r="EK41" s="20"/>
      <c r="EL41" s="20"/>
      <c r="EM41" s="20"/>
      <c r="EN41" s="20"/>
      <c r="EO41" s="20"/>
      <c r="EP41" s="20"/>
      <c r="EQ41" s="20"/>
      <c r="ER41" s="20"/>
      <c r="ES41" s="20"/>
      <c r="ET41" s="20"/>
      <c r="EU41" s="20"/>
      <c r="EV41" s="20"/>
      <c r="EW41" s="20"/>
      <c r="EX41" s="20"/>
      <c r="EY41" s="20"/>
      <c r="EZ41" s="20"/>
      <c r="FA41" s="20"/>
      <c r="FB41" s="20"/>
      <c r="FC41" s="20"/>
      <c r="FD41" s="20"/>
      <c r="FE41" s="20"/>
      <c r="FF41" s="20"/>
      <c r="FG41" s="20"/>
      <c r="FH41" s="20"/>
      <c r="FI41" s="20"/>
      <c r="FJ41" s="20"/>
      <c r="FK41" s="20"/>
      <c r="FL41" s="20"/>
      <c r="FM41" s="20"/>
      <c r="FN41" s="20"/>
      <c r="FO41" s="20"/>
      <c r="FP41" s="20"/>
      <c r="FQ41" s="20"/>
      <c r="FR41" s="20"/>
      <c r="FS41" s="20"/>
      <c r="FT41" s="20"/>
      <c r="FU41" s="20"/>
      <c r="FV41" s="20"/>
      <c r="FW41" s="20"/>
      <c r="FX41" s="20"/>
      <c r="FY41" s="20"/>
      <c r="FZ41" s="20"/>
      <c r="GA41" s="20"/>
      <c r="GB41" s="20"/>
      <c r="GC41" s="20"/>
      <c r="GD41" s="20"/>
      <c r="GE41" s="20"/>
      <c r="GF41" s="20"/>
      <c r="GG41" s="20"/>
      <c r="GH41" s="20"/>
      <c r="GI41" s="20"/>
      <c r="GJ41" s="20"/>
      <c r="GK41" s="20"/>
      <c r="GL41" s="20"/>
      <c r="GM41" s="20"/>
      <c r="GN41" s="20"/>
      <c r="GO41" s="20"/>
      <c r="GP41" s="20"/>
      <c r="GQ41" s="20"/>
      <c r="GR41" s="20"/>
      <c r="GS41" s="20"/>
      <c r="GT41" s="20"/>
      <c r="GU41" s="20"/>
      <c r="GV41" s="20"/>
      <c r="GW41" s="20"/>
      <c r="GX41" s="20"/>
      <c r="GY41" s="20"/>
      <c r="GZ41" s="20"/>
      <c r="HA41" s="20"/>
      <c r="HB41" s="20"/>
    </row>
    <row r="42" spans="1:210" s="65" customFormat="1" ht="12.75" customHeight="1">
      <c r="A42" s="23" t="s">
        <v>118</v>
      </c>
      <c r="J42" s="33">
        <v>75930.720000000001</v>
      </c>
      <c r="K42" s="20"/>
      <c r="L42" s="20"/>
      <c r="M42" s="20">
        <v>85270.831000000006</v>
      </c>
      <c r="N42" s="20"/>
      <c r="O42" s="20">
        <v>98051.851999999999</v>
      </c>
      <c r="P42" s="20"/>
      <c r="Q42" s="20"/>
      <c r="R42" s="66">
        <v>121441.56200000001</v>
      </c>
      <c r="S42" s="20">
        <v>128188.32500000001</v>
      </c>
      <c r="T42" s="20">
        <v>147092.15900000001</v>
      </c>
      <c r="U42" s="20">
        <v>169535.375</v>
      </c>
      <c r="V42" s="20">
        <v>144234.41899999999</v>
      </c>
      <c r="W42" s="33">
        <v>160626.80900000001</v>
      </c>
      <c r="X42" s="33">
        <v>172176.08600000001</v>
      </c>
      <c r="Y42" s="33">
        <v>176749.565</v>
      </c>
      <c r="Z42" s="33">
        <v>197085.742</v>
      </c>
      <c r="AA42" s="33">
        <v>213148.36300000001</v>
      </c>
      <c r="AB42" s="33">
        <v>214835.272</v>
      </c>
      <c r="AC42" s="33">
        <v>220684</v>
      </c>
      <c r="AD42" s="20">
        <v>214053.44399999999</v>
      </c>
      <c r="AE42" s="20">
        <v>222279.84299999999</v>
      </c>
      <c r="AF42" s="20">
        <v>258301.8</v>
      </c>
      <c r="AG42" s="20">
        <v>255817.45600000001</v>
      </c>
      <c r="AH42" s="20"/>
      <c r="AI42" s="20"/>
      <c r="AJ42" s="20"/>
      <c r="AK42" s="20"/>
      <c r="AL42" s="20"/>
      <c r="AM42" s="20"/>
      <c r="AN42" s="20"/>
      <c r="AO42" s="20"/>
      <c r="AP42" s="20"/>
      <c r="AQ42" s="20"/>
      <c r="AR42" s="20"/>
      <c r="AS42" s="20"/>
      <c r="AT42" s="20"/>
      <c r="AU42" s="20"/>
      <c r="AV42" s="20"/>
      <c r="AW42" s="20"/>
      <c r="AX42" s="20"/>
      <c r="AY42" s="20"/>
      <c r="AZ42" s="20"/>
      <c r="BA42" s="20"/>
      <c r="BB42" s="20"/>
      <c r="BC42" s="20"/>
      <c r="BD42" s="20"/>
      <c r="BE42" s="20"/>
      <c r="BF42" s="20"/>
      <c r="BG42" s="20"/>
      <c r="BH42" s="20"/>
      <c r="BI42" s="20"/>
      <c r="BJ42" s="20"/>
      <c r="BK42" s="20"/>
      <c r="BL42" s="20"/>
      <c r="BM42" s="20"/>
      <c r="BN42" s="20"/>
      <c r="BO42" s="20"/>
      <c r="BP42" s="20"/>
      <c r="BQ42" s="20"/>
      <c r="BR42" s="20"/>
      <c r="BS42" s="20"/>
      <c r="BT42" s="20"/>
      <c r="BU42" s="20"/>
      <c r="BV42" s="20"/>
      <c r="BW42" s="20"/>
      <c r="BX42" s="20"/>
      <c r="BY42" s="20"/>
      <c r="BZ42" s="20"/>
      <c r="CA42" s="20"/>
      <c r="CB42" s="20"/>
      <c r="CC42" s="20"/>
      <c r="CD42" s="20"/>
      <c r="CE42" s="20"/>
      <c r="CF42" s="20"/>
      <c r="CG42" s="20"/>
      <c r="CH42" s="20"/>
      <c r="CI42" s="20"/>
      <c r="CJ42" s="20"/>
      <c r="CK42" s="20"/>
      <c r="CL42" s="20"/>
      <c r="CM42" s="20"/>
      <c r="CN42" s="20"/>
      <c r="CO42" s="20"/>
      <c r="CP42" s="20"/>
      <c r="CQ42" s="20"/>
      <c r="CR42" s="20"/>
      <c r="CS42" s="20"/>
      <c r="CT42" s="20"/>
      <c r="CU42" s="20"/>
      <c r="CV42" s="20"/>
      <c r="CW42" s="20"/>
      <c r="CX42" s="20"/>
      <c r="CY42" s="20"/>
      <c r="CZ42" s="20"/>
      <c r="DA42" s="20"/>
      <c r="DB42" s="20"/>
      <c r="DC42" s="20"/>
      <c r="DD42" s="20"/>
      <c r="DE42" s="20"/>
      <c r="DF42" s="20"/>
      <c r="DG42" s="20"/>
      <c r="DH42" s="20"/>
      <c r="DI42" s="20"/>
      <c r="DJ42" s="20"/>
      <c r="DK42" s="20"/>
      <c r="DL42" s="20"/>
      <c r="DM42" s="20"/>
      <c r="DN42" s="20"/>
      <c r="DO42" s="20"/>
      <c r="DP42" s="20"/>
      <c r="DQ42" s="20"/>
      <c r="DR42" s="20"/>
      <c r="DS42" s="20"/>
      <c r="DT42" s="20"/>
      <c r="DU42" s="20"/>
      <c r="DV42" s="20"/>
      <c r="DW42" s="20"/>
      <c r="DX42" s="20"/>
      <c r="DY42" s="20"/>
      <c r="DZ42" s="20"/>
      <c r="EA42" s="20"/>
      <c r="EB42" s="20"/>
      <c r="EC42" s="20"/>
      <c r="ED42" s="20"/>
      <c r="EE42" s="20"/>
      <c r="EF42" s="20"/>
      <c r="EG42" s="20"/>
      <c r="EH42" s="20"/>
      <c r="EI42" s="20"/>
      <c r="EJ42" s="20"/>
      <c r="EK42" s="20"/>
      <c r="EL42" s="20"/>
      <c r="EM42" s="20"/>
      <c r="EN42" s="20"/>
      <c r="EO42" s="20"/>
      <c r="EP42" s="20"/>
      <c r="EQ42" s="20"/>
      <c r="ER42" s="20"/>
      <c r="ES42" s="20"/>
      <c r="ET42" s="20"/>
      <c r="EU42" s="20"/>
      <c r="EV42" s="20"/>
      <c r="EW42" s="20"/>
      <c r="EX42" s="20"/>
      <c r="EY42" s="20"/>
      <c r="EZ42" s="20"/>
      <c r="FA42" s="20"/>
      <c r="FB42" s="20"/>
      <c r="FC42" s="20"/>
      <c r="FD42" s="20"/>
      <c r="FE42" s="20"/>
      <c r="FF42" s="20"/>
      <c r="FG42" s="20"/>
      <c r="FH42" s="20"/>
      <c r="FI42" s="20"/>
      <c r="FJ42" s="20"/>
      <c r="FK42" s="20"/>
      <c r="FL42" s="20"/>
      <c r="FM42" s="20"/>
      <c r="FN42" s="20"/>
      <c r="FO42" s="20"/>
      <c r="FP42" s="20"/>
      <c r="FQ42" s="20"/>
      <c r="FR42" s="20"/>
      <c r="FS42" s="20"/>
      <c r="FT42" s="20"/>
      <c r="FU42" s="20"/>
      <c r="FV42" s="20"/>
      <c r="FW42" s="20"/>
      <c r="FX42" s="20"/>
      <c r="FY42" s="20"/>
      <c r="FZ42" s="20"/>
      <c r="GA42" s="20"/>
      <c r="GB42" s="20"/>
      <c r="GC42" s="20"/>
      <c r="GD42" s="20"/>
      <c r="GE42" s="20"/>
      <c r="GF42" s="20"/>
      <c r="GG42" s="20"/>
      <c r="GH42" s="20"/>
      <c r="GI42" s="20"/>
      <c r="GJ42" s="20"/>
      <c r="GK42" s="20"/>
      <c r="GL42" s="20"/>
      <c r="GM42" s="20"/>
      <c r="GN42" s="20"/>
      <c r="GO42" s="20"/>
      <c r="GP42" s="20"/>
      <c r="GQ42" s="20"/>
      <c r="GR42" s="20"/>
      <c r="GS42" s="20"/>
      <c r="GT42" s="20"/>
      <c r="GU42" s="20"/>
      <c r="GV42" s="20"/>
      <c r="GW42" s="20"/>
      <c r="GX42" s="20"/>
      <c r="GY42" s="20"/>
      <c r="GZ42" s="20"/>
      <c r="HA42" s="20"/>
      <c r="HB42" s="20"/>
    </row>
    <row r="43" spans="1:210" s="65" customFormat="1" ht="12.75" customHeight="1">
      <c r="A43" s="23" t="s">
        <v>119</v>
      </c>
      <c r="J43" s="33">
        <v>51223.67</v>
      </c>
      <c r="K43" s="20"/>
      <c r="L43" s="20"/>
      <c r="M43" s="20">
        <v>70368.478999999992</v>
      </c>
      <c r="N43" s="20"/>
      <c r="O43" s="20">
        <v>88826.775630000004</v>
      </c>
      <c r="P43" s="20"/>
      <c r="Q43" s="20"/>
      <c r="R43" s="66">
        <v>109277.671</v>
      </c>
      <c r="S43" s="20">
        <v>99022.072</v>
      </c>
      <c r="T43" s="20">
        <v>169475.89600000001</v>
      </c>
      <c r="U43" s="20">
        <v>183786.495</v>
      </c>
      <c r="V43" s="20">
        <v>169975.94399999999</v>
      </c>
      <c r="W43" s="33">
        <v>194866.701</v>
      </c>
      <c r="X43" s="33">
        <v>209152.405</v>
      </c>
      <c r="Y43" s="33">
        <v>148072.568</v>
      </c>
      <c r="Z43" s="33">
        <v>155013.75700000001</v>
      </c>
      <c r="AA43" s="33">
        <v>191805.02100000001</v>
      </c>
      <c r="AB43" s="33">
        <v>225451.524</v>
      </c>
      <c r="AC43" s="33">
        <v>216752</v>
      </c>
      <c r="AD43" s="20">
        <v>244776.886</v>
      </c>
      <c r="AE43" s="20">
        <v>285341.929</v>
      </c>
      <c r="AF43" s="20">
        <v>288747.00300000003</v>
      </c>
      <c r="AG43" s="20">
        <v>301092.05599999998</v>
      </c>
      <c r="AH43" s="20"/>
      <c r="AI43" s="20"/>
      <c r="AJ43" s="20"/>
      <c r="AK43" s="20"/>
      <c r="AL43" s="20"/>
      <c r="AM43" s="20"/>
      <c r="AN43" s="20"/>
      <c r="AO43" s="20"/>
      <c r="AP43" s="20"/>
      <c r="AQ43" s="20"/>
      <c r="AR43" s="20"/>
      <c r="AS43" s="20"/>
      <c r="AT43" s="20"/>
      <c r="AU43" s="20"/>
      <c r="AV43" s="20"/>
      <c r="AW43" s="20"/>
      <c r="AX43" s="20"/>
      <c r="AY43" s="20"/>
      <c r="AZ43" s="20"/>
      <c r="BA43" s="20"/>
      <c r="BB43" s="20"/>
      <c r="BC43" s="20"/>
      <c r="BD43" s="20"/>
      <c r="BE43" s="20"/>
      <c r="BF43" s="20"/>
      <c r="BG43" s="20"/>
      <c r="BH43" s="20"/>
      <c r="BI43" s="20"/>
      <c r="BJ43" s="20"/>
      <c r="BK43" s="20"/>
      <c r="BL43" s="20"/>
      <c r="BM43" s="20"/>
      <c r="BN43" s="20"/>
      <c r="BO43" s="20"/>
      <c r="BP43" s="20"/>
      <c r="BQ43" s="20"/>
      <c r="BR43" s="20"/>
      <c r="BS43" s="20"/>
      <c r="BT43" s="20"/>
      <c r="BU43" s="20"/>
      <c r="BV43" s="20"/>
      <c r="BW43" s="20"/>
      <c r="BX43" s="20"/>
      <c r="BY43" s="20"/>
      <c r="BZ43" s="20"/>
      <c r="CA43" s="20"/>
      <c r="CB43" s="20"/>
      <c r="CC43" s="20"/>
      <c r="CD43" s="20"/>
      <c r="CE43" s="20"/>
      <c r="CF43" s="20"/>
      <c r="CG43" s="20"/>
      <c r="CH43" s="20"/>
      <c r="CI43" s="20"/>
      <c r="CJ43" s="20"/>
      <c r="CK43" s="20"/>
      <c r="CL43" s="20"/>
      <c r="CM43" s="20"/>
      <c r="CN43" s="20"/>
      <c r="CO43" s="20"/>
      <c r="CP43" s="20"/>
      <c r="CQ43" s="20"/>
      <c r="CR43" s="20"/>
      <c r="CS43" s="20"/>
      <c r="CT43" s="20"/>
      <c r="CU43" s="20"/>
      <c r="CV43" s="20"/>
      <c r="CW43" s="20"/>
      <c r="CX43" s="20"/>
      <c r="CY43" s="20"/>
      <c r="CZ43" s="20"/>
      <c r="DA43" s="20"/>
      <c r="DB43" s="20"/>
      <c r="DC43" s="20"/>
      <c r="DD43" s="20"/>
      <c r="DE43" s="20"/>
      <c r="DF43" s="20"/>
      <c r="DG43" s="20"/>
      <c r="DH43" s="20"/>
      <c r="DI43" s="20"/>
      <c r="DJ43" s="20"/>
      <c r="DK43" s="20"/>
      <c r="DL43" s="20"/>
      <c r="DM43" s="20"/>
      <c r="DN43" s="20"/>
      <c r="DO43" s="20"/>
      <c r="DP43" s="20"/>
      <c r="DQ43" s="20"/>
      <c r="DR43" s="20"/>
      <c r="DS43" s="20"/>
      <c r="DT43" s="20"/>
      <c r="DU43" s="20"/>
      <c r="DV43" s="20"/>
      <c r="DW43" s="20"/>
      <c r="DX43" s="20"/>
      <c r="DY43" s="20"/>
      <c r="DZ43" s="20"/>
      <c r="EA43" s="20"/>
      <c r="EB43" s="20"/>
      <c r="EC43" s="20"/>
      <c r="ED43" s="20"/>
      <c r="EE43" s="20"/>
      <c r="EF43" s="20"/>
      <c r="EG43" s="20"/>
      <c r="EH43" s="20"/>
      <c r="EI43" s="20"/>
      <c r="EJ43" s="20"/>
      <c r="EK43" s="20"/>
      <c r="EL43" s="20"/>
      <c r="EM43" s="20"/>
      <c r="EN43" s="20"/>
      <c r="EO43" s="20"/>
      <c r="EP43" s="20"/>
      <c r="EQ43" s="20"/>
      <c r="ER43" s="20"/>
      <c r="ES43" s="20"/>
      <c r="ET43" s="20"/>
      <c r="EU43" s="20"/>
      <c r="EV43" s="20"/>
      <c r="EW43" s="20"/>
      <c r="EX43" s="20"/>
      <c r="EY43" s="20"/>
      <c r="EZ43" s="20"/>
      <c r="FA43" s="20"/>
      <c r="FB43" s="20"/>
      <c r="FC43" s="20"/>
      <c r="FD43" s="20"/>
      <c r="FE43" s="20"/>
      <c r="FF43" s="20"/>
      <c r="FG43" s="20"/>
      <c r="FH43" s="20"/>
      <c r="FI43" s="20"/>
      <c r="FJ43" s="20"/>
      <c r="FK43" s="20"/>
      <c r="FL43" s="20"/>
      <c r="FM43" s="20"/>
      <c r="FN43" s="20"/>
      <c r="FO43" s="20"/>
      <c r="FP43" s="20"/>
      <c r="FQ43" s="20"/>
      <c r="FR43" s="20"/>
      <c r="FS43" s="20"/>
      <c r="FT43" s="20"/>
      <c r="FU43" s="20"/>
      <c r="FV43" s="20"/>
      <c r="FW43" s="20"/>
      <c r="FX43" s="20"/>
      <c r="FY43" s="20"/>
      <c r="FZ43" s="20"/>
      <c r="GA43" s="20"/>
      <c r="GB43" s="20"/>
      <c r="GC43" s="20"/>
      <c r="GD43" s="20"/>
      <c r="GE43" s="20"/>
      <c r="GF43" s="20"/>
      <c r="GG43" s="20"/>
      <c r="GH43" s="20"/>
      <c r="GI43" s="20"/>
      <c r="GJ43" s="20"/>
      <c r="GK43" s="20"/>
      <c r="GL43" s="20"/>
      <c r="GM43" s="20"/>
      <c r="GN43" s="20"/>
      <c r="GO43" s="20"/>
      <c r="GP43" s="20"/>
      <c r="GQ43" s="20"/>
      <c r="GR43" s="20"/>
      <c r="GS43" s="20"/>
      <c r="GT43" s="20"/>
      <c r="GU43" s="20"/>
      <c r="GV43" s="20"/>
      <c r="GW43" s="20"/>
      <c r="GX43" s="20"/>
      <c r="GY43" s="20"/>
      <c r="GZ43" s="20"/>
      <c r="HA43" s="20"/>
      <c r="HB43" s="20"/>
    </row>
    <row r="44" spans="1:210" s="65" customFormat="1" ht="12.75" customHeight="1">
      <c r="A44" s="23" t="s">
        <v>122</v>
      </c>
      <c r="J44" s="33">
        <v>276871.37199999997</v>
      </c>
      <c r="K44" s="20"/>
      <c r="L44" s="20"/>
      <c r="M44" s="20">
        <v>327414.44699999999</v>
      </c>
      <c r="N44" s="20"/>
      <c r="O44" s="20">
        <v>367635.473</v>
      </c>
      <c r="P44" s="20"/>
      <c r="Q44" s="20"/>
      <c r="R44" s="66">
        <v>504277.77599999995</v>
      </c>
      <c r="S44" s="20">
        <v>543051.53300000005</v>
      </c>
      <c r="T44" s="20">
        <v>490319.951</v>
      </c>
      <c r="U44" s="20">
        <v>564877.46699999995</v>
      </c>
      <c r="V44" s="20">
        <v>594086.09299999999</v>
      </c>
      <c r="W44" s="33">
        <v>625679.43999999994</v>
      </c>
      <c r="X44" s="33">
        <v>573641.40099999995</v>
      </c>
      <c r="Y44" s="33">
        <v>620891.772</v>
      </c>
      <c r="Z44" s="33">
        <v>667772.65500000003</v>
      </c>
      <c r="AA44" s="33">
        <v>677083.55900000001</v>
      </c>
      <c r="AB44" s="33">
        <v>649507.26399999997</v>
      </c>
      <c r="AC44" s="33">
        <v>652260</v>
      </c>
      <c r="AD44" s="20">
        <v>658956.96900000004</v>
      </c>
      <c r="AE44" s="20">
        <v>772754.99199999997</v>
      </c>
      <c r="AF44" s="20">
        <v>768004.50199999998</v>
      </c>
      <c r="AG44" s="20">
        <v>831303.946</v>
      </c>
      <c r="AH44" s="20"/>
      <c r="AI44" s="20"/>
      <c r="AJ44" s="20"/>
      <c r="AK44" s="20"/>
      <c r="AL44" s="20"/>
      <c r="AM44" s="20"/>
      <c r="AN44" s="20"/>
      <c r="AO44" s="20"/>
      <c r="AP44" s="20"/>
      <c r="AQ44" s="20"/>
      <c r="AR44" s="20"/>
      <c r="AS44" s="20"/>
      <c r="AT44" s="20"/>
      <c r="AU44" s="20"/>
      <c r="AV44" s="20"/>
      <c r="AW44" s="20"/>
      <c r="AX44" s="20"/>
      <c r="AY44" s="20"/>
      <c r="AZ44" s="20"/>
      <c r="BA44" s="20"/>
      <c r="BB44" s="20"/>
      <c r="BC44" s="20"/>
      <c r="BD44" s="20"/>
      <c r="BE44" s="20"/>
      <c r="BF44" s="20"/>
      <c r="BG44" s="20"/>
      <c r="BH44" s="20"/>
      <c r="BI44" s="20"/>
      <c r="BJ44" s="20"/>
      <c r="BK44" s="20"/>
      <c r="BL44" s="20"/>
      <c r="BM44" s="20"/>
      <c r="BN44" s="20"/>
      <c r="BO44" s="20"/>
      <c r="BP44" s="20"/>
      <c r="BQ44" s="20"/>
      <c r="BR44" s="20"/>
      <c r="BS44" s="20"/>
      <c r="BT44" s="20"/>
      <c r="BU44" s="20"/>
      <c r="BV44" s="20"/>
      <c r="BW44" s="20"/>
      <c r="BX44" s="20"/>
      <c r="BY44" s="20"/>
      <c r="BZ44" s="20"/>
      <c r="CA44" s="20"/>
      <c r="CB44" s="20"/>
      <c r="CC44" s="20"/>
      <c r="CD44" s="20"/>
      <c r="CE44" s="20"/>
      <c r="CF44" s="20"/>
      <c r="CG44" s="20"/>
      <c r="CH44" s="20"/>
      <c r="CI44" s="20"/>
      <c r="CJ44" s="20"/>
      <c r="CK44" s="20"/>
      <c r="CL44" s="20"/>
      <c r="CM44" s="20"/>
      <c r="CN44" s="20"/>
      <c r="CO44" s="20"/>
      <c r="CP44" s="20"/>
      <c r="CQ44" s="20"/>
      <c r="CR44" s="20"/>
      <c r="CS44" s="20"/>
      <c r="CT44" s="20"/>
      <c r="CU44" s="20"/>
      <c r="CV44" s="20"/>
      <c r="CW44" s="20"/>
      <c r="CX44" s="20"/>
      <c r="CY44" s="20"/>
      <c r="CZ44" s="20"/>
      <c r="DA44" s="20"/>
      <c r="DB44" s="20"/>
      <c r="DC44" s="20"/>
      <c r="DD44" s="20"/>
      <c r="DE44" s="20"/>
      <c r="DF44" s="20"/>
      <c r="DG44" s="20"/>
      <c r="DH44" s="20"/>
      <c r="DI44" s="20"/>
      <c r="DJ44" s="20"/>
      <c r="DK44" s="20"/>
      <c r="DL44" s="20"/>
      <c r="DM44" s="20"/>
      <c r="DN44" s="20"/>
      <c r="DO44" s="20"/>
      <c r="DP44" s="20"/>
      <c r="DQ44" s="20"/>
      <c r="DR44" s="20"/>
      <c r="DS44" s="20"/>
      <c r="DT44" s="20"/>
      <c r="DU44" s="20"/>
      <c r="DV44" s="20"/>
      <c r="DW44" s="20"/>
      <c r="DX44" s="20"/>
      <c r="DY44" s="20"/>
      <c r="DZ44" s="20"/>
      <c r="EA44" s="20"/>
      <c r="EB44" s="20"/>
      <c r="EC44" s="20"/>
      <c r="ED44" s="20"/>
      <c r="EE44" s="20"/>
      <c r="EF44" s="20"/>
      <c r="EG44" s="20"/>
      <c r="EH44" s="20"/>
      <c r="EI44" s="20"/>
      <c r="EJ44" s="20"/>
      <c r="EK44" s="20"/>
      <c r="EL44" s="20"/>
      <c r="EM44" s="20"/>
      <c r="EN44" s="20"/>
      <c r="EO44" s="20"/>
      <c r="EP44" s="20"/>
      <c r="EQ44" s="20"/>
      <c r="ER44" s="20"/>
      <c r="ES44" s="20"/>
      <c r="ET44" s="20"/>
      <c r="EU44" s="20"/>
      <c r="EV44" s="20"/>
      <c r="EW44" s="20"/>
      <c r="EX44" s="20"/>
      <c r="EY44" s="20"/>
      <c r="EZ44" s="20"/>
      <c r="FA44" s="20"/>
      <c r="FB44" s="20"/>
      <c r="FC44" s="20"/>
      <c r="FD44" s="20"/>
      <c r="FE44" s="20"/>
      <c r="FF44" s="20"/>
      <c r="FG44" s="20"/>
      <c r="FH44" s="20"/>
      <c r="FI44" s="20"/>
      <c r="FJ44" s="20"/>
      <c r="FK44" s="20"/>
      <c r="FL44" s="20"/>
      <c r="FM44" s="20"/>
      <c r="FN44" s="20"/>
      <c r="FO44" s="20"/>
      <c r="FP44" s="20"/>
      <c r="FQ44" s="20"/>
      <c r="FR44" s="20"/>
      <c r="FS44" s="20"/>
      <c r="FT44" s="20"/>
      <c r="FU44" s="20"/>
      <c r="FV44" s="20"/>
      <c r="FW44" s="20"/>
      <c r="FX44" s="20"/>
      <c r="FY44" s="20"/>
      <c r="FZ44" s="20"/>
      <c r="GA44" s="20"/>
      <c r="GB44" s="20"/>
      <c r="GC44" s="20"/>
      <c r="GD44" s="20"/>
      <c r="GE44" s="20"/>
      <c r="GF44" s="20"/>
      <c r="GG44" s="20"/>
      <c r="GH44" s="20"/>
      <c r="GI44" s="20"/>
      <c r="GJ44" s="20"/>
      <c r="GK44" s="20"/>
      <c r="GL44" s="20"/>
      <c r="GM44" s="20"/>
      <c r="GN44" s="20"/>
      <c r="GO44" s="20"/>
      <c r="GP44" s="20"/>
      <c r="GQ44" s="20"/>
      <c r="GR44" s="20"/>
      <c r="GS44" s="20"/>
      <c r="GT44" s="20"/>
      <c r="GU44" s="20"/>
      <c r="GV44" s="20"/>
      <c r="GW44" s="20"/>
      <c r="GX44" s="20"/>
      <c r="GY44" s="20"/>
      <c r="GZ44" s="20"/>
      <c r="HA44" s="20"/>
      <c r="HB44" s="20"/>
    </row>
    <row r="45" spans="1:210" s="65" customFormat="1" ht="12.75" customHeight="1">
      <c r="A45" s="23" t="s">
        <v>123</v>
      </c>
      <c r="J45" s="33">
        <v>192042.03399999999</v>
      </c>
      <c r="K45" s="20"/>
      <c r="L45" s="20"/>
      <c r="M45" s="20">
        <v>254469.90100000001</v>
      </c>
      <c r="N45" s="20"/>
      <c r="O45" s="20">
        <v>280360.489</v>
      </c>
      <c r="P45" s="20"/>
      <c r="Q45" s="20"/>
      <c r="R45" s="66">
        <v>314385.61100000003</v>
      </c>
      <c r="S45" s="20">
        <v>368567.25899999996</v>
      </c>
      <c r="T45" s="20">
        <v>371889.603</v>
      </c>
      <c r="U45" s="20">
        <v>395434.11800000002</v>
      </c>
      <c r="V45" s="20">
        <v>412655.50099999999</v>
      </c>
      <c r="W45" s="33">
        <v>415572.37199999997</v>
      </c>
      <c r="X45" s="33">
        <v>421642.55</v>
      </c>
      <c r="Y45" s="33">
        <v>529695.64500000002</v>
      </c>
      <c r="Z45" s="33">
        <v>547757.84299999999</v>
      </c>
      <c r="AA45" s="33">
        <v>556961.48699999996</v>
      </c>
      <c r="AB45" s="33">
        <v>624591.13600000006</v>
      </c>
      <c r="AC45" s="33">
        <v>625551</v>
      </c>
      <c r="AD45" s="20">
        <v>667324.50199999998</v>
      </c>
      <c r="AE45" s="20">
        <v>691088.00199999998</v>
      </c>
      <c r="AF45" s="20">
        <v>755022.12800000003</v>
      </c>
      <c r="AG45" s="20">
        <v>777246.26599999995</v>
      </c>
      <c r="AH45" s="20"/>
      <c r="AI45" s="20"/>
      <c r="AJ45" s="20"/>
      <c r="AK45" s="20"/>
      <c r="AL45" s="20"/>
      <c r="AM45" s="20"/>
      <c r="AN45" s="20"/>
      <c r="AO45" s="20"/>
      <c r="AP45" s="20"/>
      <c r="AQ45" s="20"/>
      <c r="AR45" s="20"/>
      <c r="AS45" s="20"/>
      <c r="AT45" s="20"/>
      <c r="AU45" s="20"/>
      <c r="AV45" s="20"/>
      <c r="AW45" s="20"/>
      <c r="AX45" s="20"/>
      <c r="AY45" s="20"/>
      <c r="AZ45" s="20"/>
      <c r="BA45" s="20"/>
      <c r="BB45" s="20"/>
      <c r="BC45" s="20"/>
      <c r="BD45" s="20"/>
      <c r="BE45" s="20"/>
      <c r="BF45" s="20"/>
      <c r="BG45" s="20"/>
      <c r="BH45" s="20"/>
      <c r="BI45" s="20"/>
      <c r="BJ45" s="20"/>
      <c r="BK45" s="20"/>
      <c r="BL45" s="20"/>
      <c r="BM45" s="20"/>
      <c r="BN45" s="20"/>
      <c r="BO45" s="20"/>
      <c r="BP45" s="20"/>
      <c r="BQ45" s="20"/>
      <c r="BR45" s="20"/>
      <c r="BS45" s="20"/>
      <c r="BT45" s="20"/>
      <c r="BU45" s="20"/>
      <c r="BV45" s="20"/>
      <c r="BW45" s="20"/>
      <c r="BX45" s="20"/>
      <c r="BY45" s="20"/>
      <c r="BZ45" s="20"/>
      <c r="CA45" s="20"/>
      <c r="CB45" s="20"/>
      <c r="CC45" s="20"/>
      <c r="CD45" s="20"/>
      <c r="CE45" s="20"/>
      <c r="CF45" s="20"/>
      <c r="CG45" s="20"/>
      <c r="CH45" s="20"/>
      <c r="CI45" s="20"/>
      <c r="CJ45" s="20"/>
      <c r="CK45" s="20"/>
      <c r="CL45" s="20"/>
      <c r="CM45" s="20"/>
      <c r="CN45" s="20"/>
      <c r="CO45" s="20"/>
      <c r="CP45" s="20"/>
      <c r="CQ45" s="20"/>
      <c r="CR45" s="20"/>
      <c r="CS45" s="20"/>
      <c r="CT45" s="20"/>
      <c r="CU45" s="20"/>
      <c r="CV45" s="20"/>
      <c r="CW45" s="20"/>
      <c r="CX45" s="20"/>
      <c r="CY45" s="20"/>
      <c r="CZ45" s="20"/>
      <c r="DA45" s="20"/>
      <c r="DB45" s="20"/>
      <c r="DC45" s="20"/>
      <c r="DD45" s="20"/>
      <c r="DE45" s="20"/>
      <c r="DF45" s="20"/>
      <c r="DG45" s="20"/>
      <c r="DH45" s="20"/>
      <c r="DI45" s="20"/>
      <c r="DJ45" s="20"/>
      <c r="DK45" s="20"/>
      <c r="DL45" s="20"/>
      <c r="DM45" s="20"/>
      <c r="DN45" s="20"/>
      <c r="DO45" s="20"/>
      <c r="DP45" s="20"/>
      <c r="DQ45" s="20"/>
      <c r="DR45" s="20"/>
      <c r="DS45" s="20"/>
      <c r="DT45" s="20"/>
      <c r="DU45" s="20"/>
      <c r="DV45" s="20"/>
      <c r="DW45" s="20"/>
      <c r="DX45" s="20"/>
      <c r="DY45" s="20"/>
      <c r="DZ45" s="20"/>
      <c r="EA45" s="20"/>
      <c r="EB45" s="20"/>
      <c r="EC45" s="20"/>
      <c r="ED45" s="20"/>
      <c r="EE45" s="20"/>
      <c r="EF45" s="20"/>
      <c r="EG45" s="20"/>
      <c r="EH45" s="20"/>
      <c r="EI45" s="20"/>
      <c r="EJ45" s="20"/>
      <c r="EK45" s="20"/>
      <c r="EL45" s="20"/>
      <c r="EM45" s="20"/>
      <c r="EN45" s="20"/>
      <c r="EO45" s="20"/>
      <c r="EP45" s="20"/>
      <c r="EQ45" s="20"/>
      <c r="ER45" s="20"/>
      <c r="ES45" s="20"/>
      <c r="ET45" s="20"/>
      <c r="EU45" s="20"/>
      <c r="EV45" s="20"/>
      <c r="EW45" s="20"/>
      <c r="EX45" s="20"/>
      <c r="EY45" s="20"/>
      <c r="EZ45" s="20"/>
      <c r="FA45" s="20"/>
      <c r="FB45" s="20"/>
      <c r="FC45" s="20"/>
      <c r="FD45" s="20"/>
      <c r="FE45" s="20"/>
      <c r="FF45" s="20"/>
      <c r="FG45" s="20"/>
      <c r="FH45" s="20"/>
      <c r="FI45" s="20"/>
      <c r="FJ45" s="20"/>
      <c r="FK45" s="20"/>
      <c r="FL45" s="20"/>
      <c r="FM45" s="20"/>
      <c r="FN45" s="20"/>
      <c r="FO45" s="20"/>
      <c r="FP45" s="20"/>
      <c r="FQ45" s="20"/>
      <c r="FR45" s="20"/>
      <c r="FS45" s="20"/>
      <c r="FT45" s="20"/>
      <c r="FU45" s="20"/>
      <c r="FV45" s="20"/>
      <c r="FW45" s="20"/>
      <c r="FX45" s="20"/>
      <c r="FY45" s="20"/>
      <c r="FZ45" s="20"/>
      <c r="GA45" s="20"/>
      <c r="GB45" s="20"/>
      <c r="GC45" s="20"/>
      <c r="GD45" s="20"/>
      <c r="GE45" s="20"/>
      <c r="GF45" s="20"/>
      <c r="GG45" s="20"/>
      <c r="GH45" s="20"/>
      <c r="GI45" s="20"/>
      <c r="GJ45" s="20"/>
      <c r="GK45" s="20"/>
      <c r="GL45" s="20"/>
      <c r="GM45" s="20"/>
      <c r="GN45" s="20"/>
      <c r="GO45" s="20"/>
      <c r="GP45" s="20"/>
      <c r="GQ45" s="20"/>
      <c r="GR45" s="20"/>
      <c r="GS45" s="20"/>
      <c r="GT45" s="20"/>
      <c r="GU45" s="20"/>
      <c r="GV45" s="20"/>
      <c r="GW45" s="20"/>
      <c r="GX45" s="20"/>
      <c r="GY45" s="20"/>
      <c r="GZ45" s="20"/>
      <c r="HA45" s="20"/>
      <c r="HB45" s="20"/>
    </row>
    <row r="46" spans="1:210" s="65" customFormat="1" ht="12.75" customHeight="1">
      <c r="A46" s="23" t="s">
        <v>67</v>
      </c>
      <c r="J46" s="33">
        <v>61272.334999999999</v>
      </c>
      <c r="K46" s="20"/>
      <c r="L46" s="20"/>
      <c r="M46" s="20">
        <v>87993.691000000006</v>
      </c>
      <c r="N46" s="20"/>
      <c r="O46" s="20">
        <v>120946.93</v>
      </c>
      <c r="P46" s="20"/>
      <c r="Q46" s="20"/>
      <c r="R46" s="66">
        <v>136282.182</v>
      </c>
      <c r="S46" s="20">
        <v>215753.93799999999</v>
      </c>
      <c r="T46" s="20">
        <v>141808.24299999999</v>
      </c>
      <c r="U46" s="20">
        <v>153875.54199999999</v>
      </c>
      <c r="V46" s="20">
        <v>161794.66</v>
      </c>
      <c r="W46" s="33">
        <v>204735.93400000001</v>
      </c>
      <c r="X46" s="33">
        <v>175075.26300000001</v>
      </c>
      <c r="Y46" s="33">
        <v>186939.405</v>
      </c>
      <c r="Z46" s="33">
        <v>219401.72</v>
      </c>
      <c r="AA46" s="33">
        <v>225472.36900000001</v>
      </c>
      <c r="AB46" s="33">
        <v>231516.285</v>
      </c>
      <c r="AC46" s="33">
        <v>224928</v>
      </c>
      <c r="AD46" s="20">
        <v>265364.65100000001</v>
      </c>
      <c r="AE46" s="20">
        <v>237232.87400000001</v>
      </c>
      <c r="AF46" s="20">
        <v>241485.91899999999</v>
      </c>
      <c r="AG46" s="20">
        <v>249863.06700000001</v>
      </c>
      <c r="AH46" s="20"/>
      <c r="AI46" s="20"/>
      <c r="AJ46" s="20"/>
      <c r="AK46" s="20"/>
      <c r="AL46" s="20"/>
      <c r="AM46" s="20"/>
      <c r="AN46" s="20"/>
      <c r="AO46" s="20"/>
      <c r="AP46" s="20"/>
      <c r="AQ46" s="20"/>
      <c r="AR46" s="20"/>
      <c r="AS46" s="20"/>
      <c r="AT46" s="20"/>
      <c r="AU46" s="20"/>
      <c r="AV46" s="20"/>
      <c r="AW46" s="20"/>
      <c r="AX46" s="20"/>
      <c r="AY46" s="20"/>
      <c r="AZ46" s="20"/>
      <c r="BA46" s="20"/>
      <c r="BB46" s="20"/>
      <c r="BC46" s="20"/>
      <c r="BD46" s="20"/>
      <c r="BE46" s="20"/>
      <c r="BF46" s="20"/>
      <c r="BG46" s="20"/>
      <c r="BH46" s="20"/>
      <c r="BI46" s="20"/>
      <c r="BJ46" s="20"/>
      <c r="BK46" s="20"/>
      <c r="BL46" s="20"/>
      <c r="BM46" s="20"/>
      <c r="BN46" s="20"/>
      <c r="BO46" s="20"/>
      <c r="BP46" s="20"/>
      <c r="BQ46" s="20"/>
      <c r="BR46" s="20"/>
      <c r="BS46" s="20"/>
      <c r="BT46" s="20"/>
      <c r="BU46" s="20"/>
      <c r="BV46" s="20"/>
      <c r="BW46" s="20"/>
      <c r="BX46" s="20"/>
      <c r="BY46" s="20"/>
      <c r="BZ46" s="20"/>
      <c r="CA46" s="20"/>
      <c r="CB46" s="20"/>
      <c r="CC46" s="20"/>
      <c r="CD46" s="20"/>
      <c r="CE46" s="20"/>
      <c r="CF46" s="20"/>
      <c r="CG46" s="20"/>
      <c r="CH46" s="20"/>
      <c r="CI46" s="20"/>
      <c r="CJ46" s="20"/>
      <c r="CK46" s="20"/>
      <c r="CL46" s="20"/>
      <c r="CM46" s="20"/>
      <c r="CN46" s="20"/>
      <c r="CO46" s="20"/>
      <c r="CP46" s="20"/>
      <c r="CQ46" s="20"/>
      <c r="CR46" s="20"/>
      <c r="CS46" s="20"/>
      <c r="CT46" s="20"/>
      <c r="CU46" s="20"/>
      <c r="CV46" s="20"/>
      <c r="CW46" s="20"/>
      <c r="CX46" s="20"/>
      <c r="CY46" s="20"/>
      <c r="CZ46" s="20"/>
      <c r="DA46" s="20"/>
      <c r="DB46" s="20"/>
      <c r="DC46" s="20"/>
      <c r="DD46" s="20"/>
      <c r="DE46" s="20"/>
      <c r="DF46" s="20"/>
      <c r="DG46" s="20"/>
      <c r="DH46" s="20"/>
      <c r="DI46" s="20"/>
      <c r="DJ46" s="20"/>
      <c r="DK46" s="20"/>
      <c r="DL46" s="20"/>
      <c r="DM46" s="20"/>
      <c r="DN46" s="20"/>
      <c r="DO46" s="20"/>
      <c r="DP46" s="20"/>
      <c r="DQ46" s="20"/>
      <c r="DR46" s="20"/>
      <c r="DS46" s="20"/>
      <c r="DT46" s="20"/>
      <c r="DU46" s="20"/>
      <c r="DV46" s="20"/>
      <c r="DW46" s="20"/>
      <c r="DX46" s="20"/>
      <c r="DY46" s="20"/>
      <c r="DZ46" s="20"/>
      <c r="EA46" s="20"/>
      <c r="EB46" s="20"/>
      <c r="EC46" s="20"/>
      <c r="ED46" s="20"/>
      <c r="EE46" s="20"/>
      <c r="EF46" s="20"/>
      <c r="EG46" s="20"/>
      <c r="EH46" s="20"/>
      <c r="EI46" s="20"/>
      <c r="EJ46" s="20"/>
      <c r="EK46" s="20"/>
      <c r="EL46" s="20"/>
      <c r="EM46" s="20"/>
      <c r="EN46" s="20"/>
      <c r="EO46" s="20"/>
      <c r="EP46" s="20"/>
      <c r="EQ46" s="20"/>
      <c r="ER46" s="20"/>
      <c r="ES46" s="20"/>
      <c r="ET46" s="20"/>
      <c r="EU46" s="20"/>
      <c r="EV46" s="20"/>
      <c r="EW46" s="20"/>
      <c r="EX46" s="20"/>
      <c r="EY46" s="20"/>
      <c r="EZ46" s="20"/>
      <c r="FA46" s="20"/>
      <c r="FB46" s="20"/>
      <c r="FC46" s="20"/>
      <c r="FD46" s="20"/>
      <c r="FE46" s="20"/>
      <c r="FF46" s="20"/>
      <c r="FG46" s="20"/>
      <c r="FH46" s="20"/>
      <c r="FI46" s="20"/>
      <c r="FJ46" s="20"/>
      <c r="FK46" s="20"/>
      <c r="FL46" s="20"/>
      <c r="FM46" s="20"/>
      <c r="FN46" s="20"/>
      <c r="FO46" s="20"/>
      <c r="FP46" s="20"/>
      <c r="FQ46" s="20"/>
      <c r="FR46" s="20"/>
      <c r="FS46" s="20"/>
      <c r="FT46" s="20"/>
      <c r="FU46" s="20"/>
      <c r="FV46" s="20"/>
      <c r="FW46" s="20"/>
      <c r="FX46" s="20"/>
      <c r="FY46" s="20"/>
      <c r="FZ46" s="20"/>
      <c r="GA46" s="20"/>
      <c r="GB46" s="20"/>
      <c r="GC46" s="20"/>
      <c r="GD46" s="20"/>
      <c r="GE46" s="20"/>
      <c r="GF46" s="20"/>
      <c r="GG46" s="20"/>
      <c r="GH46" s="20"/>
      <c r="GI46" s="20"/>
      <c r="GJ46" s="20"/>
      <c r="GK46" s="20"/>
      <c r="GL46" s="20"/>
      <c r="GM46" s="20"/>
      <c r="GN46" s="20"/>
      <c r="GO46" s="20"/>
      <c r="GP46" s="20"/>
      <c r="GQ46" s="20"/>
      <c r="GR46" s="20"/>
      <c r="GS46" s="20"/>
      <c r="GT46" s="20"/>
      <c r="GU46" s="20"/>
      <c r="GV46" s="20"/>
      <c r="GW46" s="20"/>
      <c r="GX46" s="20"/>
      <c r="GY46" s="20"/>
      <c r="GZ46" s="20"/>
      <c r="HA46" s="20"/>
      <c r="HB46" s="20"/>
    </row>
    <row r="47" spans="1:210" s="65" customFormat="1" ht="12.75" customHeight="1">
      <c r="A47" s="23" t="s">
        <v>125</v>
      </c>
      <c r="J47" s="33">
        <v>58899.493000000002</v>
      </c>
      <c r="K47" s="20"/>
      <c r="L47" s="20"/>
      <c r="M47" s="20">
        <v>72048.624000000011</v>
      </c>
      <c r="N47" s="20"/>
      <c r="O47" s="20">
        <v>64731.436999999998</v>
      </c>
      <c r="P47" s="20"/>
      <c r="Q47" s="20"/>
      <c r="R47" s="92">
        <v>110525.91</v>
      </c>
      <c r="S47" s="20">
        <v>128654.844</v>
      </c>
      <c r="T47" s="20">
        <v>143276.321</v>
      </c>
      <c r="U47" s="20">
        <v>153651.27600000001</v>
      </c>
      <c r="V47" s="20">
        <v>170435.40700000001</v>
      </c>
      <c r="W47" s="33">
        <v>181041.77</v>
      </c>
      <c r="X47" s="33">
        <v>238603.64199999999</v>
      </c>
      <c r="Y47" s="33">
        <v>239866.435</v>
      </c>
      <c r="Z47" s="33">
        <v>269306.54399999999</v>
      </c>
      <c r="AA47" s="33">
        <v>96014.705000000002</v>
      </c>
      <c r="AB47" s="33">
        <v>272689.15600000002</v>
      </c>
      <c r="AC47" s="33">
        <v>275144</v>
      </c>
      <c r="AD47" s="20">
        <v>260408.33799999999</v>
      </c>
      <c r="AE47" s="20">
        <v>298033.32699999999</v>
      </c>
      <c r="AF47" s="20">
        <v>305256.69699999999</v>
      </c>
      <c r="AG47" s="20">
        <v>383677.21799999999</v>
      </c>
      <c r="AH47" s="20"/>
      <c r="AI47" s="20"/>
      <c r="AJ47" s="20"/>
      <c r="AK47" s="20"/>
      <c r="AL47" s="20"/>
      <c r="AM47" s="20"/>
      <c r="AN47" s="20"/>
      <c r="AO47" s="20"/>
      <c r="AP47" s="20"/>
      <c r="AQ47" s="20"/>
      <c r="AR47" s="20"/>
      <c r="AS47" s="20"/>
      <c r="AT47" s="20"/>
      <c r="AU47" s="20"/>
      <c r="AV47" s="20"/>
      <c r="AW47" s="20"/>
      <c r="AX47" s="20"/>
      <c r="AY47" s="20"/>
      <c r="AZ47" s="20"/>
      <c r="BA47" s="20"/>
      <c r="BB47" s="20"/>
      <c r="BC47" s="20"/>
      <c r="BD47" s="20"/>
      <c r="BE47" s="20"/>
      <c r="BF47" s="20"/>
      <c r="BG47" s="20"/>
      <c r="BH47" s="20"/>
      <c r="BI47" s="20"/>
      <c r="BJ47" s="20"/>
      <c r="BK47" s="20"/>
      <c r="BL47" s="20"/>
      <c r="BM47" s="20"/>
      <c r="BN47" s="20"/>
      <c r="BO47" s="20"/>
      <c r="BP47" s="20"/>
      <c r="BQ47" s="20"/>
      <c r="BR47" s="20"/>
      <c r="BS47" s="20"/>
      <c r="BT47" s="20"/>
      <c r="BU47" s="20"/>
      <c r="BV47" s="20"/>
      <c r="BW47" s="20"/>
      <c r="BX47" s="20"/>
      <c r="BY47" s="20"/>
      <c r="BZ47" s="20"/>
      <c r="CA47" s="20"/>
      <c r="CB47" s="20"/>
      <c r="CC47" s="20"/>
      <c r="CD47" s="20"/>
      <c r="CE47" s="20"/>
      <c r="CF47" s="20"/>
      <c r="CG47" s="20"/>
      <c r="CH47" s="20"/>
      <c r="CI47" s="20"/>
      <c r="CJ47" s="20"/>
      <c r="CK47" s="20"/>
      <c r="CL47" s="20"/>
      <c r="CM47" s="20"/>
      <c r="CN47" s="20"/>
      <c r="CO47" s="20"/>
      <c r="CP47" s="20"/>
      <c r="CQ47" s="20"/>
      <c r="CR47" s="20"/>
      <c r="CS47" s="20"/>
      <c r="CT47" s="20"/>
      <c r="CU47" s="20"/>
      <c r="CV47" s="20"/>
      <c r="CW47" s="20"/>
      <c r="CX47" s="20"/>
      <c r="CY47" s="20"/>
      <c r="CZ47" s="20"/>
      <c r="DA47" s="20"/>
      <c r="DB47" s="20"/>
      <c r="DC47" s="20"/>
      <c r="DD47" s="20"/>
      <c r="DE47" s="20"/>
      <c r="DF47" s="20"/>
      <c r="DG47" s="20"/>
      <c r="DH47" s="20"/>
      <c r="DI47" s="20"/>
      <c r="DJ47" s="20"/>
      <c r="DK47" s="20"/>
      <c r="DL47" s="20"/>
      <c r="DM47" s="20"/>
      <c r="DN47" s="20"/>
      <c r="DO47" s="20"/>
      <c r="DP47" s="20"/>
      <c r="DQ47" s="20"/>
      <c r="DR47" s="20"/>
      <c r="DS47" s="20"/>
      <c r="DT47" s="20"/>
      <c r="DU47" s="20"/>
      <c r="DV47" s="20"/>
      <c r="DW47" s="20"/>
      <c r="DX47" s="20"/>
      <c r="DY47" s="20"/>
      <c r="DZ47" s="20"/>
      <c r="EA47" s="20"/>
      <c r="EB47" s="20"/>
      <c r="EC47" s="20"/>
      <c r="ED47" s="20"/>
      <c r="EE47" s="20"/>
      <c r="EF47" s="20"/>
      <c r="EG47" s="20"/>
      <c r="EH47" s="20"/>
      <c r="EI47" s="20"/>
      <c r="EJ47" s="20"/>
      <c r="EK47" s="20"/>
      <c r="EL47" s="20"/>
      <c r="EM47" s="20"/>
      <c r="EN47" s="20"/>
      <c r="EO47" s="20"/>
      <c r="EP47" s="20"/>
      <c r="EQ47" s="20"/>
      <c r="ER47" s="20"/>
      <c r="ES47" s="20"/>
      <c r="ET47" s="20"/>
      <c r="EU47" s="20"/>
      <c r="EV47" s="20"/>
      <c r="EW47" s="20"/>
      <c r="EX47" s="20"/>
      <c r="EY47" s="20"/>
      <c r="EZ47" s="20"/>
      <c r="FA47" s="20"/>
      <c r="FB47" s="20"/>
      <c r="FC47" s="20"/>
      <c r="FD47" s="20"/>
      <c r="FE47" s="20"/>
      <c r="FF47" s="20"/>
      <c r="FG47" s="20"/>
      <c r="FH47" s="20"/>
      <c r="FI47" s="20"/>
      <c r="FJ47" s="20"/>
      <c r="FK47" s="20"/>
      <c r="FL47" s="20"/>
      <c r="FM47" s="20"/>
      <c r="FN47" s="20"/>
      <c r="FO47" s="20"/>
      <c r="FP47" s="20"/>
      <c r="FQ47" s="20"/>
      <c r="FR47" s="20"/>
      <c r="FS47" s="20"/>
      <c r="FT47" s="20"/>
      <c r="FU47" s="20"/>
      <c r="FV47" s="20"/>
      <c r="FW47" s="20"/>
      <c r="FX47" s="20"/>
      <c r="FY47" s="20"/>
      <c r="FZ47" s="20"/>
      <c r="GA47" s="20"/>
      <c r="GB47" s="20"/>
      <c r="GC47" s="20"/>
      <c r="GD47" s="20"/>
      <c r="GE47" s="20"/>
      <c r="GF47" s="20"/>
      <c r="GG47" s="20"/>
      <c r="GH47" s="20"/>
      <c r="GI47" s="20"/>
      <c r="GJ47" s="20"/>
      <c r="GK47" s="20"/>
      <c r="GL47" s="20"/>
      <c r="GM47" s="20"/>
      <c r="GN47" s="20"/>
      <c r="GO47" s="20"/>
      <c r="GP47" s="20"/>
      <c r="GQ47" s="20"/>
      <c r="GR47" s="20"/>
      <c r="GS47" s="20"/>
      <c r="GT47" s="20"/>
      <c r="GU47" s="20"/>
      <c r="GV47" s="20"/>
      <c r="GW47" s="20"/>
      <c r="GX47" s="20"/>
      <c r="GY47" s="20"/>
      <c r="GZ47" s="20"/>
      <c r="HA47" s="20"/>
      <c r="HB47" s="20"/>
    </row>
    <row r="48" spans="1:210" s="65" customFormat="1" ht="12.75" customHeight="1">
      <c r="A48" s="23" t="s">
        <v>131</v>
      </c>
      <c r="J48" s="33">
        <v>18069.159</v>
      </c>
      <c r="K48" s="20"/>
      <c r="L48" s="20"/>
      <c r="M48" s="20">
        <v>22262.078999999998</v>
      </c>
      <c r="N48" s="20"/>
      <c r="O48" s="20">
        <v>26422.179000000004</v>
      </c>
      <c r="P48" s="20"/>
      <c r="Q48" s="20"/>
      <c r="R48" s="66">
        <v>29224.702000000001</v>
      </c>
      <c r="S48" s="20">
        <v>31039.080999999998</v>
      </c>
      <c r="T48" s="20">
        <v>34590.735999999997</v>
      </c>
      <c r="U48" s="20">
        <v>38428.089</v>
      </c>
      <c r="V48" s="20">
        <v>42819.328999999998</v>
      </c>
      <c r="W48" s="33">
        <v>44550.739000000001</v>
      </c>
      <c r="X48" s="33">
        <v>62035.173000000003</v>
      </c>
      <c r="Y48" s="33">
        <v>49009.932000000001</v>
      </c>
      <c r="Z48" s="33">
        <v>55977.536999999997</v>
      </c>
      <c r="AA48" s="33">
        <v>62144.364000000001</v>
      </c>
      <c r="AB48" s="33">
        <v>66817.967000000004</v>
      </c>
      <c r="AC48" s="33">
        <v>64771</v>
      </c>
      <c r="AD48" s="20">
        <v>73616.384999999995</v>
      </c>
      <c r="AE48" s="20">
        <v>75524.043999999994</v>
      </c>
      <c r="AF48" s="20">
        <v>78731.960999999996</v>
      </c>
      <c r="AG48" s="20">
        <v>73587.065000000002</v>
      </c>
      <c r="AH48" s="20"/>
      <c r="AI48" s="20"/>
      <c r="AJ48" s="20"/>
      <c r="AK48" s="20"/>
      <c r="AL48" s="20"/>
      <c r="AM48" s="20"/>
      <c r="AN48" s="20"/>
      <c r="AO48" s="20"/>
      <c r="AP48" s="20"/>
      <c r="AQ48" s="20"/>
      <c r="AR48" s="20"/>
      <c r="AS48" s="20"/>
      <c r="AT48" s="20"/>
      <c r="AU48" s="20"/>
      <c r="AV48" s="20"/>
      <c r="AW48" s="20"/>
      <c r="AX48" s="20"/>
      <c r="AY48" s="20"/>
      <c r="AZ48" s="20"/>
      <c r="BA48" s="20"/>
      <c r="BB48" s="20"/>
      <c r="BC48" s="20"/>
      <c r="BD48" s="20"/>
      <c r="BE48" s="20"/>
      <c r="BF48" s="20"/>
      <c r="BG48" s="20"/>
      <c r="BH48" s="20"/>
      <c r="BI48" s="20"/>
      <c r="BJ48" s="20"/>
      <c r="BK48" s="20"/>
      <c r="BL48" s="20"/>
      <c r="BM48" s="20"/>
      <c r="BN48" s="20"/>
      <c r="BO48" s="20"/>
      <c r="BP48" s="20"/>
      <c r="BQ48" s="20"/>
      <c r="BR48" s="20"/>
      <c r="BS48" s="20"/>
      <c r="BT48" s="20"/>
      <c r="BU48" s="20"/>
      <c r="BV48" s="20"/>
      <c r="BW48" s="20"/>
      <c r="BX48" s="20"/>
      <c r="BY48" s="20"/>
      <c r="BZ48" s="20"/>
      <c r="CA48" s="20"/>
      <c r="CB48" s="20"/>
      <c r="CC48" s="20"/>
      <c r="CD48" s="20"/>
      <c r="CE48" s="20"/>
      <c r="CF48" s="20"/>
      <c r="CG48" s="20"/>
      <c r="CH48" s="20"/>
      <c r="CI48" s="20"/>
      <c r="CJ48" s="20"/>
      <c r="CK48" s="20"/>
      <c r="CL48" s="20"/>
      <c r="CM48" s="20"/>
      <c r="CN48" s="20"/>
      <c r="CO48" s="20"/>
      <c r="CP48" s="20"/>
      <c r="CQ48" s="20"/>
      <c r="CR48" s="20"/>
      <c r="CS48" s="20"/>
      <c r="CT48" s="20"/>
      <c r="CU48" s="20"/>
      <c r="CV48" s="20"/>
      <c r="CW48" s="20"/>
      <c r="CX48" s="20"/>
      <c r="CY48" s="20"/>
      <c r="CZ48" s="20"/>
      <c r="DA48" s="20"/>
      <c r="DB48" s="20"/>
      <c r="DC48" s="20"/>
      <c r="DD48" s="20"/>
      <c r="DE48" s="20"/>
      <c r="DF48" s="20"/>
      <c r="DG48" s="20"/>
      <c r="DH48" s="20"/>
      <c r="DI48" s="20"/>
      <c r="DJ48" s="20"/>
      <c r="DK48" s="20"/>
      <c r="DL48" s="20"/>
      <c r="DM48" s="20"/>
      <c r="DN48" s="20"/>
      <c r="DO48" s="20"/>
      <c r="DP48" s="20"/>
      <c r="DQ48" s="20"/>
      <c r="DR48" s="20"/>
      <c r="DS48" s="20"/>
      <c r="DT48" s="20"/>
      <c r="DU48" s="20"/>
      <c r="DV48" s="20"/>
      <c r="DW48" s="20"/>
      <c r="DX48" s="20"/>
      <c r="DY48" s="20"/>
      <c r="DZ48" s="20"/>
      <c r="EA48" s="20"/>
      <c r="EB48" s="20"/>
      <c r="EC48" s="20"/>
      <c r="ED48" s="20"/>
      <c r="EE48" s="20"/>
      <c r="EF48" s="20"/>
      <c r="EG48" s="20"/>
      <c r="EH48" s="20"/>
      <c r="EI48" s="20"/>
      <c r="EJ48" s="20"/>
      <c r="EK48" s="20"/>
      <c r="EL48" s="20"/>
      <c r="EM48" s="20"/>
      <c r="EN48" s="20"/>
      <c r="EO48" s="20"/>
      <c r="EP48" s="20"/>
      <c r="EQ48" s="20"/>
      <c r="ER48" s="20"/>
      <c r="ES48" s="20"/>
      <c r="ET48" s="20"/>
      <c r="EU48" s="20"/>
      <c r="EV48" s="20"/>
      <c r="EW48" s="20"/>
      <c r="EX48" s="20"/>
      <c r="EY48" s="20"/>
      <c r="EZ48" s="20"/>
      <c r="FA48" s="20"/>
      <c r="FB48" s="20"/>
      <c r="FC48" s="20"/>
      <c r="FD48" s="20"/>
      <c r="FE48" s="20"/>
      <c r="FF48" s="20"/>
      <c r="FG48" s="20"/>
      <c r="FH48" s="20"/>
      <c r="FI48" s="20"/>
      <c r="FJ48" s="20"/>
      <c r="FK48" s="20"/>
      <c r="FL48" s="20"/>
      <c r="FM48" s="20"/>
      <c r="FN48" s="20"/>
      <c r="FO48" s="20"/>
      <c r="FP48" s="20"/>
      <c r="FQ48" s="20"/>
      <c r="FR48" s="20"/>
      <c r="FS48" s="20"/>
      <c r="FT48" s="20"/>
      <c r="FU48" s="20"/>
      <c r="FV48" s="20"/>
      <c r="FW48" s="20"/>
      <c r="FX48" s="20"/>
      <c r="FY48" s="20"/>
      <c r="FZ48" s="20"/>
      <c r="GA48" s="20"/>
      <c r="GB48" s="20"/>
      <c r="GC48" s="20"/>
      <c r="GD48" s="20"/>
      <c r="GE48" s="20"/>
      <c r="GF48" s="20"/>
      <c r="GG48" s="20"/>
      <c r="GH48" s="20"/>
      <c r="GI48" s="20"/>
      <c r="GJ48" s="20"/>
      <c r="GK48" s="20"/>
      <c r="GL48" s="20"/>
      <c r="GM48" s="20"/>
      <c r="GN48" s="20"/>
      <c r="GO48" s="20"/>
      <c r="GP48" s="20"/>
      <c r="GQ48" s="20"/>
      <c r="GR48" s="20"/>
      <c r="GS48" s="20"/>
      <c r="GT48" s="20"/>
      <c r="GU48" s="20"/>
      <c r="GV48" s="20"/>
      <c r="GW48" s="20"/>
      <c r="GX48" s="20"/>
      <c r="GY48" s="20"/>
      <c r="GZ48" s="20"/>
      <c r="HA48" s="20"/>
      <c r="HB48" s="20"/>
    </row>
    <row r="49" spans="1:210" s="65" customFormat="1" ht="12.75" customHeight="1">
      <c r="A49" s="23" t="s">
        <v>132</v>
      </c>
      <c r="J49" s="33">
        <v>223488.40599999999</v>
      </c>
      <c r="K49" s="20"/>
      <c r="L49" s="20"/>
      <c r="M49" s="20">
        <v>276860.05800000002</v>
      </c>
      <c r="N49" s="20"/>
      <c r="O49" s="20">
        <v>307046.52300000004</v>
      </c>
      <c r="P49" s="20"/>
      <c r="Q49" s="20"/>
      <c r="R49" s="66">
        <v>393501.16300000006</v>
      </c>
      <c r="S49" s="20">
        <v>470154.22499999998</v>
      </c>
      <c r="T49" s="20">
        <v>496661.48200000002</v>
      </c>
      <c r="U49" s="20">
        <v>554699.54799999995</v>
      </c>
      <c r="V49" s="20">
        <v>564816.69700000004</v>
      </c>
      <c r="W49" s="33">
        <v>604868.54700000002</v>
      </c>
      <c r="X49" s="33">
        <v>684184.01699999999</v>
      </c>
      <c r="Y49" s="33">
        <v>737898.647</v>
      </c>
      <c r="Z49" s="33">
        <v>841948.39800000004</v>
      </c>
      <c r="AA49" s="33">
        <v>798964.04799999995</v>
      </c>
      <c r="AB49" s="33">
        <v>741366.93099999998</v>
      </c>
      <c r="AC49" s="33">
        <v>763874</v>
      </c>
      <c r="AD49" s="20">
        <v>755072.99</v>
      </c>
      <c r="AE49" s="20">
        <v>802232.64500000002</v>
      </c>
      <c r="AF49" s="20">
        <v>822818.60800000001</v>
      </c>
      <c r="AG49" s="20">
        <v>907913.94299999997</v>
      </c>
      <c r="AH49" s="20"/>
      <c r="AI49" s="20"/>
      <c r="AJ49" s="20"/>
      <c r="AK49" s="20"/>
      <c r="AL49" s="20"/>
      <c r="AM49" s="20"/>
      <c r="AN49" s="20"/>
      <c r="AO49" s="20"/>
      <c r="AP49" s="20"/>
      <c r="AQ49" s="20"/>
      <c r="AR49" s="20"/>
      <c r="AS49" s="20"/>
      <c r="AT49" s="20"/>
      <c r="AU49" s="20"/>
      <c r="AV49" s="20"/>
      <c r="AW49" s="20"/>
      <c r="AX49" s="20"/>
      <c r="AY49" s="20"/>
      <c r="AZ49" s="20"/>
      <c r="BA49" s="20"/>
      <c r="BB49" s="20"/>
      <c r="BC49" s="20"/>
      <c r="BD49" s="20"/>
      <c r="BE49" s="20"/>
      <c r="BF49" s="20"/>
      <c r="BG49" s="20"/>
      <c r="BH49" s="20"/>
      <c r="BI49" s="20"/>
      <c r="BJ49" s="20"/>
      <c r="BK49" s="20"/>
      <c r="BL49" s="20"/>
      <c r="BM49" s="20"/>
      <c r="BN49" s="20"/>
      <c r="BO49" s="20"/>
      <c r="BP49" s="20"/>
      <c r="BQ49" s="20"/>
      <c r="BR49" s="20"/>
      <c r="BS49" s="20"/>
      <c r="BT49" s="20"/>
      <c r="BU49" s="20"/>
      <c r="BV49" s="20"/>
      <c r="BW49" s="20"/>
      <c r="BX49" s="20"/>
      <c r="BY49" s="20"/>
      <c r="BZ49" s="20"/>
      <c r="CA49" s="20"/>
      <c r="CB49" s="20"/>
      <c r="CC49" s="20"/>
      <c r="CD49" s="20"/>
      <c r="CE49" s="20"/>
      <c r="CF49" s="20"/>
      <c r="CG49" s="20"/>
      <c r="CH49" s="20"/>
      <c r="CI49" s="20"/>
      <c r="CJ49" s="20"/>
      <c r="CK49" s="20"/>
      <c r="CL49" s="20"/>
      <c r="CM49" s="20"/>
      <c r="CN49" s="20"/>
      <c r="CO49" s="20"/>
      <c r="CP49" s="20"/>
      <c r="CQ49" s="20"/>
      <c r="CR49" s="20"/>
      <c r="CS49" s="20"/>
      <c r="CT49" s="20"/>
      <c r="CU49" s="20"/>
      <c r="CV49" s="20"/>
      <c r="CW49" s="20"/>
      <c r="CX49" s="20"/>
      <c r="CY49" s="20"/>
      <c r="CZ49" s="20"/>
      <c r="DA49" s="20"/>
      <c r="DB49" s="20"/>
      <c r="DC49" s="20"/>
      <c r="DD49" s="20"/>
      <c r="DE49" s="20"/>
      <c r="DF49" s="20"/>
      <c r="DG49" s="20"/>
      <c r="DH49" s="20"/>
      <c r="DI49" s="20"/>
      <c r="DJ49" s="20"/>
      <c r="DK49" s="20"/>
      <c r="DL49" s="20"/>
      <c r="DM49" s="20"/>
      <c r="DN49" s="20"/>
      <c r="DO49" s="20"/>
      <c r="DP49" s="20"/>
      <c r="DQ49" s="20"/>
      <c r="DR49" s="20"/>
      <c r="DS49" s="20"/>
      <c r="DT49" s="20"/>
      <c r="DU49" s="20"/>
      <c r="DV49" s="20"/>
      <c r="DW49" s="20"/>
      <c r="DX49" s="20"/>
      <c r="DY49" s="20"/>
      <c r="DZ49" s="20"/>
      <c r="EA49" s="20"/>
      <c r="EB49" s="20"/>
      <c r="EC49" s="20"/>
      <c r="ED49" s="20"/>
      <c r="EE49" s="20"/>
      <c r="EF49" s="20"/>
      <c r="EG49" s="20"/>
      <c r="EH49" s="20"/>
      <c r="EI49" s="20"/>
      <c r="EJ49" s="20"/>
      <c r="EK49" s="20"/>
      <c r="EL49" s="20"/>
      <c r="EM49" s="20"/>
      <c r="EN49" s="20"/>
      <c r="EO49" s="20"/>
      <c r="EP49" s="20"/>
      <c r="EQ49" s="20"/>
      <c r="ER49" s="20"/>
      <c r="ES49" s="20"/>
      <c r="ET49" s="20"/>
      <c r="EU49" s="20"/>
      <c r="EV49" s="20"/>
      <c r="EW49" s="20"/>
      <c r="EX49" s="20"/>
      <c r="EY49" s="20"/>
      <c r="EZ49" s="20"/>
      <c r="FA49" s="20"/>
      <c r="FB49" s="20"/>
      <c r="FC49" s="20"/>
      <c r="FD49" s="20"/>
      <c r="FE49" s="20"/>
      <c r="FF49" s="20"/>
      <c r="FG49" s="20"/>
      <c r="FH49" s="20"/>
      <c r="FI49" s="20"/>
      <c r="FJ49" s="20"/>
      <c r="FK49" s="20"/>
      <c r="FL49" s="20"/>
      <c r="FM49" s="20"/>
      <c r="FN49" s="20"/>
      <c r="FO49" s="20"/>
      <c r="FP49" s="20"/>
      <c r="FQ49" s="20"/>
      <c r="FR49" s="20"/>
      <c r="FS49" s="20"/>
      <c r="FT49" s="20"/>
      <c r="FU49" s="20"/>
      <c r="FV49" s="20"/>
      <c r="FW49" s="20"/>
      <c r="FX49" s="20"/>
      <c r="FY49" s="20"/>
      <c r="FZ49" s="20"/>
      <c r="GA49" s="20"/>
      <c r="GB49" s="20"/>
      <c r="GC49" s="20"/>
      <c r="GD49" s="20"/>
      <c r="GE49" s="20"/>
      <c r="GF49" s="20"/>
      <c r="GG49" s="20"/>
      <c r="GH49" s="20"/>
      <c r="GI49" s="20"/>
      <c r="GJ49" s="20"/>
      <c r="GK49" s="20"/>
      <c r="GL49" s="20"/>
      <c r="GM49" s="20"/>
      <c r="GN49" s="20"/>
      <c r="GO49" s="20"/>
      <c r="GP49" s="20"/>
      <c r="GQ49" s="20"/>
      <c r="GR49" s="20"/>
      <c r="GS49" s="20"/>
      <c r="GT49" s="20"/>
      <c r="GU49" s="20"/>
      <c r="GV49" s="20"/>
      <c r="GW49" s="20"/>
      <c r="GX49" s="20"/>
      <c r="GY49" s="20"/>
      <c r="GZ49" s="20"/>
      <c r="HA49" s="20"/>
      <c r="HB49" s="20"/>
    </row>
    <row r="50" spans="1:210" s="65" customFormat="1" ht="12.75" customHeight="1">
      <c r="A50" s="23" t="s">
        <v>136</v>
      </c>
      <c r="J50" s="33">
        <v>10964.546999999999</v>
      </c>
      <c r="K50" s="20"/>
      <c r="L50" s="20"/>
      <c r="M50" s="20">
        <v>14389.019</v>
      </c>
      <c r="N50" s="20"/>
      <c r="O50" s="20">
        <v>13309.392390000001</v>
      </c>
      <c r="P50" s="20"/>
      <c r="Q50" s="20"/>
      <c r="R50" s="66">
        <v>20539.706000000002</v>
      </c>
      <c r="S50" s="20">
        <v>24612.198999999997</v>
      </c>
      <c r="T50" s="20">
        <v>24461.64</v>
      </c>
      <c r="U50" s="20">
        <v>21204.111000000001</v>
      </c>
      <c r="V50" s="20">
        <v>20106.171999999999</v>
      </c>
      <c r="W50" s="33">
        <v>26413.659</v>
      </c>
      <c r="X50" s="33">
        <v>28324.328000000001</v>
      </c>
      <c r="Y50" s="33">
        <v>30832.42</v>
      </c>
      <c r="Z50" s="33">
        <v>31185.710999999999</v>
      </c>
      <c r="AA50" s="33">
        <v>33104.019</v>
      </c>
      <c r="AB50" s="33">
        <v>32445.865000000002</v>
      </c>
      <c r="AC50" s="33">
        <v>32164</v>
      </c>
      <c r="AD50" s="20">
        <v>41636.862000000001</v>
      </c>
      <c r="AE50" s="20">
        <v>50587.341999999997</v>
      </c>
      <c r="AF50" s="20">
        <v>50782.302000000003</v>
      </c>
      <c r="AG50" s="20">
        <v>55324.156999999999</v>
      </c>
      <c r="AH50" s="20"/>
      <c r="AI50" s="20"/>
      <c r="AJ50" s="20"/>
      <c r="AK50" s="20"/>
      <c r="AL50" s="20"/>
      <c r="AM50" s="20"/>
      <c r="AN50" s="20"/>
      <c r="AO50" s="20"/>
      <c r="AP50" s="20"/>
      <c r="AQ50" s="20"/>
      <c r="AR50" s="20"/>
      <c r="AS50" s="20"/>
      <c r="AT50" s="20"/>
      <c r="AU50" s="20"/>
      <c r="AV50" s="20"/>
      <c r="AW50" s="20"/>
      <c r="AX50" s="20"/>
      <c r="AY50" s="20"/>
      <c r="AZ50" s="20"/>
      <c r="BA50" s="20"/>
      <c r="BB50" s="20"/>
      <c r="BC50" s="20"/>
      <c r="BD50" s="20"/>
      <c r="BE50" s="20"/>
      <c r="BF50" s="20"/>
      <c r="BG50" s="20"/>
      <c r="BH50" s="20"/>
      <c r="BI50" s="20"/>
      <c r="BJ50" s="20"/>
      <c r="BK50" s="20"/>
      <c r="BL50" s="20"/>
      <c r="BM50" s="20"/>
      <c r="BN50" s="20"/>
      <c r="BO50" s="20"/>
      <c r="BP50" s="20"/>
      <c r="BQ50" s="20"/>
      <c r="BR50" s="20"/>
      <c r="BS50" s="20"/>
      <c r="BT50" s="20"/>
      <c r="BU50" s="20"/>
      <c r="BV50" s="20"/>
      <c r="BW50" s="20"/>
      <c r="BX50" s="20"/>
      <c r="BY50" s="20"/>
      <c r="BZ50" s="20"/>
      <c r="CA50" s="20"/>
      <c r="CB50" s="20"/>
      <c r="CC50" s="20"/>
      <c r="CD50" s="20"/>
      <c r="CE50" s="20"/>
      <c r="CF50" s="20"/>
      <c r="CG50" s="20"/>
      <c r="CH50" s="20"/>
      <c r="CI50" s="20"/>
      <c r="CJ50" s="20"/>
      <c r="CK50" s="20"/>
      <c r="CL50" s="20"/>
      <c r="CM50" s="20"/>
      <c r="CN50" s="20"/>
      <c r="CO50" s="20"/>
      <c r="CP50" s="20"/>
      <c r="CQ50" s="20"/>
      <c r="CR50" s="20"/>
      <c r="CS50" s="20"/>
      <c r="CT50" s="20"/>
      <c r="CU50" s="20"/>
      <c r="CV50" s="20"/>
      <c r="CW50" s="20"/>
      <c r="CX50" s="20"/>
      <c r="CY50" s="20"/>
      <c r="CZ50" s="20"/>
      <c r="DA50" s="20"/>
      <c r="DB50" s="20"/>
      <c r="DC50" s="20"/>
      <c r="DD50" s="20"/>
      <c r="DE50" s="20"/>
      <c r="DF50" s="20"/>
      <c r="DG50" s="20"/>
      <c r="DH50" s="20"/>
      <c r="DI50" s="20"/>
      <c r="DJ50" s="20"/>
      <c r="DK50" s="20"/>
      <c r="DL50" s="20"/>
      <c r="DM50" s="20"/>
      <c r="DN50" s="20"/>
      <c r="DO50" s="20"/>
      <c r="DP50" s="20"/>
      <c r="DQ50" s="20"/>
      <c r="DR50" s="20"/>
      <c r="DS50" s="20"/>
      <c r="DT50" s="20"/>
      <c r="DU50" s="20"/>
      <c r="DV50" s="20"/>
      <c r="DW50" s="20"/>
      <c r="DX50" s="20"/>
      <c r="DY50" s="20"/>
      <c r="DZ50" s="20"/>
      <c r="EA50" s="20"/>
      <c r="EB50" s="20"/>
      <c r="EC50" s="20"/>
      <c r="ED50" s="20"/>
      <c r="EE50" s="20"/>
      <c r="EF50" s="20"/>
      <c r="EG50" s="20"/>
      <c r="EH50" s="20"/>
      <c r="EI50" s="20"/>
      <c r="EJ50" s="20"/>
      <c r="EK50" s="20"/>
      <c r="EL50" s="20"/>
      <c r="EM50" s="20"/>
      <c r="EN50" s="20"/>
      <c r="EO50" s="20"/>
      <c r="EP50" s="20"/>
      <c r="EQ50" s="20"/>
      <c r="ER50" s="20"/>
      <c r="ES50" s="20"/>
      <c r="ET50" s="20"/>
      <c r="EU50" s="20"/>
      <c r="EV50" s="20"/>
      <c r="EW50" s="20"/>
      <c r="EX50" s="20"/>
      <c r="EY50" s="20"/>
      <c r="EZ50" s="20"/>
      <c r="FA50" s="20"/>
      <c r="FB50" s="20"/>
      <c r="FC50" s="20"/>
      <c r="FD50" s="20"/>
      <c r="FE50" s="20"/>
      <c r="FF50" s="20"/>
      <c r="FG50" s="20"/>
      <c r="FH50" s="20"/>
      <c r="FI50" s="20"/>
      <c r="FJ50" s="20"/>
      <c r="FK50" s="20"/>
      <c r="FL50" s="20"/>
      <c r="FM50" s="20"/>
      <c r="FN50" s="20"/>
      <c r="FO50" s="20"/>
      <c r="FP50" s="20"/>
      <c r="FQ50" s="20"/>
      <c r="FR50" s="20"/>
      <c r="FS50" s="20"/>
      <c r="FT50" s="20"/>
      <c r="FU50" s="20"/>
      <c r="FV50" s="20"/>
      <c r="FW50" s="20"/>
      <c r="FX50" s="20"/>
      <c r="FY50" s="20"/>
      <c r="FZ50" s="20"/>
      <c r="GA50" s="20"/>
      <c r="GB50" s="20"/>
      <c r="GC50" s="20"/>
      <c r="GD50" s="20"/>
      <c r="GE50" s="20"/>
      <c r="GF50" s="20"/>
      <c r="GG50" s="20"/>
      <c r="GH50" s="20"/>
      <c r="GI50" s="20"/>
      <c r="GJ50" s="20"/>
      <c r="GK50" s="20"/>
      <c r="GL50" s="20"/>
      <c r="GM50" s="20"/>
      <c r="GN50" s="20"/>
      <c r="GO50" s="20"/>
      <c r="GP50" s="20"/>
      <c r="GQ50" s="20"/>
      <c r="GR50" s="20"/>
      <c r="GS50" s="20"/>
      <c r="GT50" s="20"/>
      <c r="GU50" s="20"/>
      <c r="GV50" s="20"/>
      <c r="GW50" s="20"/>
      <c r="GX50" s="20"/>
      <c r="GY50" s="20"/>
      <c r="GZ50" s="20"/>
      <c r="HA50" s="20"/>
      <c r="HB50" s="20"/>
    </row>
    <row r="51" spans="1:210" s="65" customFormat="1" ht="12.75" customHeight="1">
      <c r="A51" s="94" t="s">
        <v>140</v>
      </c>
      <c r="B51" s="64"/>
      <c r="C51" s="64"/>
      <c r="D51" s="64"/>
      <c r="E51" s="64"/>
      <c r="F51" s="64"/>
      <c r="G51" s="64"/>
      <c r="H51" s="64"/>
      <c r="I51" s="64"/>
      <c r="J51" s="50">
        <v>142396.201</v>
      </c>
      <c r="K51" s="51"/>
      <c r="L51" s="51"/>
      <c r="M51" s="51">
        <v>153100.91800000001</v>
      </c>
      <c r="N51" s="51"/>
      <c r="O51" s="51">
        <v>197990.731</v>
      </c>
      <c r="P51" s="51"/>
      <c r="Q51" s="51"/>
      <c r="R51" s="67">
        <v>269474.40899999999</v>
      </c>
      <c r="S51" s="51">
        <v>287848.09700000001</v>
      </c>
      <c r="T51" s="51">
        <v>286744.51699999999</v>
      </c>
      <c r="U51" s="51">
        <v>346920.09499999997</v>
      </c>
      <c r="V51" s="51">
        <v>362650.46500000003</v>
      </c>
      <c r="W51" s="50">
        <v>430092.91599999997</v>
      </c>
      <c r="X51" s="50">
        <v>418083.77899999998</v>
      </c>
      <c r="Y51" s="50">
        <v>443807.71799999999</v>
      </c>
      <c r="Z51" s="50">
        <v>493493.74599999998</v>
      </c>
      <c r="AA51" s="50">
        <v>507580.84899999999</v>
      </c>
      <c r="AB51" s="50">
        <v>562689.62800000003</v>
      </c>
      <c r="AC51" s="50">
        <v>556029</v>
      </c>
      <c r="AD51" s="51">
        <v>595314.94499999995</v>
      </c>
      <c r="AE51" s="51">
        <v>666195.53200000001</v>
      </c>
      <c r="AF51" s="51">
        <v>606327.85199999996</v>
      </c>
      <c r="AG51" s="51">
        <v>656396.99300000002</v>
      </c>
      <c r="AH51" s="20"/>
      <c r="AI51" s="20"/>
      <c r="AJ51" s="20"/>
      <c r="AK51" s="20"/>
      <c r="AL51" s="20"/>
      <c r="AM51" s="20"/>
      <c r="AN51" s="20"/>
      <c r="AO51" s="20"/>
      <c r="AP51" s="20"/>
      <c r="AQ51" s="20"/>
      <c r="AR51" s="20"/>
      <c r="AS51" s="20"/>
      <c r="AT51" s="20"/>
      <c r="AU51" s="20"/>
      <c r="AV51" s="20"/>
      <c r="AW51" s="20"/>
      <c r="AX51" s="20"/>
      <c r="AY51" s="20"/>
      <c r="AZ51" s="20"/>
      <c r="BA51" s="20"/>
      <c r="BB51" s="20"/>
      <c r="BC51" s="20"/>
      <c r="BD51" s="20"/>
      <c r="BE51" s="20"/>
      <c r="BF51" s="20"/>
      <c r="BG51" s="20"/>
      <c r="BH51" s="20"/>
      <c r="BI51" s="20"/>
      <c r="BJ51" s="20"/>
      <c r="BK51" s="20"/>
      <c r="BL51" s="20"/>
      <c r="BM51" s="20"/>
      <c r="BN51" s="20"/>
      <c r="BO51" s="20"/>
      <c r="BP51" s="20"/>
      <c r="BQ51" s="20"/>
      <c r="BR51" s="20"/>
      <c r="BS51" s="20"/>
      <c r="BT51" s="20"/>
      <c r="BU51" s="20"/>
      <c r="BV51" s="20"/>
      <c r="BW51" s="20"/>
      <c r="BX51" s="20"/>
      <c r="BY51" s="20"/>
      <c r="BZ51" s="20"/>
      <c r="CA51" s="20"/>
      <c r="CB51" s="20"/>
      <c r="CC51" s="20"/>
      <c r="CD51" s="20"/>
      <c r="CE51" s="20"/>
      <c r="CF51" s="20"/>
      <c r="CG51" s="20"/>
      <c r="CH51" s="20"/>
      <c r="CI51" s="20"/>
      <c r="CJ51" s="20"/>
      <c r="CK51" s="20"/>
      <c r="CL51" s="20"/>
      <c r="CM51" s="20"/>
      <c r="CN51" s="20"/>
      <c r="CO51" s="20"/>
      <c r="CP51" s="20"/>
      <c r="CQ51" s="20"/>
      <c r="CR51" s="20"/>
      <c r="CS51" s="20"/>
      <c r="CT51" s="20"/>
      <c r="CU51" s="20"/>
      <c r="CV51" s="20"/>
      <c r="CW51" s="20"/>
      <c r="CX51" s="20"/>
      <c r="CY51" s="20"/>
      <c r="CZ51" s="20"/>
      <c r="DA51" s="20"/>
      <c r="DB51" s="20"/>
      <c r="DC51" s="20"/>
      <c r="DD51" s="20"/>
      <c r="DE51" s="20"/>
      <c r="DF51" s="20"/>
      <c r="DG51" s="20"/>
      <c r="DH51" s="20"/>
      <c r="DI51" s="20"/>
      <c r="DJ51" s="20"/>
      <c r="DK51" s="20"/>
      <c r="DL51" s="20"/>
      <c r="DM51" s="20"/>
      <c r="DN51" s="20"/>
      <c r="DO51" s="20"/>
      <c r="DP51" s="20"/>
      <c r="DQ51" s="20"/>
      <c r="DR51" s="20"/>
      <c r="DS51" s="20"/>
      <c r="DT51" s="20"/>
      <c r="DU51" s="20"/>
      <c r="DV51" s="20"/>
      <c r="DW51" s="20"/>
      <c r="DX51" s="20"/>
      <c r="DY51" s="20"/>
      <c r="DZ51" s="20"/>
      <c r="EA51" s="20"/>
      <c r="EB51" s="20"/>
      <c r="EC51" s="20"/>
      <c r="ED51" s="20"/>
      <c r="EE51" s="20"/>
      <c r="EF51" s="20"/>
      <c r="EG51" s="20"/>
      <c r="EH51" s="20"/>
      <c r="EI51" s="20"/>
      <c r="EJ51" s="20"/>
      <c r="EK51" s="20"/>
      <c r="EL51" s="20"/>
      <c r="EM51" s="20"/>
      <c r="EN51" s="20"/>
      <c r="EO51" s="20"/>
      <c r="EP51" s="20"/>
      <c r="EQ51" s="20"/>
      <c r="ER51" s="20"/>
      <c r="ES51" s="20"/>
      <c r="ET51" s="20"/>
      <c r="EU51" s="20"/>
      <c r="EV51" s="20"/>
      <c r="EW51" s="20"/>
      <c r="EX51" s="20"/>
      <c r="EY51" s="20"/>
      <c r="EZ51" s="20"/>
      <c r="FA51" s="20"/>
      <c r="FB51" s="20"/>
      <c r="FC51" s="20"/>
      <c r="FD51" s="20"/>
      <c r="FE51" s="20"/>
      <c r="FF51" s="20"/>
      <c r="FG51" s="20"/>
      <c r="FH51" s="20"/>
      <c r="FI51" s="20"/>
      <c r="FJ51" s="20"/>
      <c r="FK51" s="20"/>
      <c r="FL51" s="20"/>
      <c r="FM51" s="20"/>
      <c r="FN51" s="20"/>
      <c r="FO51" s="20"/>
      <c r="FP51" s="20"/>
      <c r="FQ51" s="20"/>
      <c r="FR51" s="20"/>
      <c r="FS51" s="20"/>
      <c r="FT51" s="20"/>
      <c r="FU51" s="20"/>
      <c r="FV51" s="20"/>
      <c r="FW51" s="20"/>
      <c r="FX51" s="20"/>
      <c r="FY51" s="20"/>
      <c r="FZ51" s="20"/>
      <c r="GA51" s="20"/>
      <c r="GB51" s="20"/>
      <c r="GC51" s="20"/>
      <c r="GD51" s="20"/>
      <c r="GE51" s="20"/>
      <c r="GF51" s="20"/>
      <c r="GG51" s="20"/>
      <c r="GH51" s="20"/>
      <c r="GI51" s="20"/>
      <c r="GJ51" s="20"/>
      <c r="GK51" s="20"/>
      <c r="GL51" s="20"/>
      <c r="GM51" s="20"/>
      <c r="GN51" s="20"/>
      <c r="GO51" s="20"/>
      <c r="GP51" s="20"/>
      <c r="GQ51" s="20"/>
      <c r="GR51" s="20"/>
      <c r="GS51" s="20"/>
      <c r="GT51" s="20"/>
      <c r="GU51" s="20"/>
      <c r="GV51" s="20"/>
      <c r="GW51" s="20"/>
      <c r="GX51" s="20"/>
      <c r="GY51" s="20"/>
      <c r="GZ51" s="20"/>
      <c r="HA51" s="20"/>
      <c r="HB51" s="20"/>
    </row>
    <row r="52" spans="1:210" s="65" customFormat="1" ht="12.75" customHeight="1">
      <c r="A52" s="84" t="s">
        <v>146</v>
      </c>
      <c r="J52" s="104">
        <f>SUM(J54:J62)</f>
        <v>841389.71800000011</v>
      </c>
      <c r="M52" s="104">
        <f>SUM(M54:M62)</f>
        <v>1019603.8380000001</v>
      </c>
      <c r="O52" s="104">
        <f>SUM(O54:O62)</f>
        <v>1417626.4069999999</v>
      </c>
      <c r="R52" s="104">
        <f t="shared" ref="R52:AG52" si="13">SUM(R54:R62)</f>
        <v>1379004.2660000001</v>
      </c>
      <c r="S52" s="104">
        <f t="shared" si="13"/>
        <v>1485031.5400000003</v>
      </c>
      <c r="T52" s="104">
        <f t="shared" si="13"/>
        <v>1405957.7249999999</v>
      </c>
      <c r="U52" s="104">
        <f t="shared" si="13"/>
        <v>1336840.0430000001</v>
      </c>
      <c r="V52" s="104">
        <f t="shared" si="13"/>
        <v>1543265.3529999999</v>
      </c>
      <c r="W52" s="104">
        <f t="shared" si="13"/>
        <v>1690182.959</v>
      </c>
      <c r="X52" s="104">
        <f t="shared" si="13"/>
        <v>1837893.2169999997</v>
      </c>
      <c r="Y52" s="104">
        <f t="shared" si="13"/>
        <v>1948480.2149999999</v>
      </c>
      <c r="Z52" s="104">
        <f t="shared" si="13"/>
        <v>1983569.983</v>
      </c>
      <c r="AA52" s="104">
        <f t="shared" si="13"/>
        <v>1831683.9380000001</v>
      </c>
      <c r="AB52" s="104">
        <f t="shared" si="13"/>
        <v>2170631.4219999998</v>
      </c>
      <c r="AC52" s="104">
        <f t="shared" si="13"/>
        <v>2199124</v>
      </c>
      <c r="AD52" s="104">
        <f t="shared" si="13"/>
        <v>2277440.1159999999</v>
      </c>
      <c r="AE52" s="104">
        <f t="shared" si="13"/>
        <v>2254155.9369999999</v>
      </c>
      <c r="AF52" s="104">
        <f t="shared" si="13"/>
        <v>2401252.932</v>
      </c>
      <c r="AG52" s="104">
        <f t="shared" si="13"/>
        <v>2544311.4710000004</v>
      </c>
      <c r="AH52" s="20"/>
      <c r="AI52" s="20"/>
      <c r="AJ52" s="20"/>
      <c r="AK52" s="20"/>
      <c r="AL52" s="20"/>
      <c r="AM52" s="20"/>
      <c r="AN52" s="20"/>
      <c r="AO52" s="20"/>
      <c r="AP52" s="20"/>
      <c r="AQ52" s="20"/>
      <c r="AR52" s="20"/>
      <c r="AS52" s="20"/>
      <c r="AT52" s="20"/>
      <c r="AU52" s="20"/>
      <c r="AV52" s="20"/>
      <c r="AW52" s="20"/>
      <c r="AX52" s="20"/>
      <c r="AY52" s="20"/>
      <c r="AZ52" s="20"/>
      <c r="BA52" s="20"/>
      <c r="BB52" s="20"/>
      <c r="BC52" s="20"/>
      <c r="BD52" s="20"/>
      <c r="BE52" s="20"/>
      <c r="BF52" s="20"/>
      <c r="BG52" s="20"/>
      <c r="BH52" s="20"/>
      <c r="BI52" s="20"/>
      <c r="BJ52" s="20"/>
      <c r="BK52" s="20"/>
      <c r="BL52" s="20"/>
      <c r="BM52" s="20"/>
      <c r="BN52" s="20"/>
      <c r="BO52" s="20"/>
      <c r="BP52" s="20"/>
      <c r="BQ52" s="20"/>
      <c r="BR52" s="20"/>
      <c r="BS52" s="20"/>
      <c r="BT52" s="20"/>
      <c r="BU52" s="20"/>
      <c r="BV52" s="20"/>
      <c r="BW52" s="20"/>
      <c r="BX52" s="20"/>
      <c r="BY52" s="20"/>
      <c r="BZ52" s="20"/>
      <c r="CA52" s="20"/>
      <c r="CB52" s="20"/>
      <c r="CC52" s="20"/>
      <c r="CD52" s="20"/>
      <c r="CE52" s="20"/>
      <c r="CF52" s="20"/>
      <c r="CG52" s="20"/>
      <c r="CH52" s="20"/>
      <c r="CI52" s="20"/>
      <c r="CJ52" s="20"/>
      <c r="CK52" s="20"/>
      <c r="CL52" s="20"/>
      <c r="CM52" s="20"/>
      <c r="CN52" s="20"/>
      <c r="CO52" s="20"/>
      <c r="CP52" s="20"/>
      <c r="CQ52" s="20"/>
      <c r="CR52" s="20"/>
      <c r="CS52" s="20"/>
      <c r="CT52" s="20"/>
      <c r="CU52" s="20"/>
      <c r="CV52" s="20"/>
      <c r="CW52" s="20"/>
      <c r="CX52" s="20"/>
      <c r="CY52" s="20"/>
      <c r="CZ52" s="20"/>
      <c r="DA52" s="20"/>
      <c r="DB52" s="20"/>
      <c r="DC52" s="20"/>
      <c r="DD52" s="20"/>
      <c r="DE52" s="20"/>
      <c r="DF52" s="20"/>
      <c r="DG52" s="20"/>
      <c r="DH52" s="20"/>
      <c r="DI52" s="20"/>
      <c r="DJ52" s="20"/>
      <c r="DK52" s="20"/>
      <c r="DL52" s="20"/>
      <c r="DM52" s="20"/>
      <c r="DN52" s="20"/>
      <c r="DO52" s="20"/>
      <c r="DP52" s="20"/>
      <c r="DQ52" s="20"/>
      <c r="DR52" s="20"/>
      <c r="DS52" s="20"/>
      <c r="DT52" s="20"/>
      <c r="DU52" s="20"/>
      <c r="DV52" s="20"/>
      <c r="DW52" s="20"/>
      <c r="DX52" s="20"/>
      <c r="DY52" s="20"/>
      <c r="DZ52" s="20"/>
      <c r="EA52" s="20"/>
      <c r="EB52" s="20"/>
      <c r="EC52" s="20"/>
      <c r="ED52" s="20"/>
      <c r="EE52" s="20"/>
      <c r="EF52" s="20"/>
      <c r="EG52" s="20"/>
      <c r="EH52" s="20"/>
      <c r="EI52" s="20"/>
      <c r="EJ52" s="20"/>
      <c r="EK52" s="20"/>
      <c r="EL52" s="20"/>
      <c r="EM52" s="20"/>
      <c r="EN52" s="20"/>
      <c r="EO52" s="20"/>
      <c r="EP52" s="20"/>
      <c r="EQ52" s="20"/>
      <c r="ER52" s="20"/>
      <c r="ES52" s="20"/>
      <c r="ET52" s="20"/>
      <c r="EU52" s="20"/>
      <c r="EV52" s="20"/>
      <c r="EW52" s="20"/>
      <c r="EX52" s="20"/>
      <c r="EY52" s="20"/>
      <c r="EZ52" s="20"/>
      <c r="FA52" s="20"/>
      <c r="FB52" s="20"/>
      <c r="FC52" s="20"/>
      <c r="FD52" s="20"/>
      <c r="FE52" s="20"/>
      <c r="FF52" s="20"/>
      <c r="FG52" s="20"/>
      <c r="FH52" s="20"/>
      <c r="FI52" s="20"/>
      <c r="FJ52" s="20"/>
      <c r="FK52" s="20"/>
      <c r="FL52" s="20"/>
      <c r="FM52" s="20"/>
      <c r="FN52" s="20"/>
      <c r="FO52" s="20"/>
      <c r="FP52" s="20"/>
      <c r="FQ52" s="20"/>
      <c r="FR52" s="20"/>
      <c r="FS52" s="20"/>
      <c r="FT52" s="20"/>
      <c r="FU52" s="20"/>
      <c r="FV52" s="20"/>
      <c r="FW52" s="20"/>
      <c r="FX52" s="20"/>
      <c r="FY52" s="20"/>
      <c r="FZ52" s="20"/>
      <c r="GA52" s="20"/>
      <c r="GB52" s="20"/>
      <c r="GC52" s="20"/>
      <c r="GD52" s="20"/>
      <c r="GE52" s="20"/>
      <c r="GF52" s="20"/>
      <c r="GG52" s="20"/>
      <c r="GH52" s="20"/>
      <c r="GI52" s="20"/>
      <c r="GJ52" s="20"/>
      <c r="GK52" s="20"/>
      <c r="GL52" s="20"/>
      <c r="GM52" s="20"/>
      <c r="GN52" s="20"/>
      <c r="GO52" s="20"/>
      <c r="GP52" s="20"/>
      <c r="GQ52" s="20"/>
      <c r="GR52" s="20"/>
      <c r="GS52" s="20"/>
      <c r="GT52" s="20"/>
      <c r="GU52" s="20"/>
      <c r="GV52" s="20"/>
      <c r="GW52" s="20"/>
      <c r="GX52" s="20"/>
      <c r="GY52" s="20"/>
      <c r="GZ52" s="20"/>
      <c r="HA52" s="20"/>
      <c r="HB52" s="20"/>
    </row>
    <row r="53" spans="1:210" s="65" customFormat="1" ht="12.75" customHeight="1">
      <c r="A53" s="84" t="s">
        <v>143</v>
      </c>
      <c r="W53" s="91"/>
      <c r="X53" s="91"/>
      <c r="Y53" s="91"/>
      <c r="Z53" s="91"/>
      <c r="AA53" s="91">
        <v>0</v>
      </c>
      <c r="AB53" s="91"/>
      <c r="AC53" s="91"/>
      <c r="AF53" s="20"/>
      <c r="AG53" s="20"/>
      <c r="AH53" s="20"/>
      <c r="AI53" s="20"/>
      <c r="AJ53" s="20"/>
      <c r="AK53" s="20"/>
      <c r="AL53" s="20"/>
      <c r="AM53" s="20"/>
      <c r="AN53" s="20"/>
      <c r="AO53" s="20"/>
      <c r="AP53" s="20"/>
      <c r="AQ53" s="20"/>
      <c r="AR53" s="20"/>
      <c r="AS53" s="20"/>
      <c r="AT53" s="20"/>
      <c r="AU53" s="20"/>
      <c r="AV53" s="20"/>
      <c r="AW53" s="20"/>
      <c r="AX53" s="20"/>
      <c r="AY53" s="20"/>
      <c r="AZ53" s="20"/>
      <c r="BA53" s="20"/>
      <c r="BB53" s="20"/>
      <c r="BC53" s="20"/>
      <c r="BD53" s="20"/>
      <c r="BE53" s="20"/>
      <c r="BF53" s="20"/>
      <c r="BG53" s="20"/>
      <c r="BH53" s="20"/>
      <c r="BI53" s="20"/>
      <c r="BJ53" s="20"/>
      <c r="BK53" s="20"/>
      <c r="BL53" s="20"/>
      <c r="BM53" s="20"/>
      <c r="BN53" s="20"/>
      <c r="BO53" s="20"/>
      <c r="BP53" s="20"/>
      <c r="BQ53" s="20"/>
      <c r="BR53" s="20"/>
      <c r="BS53" s="20"/>
      <c r="BT53" s="20"/>
      <c r="BU53" s="20"/>
      <c r="BV53" s="20"/>
      <c r="BW53" s="20"/>
      <c r="BX53" s="20"/>
      <c r="BY53" s="20"/>
      <c r="BZ53" s="20"/>
      <c r="CA53" s="20"/>
      <c r="CB53" s="20"/>
      <c r="CC53" s="20"/>
      <c r="CD53" s="20"/>
      <c r="CE53" s="20"/>
      <c r="CF53" s="20"/>
      <c r="CG53" s="20"/>
      <c r="CH53" s="20"/>
      <c r="CI53" s="20"/>
      <c r="CJ53" s="20"/>
      <c r="CK53" s="20"/>
      <c r="CL53" s="20"/>
      <c r="CM53" s="20"/>
      <c r="CN53" s="20"/>
      <c r="CO53" s="20"/>
      <c r="CP53" s="20"/>
      <c r="CQ53" s="20"/>
      <c r="CR53" s="20"/>
      <c r="CS53" s="20"/>
      <c r="CT53" s="20"/>
      <c r="CU53" s="20"/>
      <c r="CV53" s="20"/>
      <c r="CW53" s="20"/>
      <c r="CX53" s="20"/>
      <c r="CY53" s="20"/>
      <c r="CZ53" s="20"/>
      <c r="DA53" s="20"/>
      <c r="DB53" s="20"/>
      <c r="DC53" s="20"/>
      <c r="DD53" s="20"/>
      <c r="DE53" s="20"/>
      <c r="DF53" s="20"/>
      <c r="DG53" s="20"/>
      <c r="DH53" s="20"/>
      <c r="DI53" s="20"/>
      <c r="DJ53" s="20"/>
      <c r="DK53" s="20"/>
      <c r="DL53" s="20"/>
      <c r="DM53" s="20"/>
      <c r="DN53" s="20"/>
      <c r="DO53" s="20"/>
      <c r="DP53" s="20"/>
      <c r="DQ53" s="20"/>
      <c r="DR53" s="20"/>
      <c r="DS53" s="20"/>
      <c r="DT53" s="20"/>
      <c r="DU53" s="20"/>
      <c r="DV53" s="20"/>
      <c r="DW53" s="20"/>
      <c r="DX53" s="20"/>
      <c r="DY53" s="20"/>
      <c r="DZ53" s="20"/>
      <c r="EA53" s="20"/>
      <c r="EB53" s="20"/>
      <c r="EC53" s="20"/>
      <c r="ED53" s="20"/>
      <c r="EE53" s="20"/>
      <c r="EF53" s="20"/>
      <c r="EG53" s="20"/>
      <c r="EH53" s="20"/>
      <c r="EI53" s="20"/>
      <c r="EJ53" s="20"/>
      <c r="EK53" s="20"/>
      <c r="EL53" s="20"/>
      <c r="EM53" s="20"/>
      <c r="EN53" s="20"/>
      <c r="EO53" s="20"/>
      <c r="EP53" s="20"/>
      <c r="EQ53" s="20"/>
      <c r="ER53" s="20"/>
      <c r="ES53" s="20"/>
      <c r="ET53" s="20"/>
      <c r="EU53" s="20"/>
      <c r="EV53" s="20"/>
      <c r="EW53" s="20"/>
      <c r="EX53" s="20"/>
      <c r="EY53" s="20"/>
      <c r="EZ53" s="20"/>
      <c r="FA53" s="20"/>
      <c r="FB53" s="20"/>
      <c r="FC53" s="20"/>
      <c r="FD53" s="20"/>
      <c r="FE53" s="20"/>
      <c r="FF53" s="20"/>
      <c r="FG53" s="20"/>
      <c r="FH53" s="20"/>
      <c r="FI53" s="20"/>
      <c r="FJ53" s="20"/>
      <c r="FK53" s="20"/>
      <c r="FL53" s="20"/>
      <c r="FM53" s="20"/>
      <c r="FN53" s="20"/>
      <c r="FO53" s="20"/>
      <c r="FP53" s="20"/>
      <c r="FQ53" s="20"/>
      <c r="FR53" s="20"/>
      <c r="FS53" s="20"/>
      <c r="FT53" s="20"/>
      <c r="FU53" s="20"/>
      <c r="FV53" s="20"/>
      <c r="FW53" s="20"/>
      <c r="FX53" s="20"/>
      <c r="FY53" s="20"/>
      <c r="FZ53" s="20"/>
      <c r="GA53" s="20"/>
      <c r="GB53" s="20"/>
      <c r="GC53" s="20"/>
      <c r="GD53" s="20"/>
      <c r="GE53" s="20"/>
      <c r="GF53" s="20"/>
      <c r="GG53" s="20"/>
      <c r="GH53" s="20"/>
      <c r="GI53" s="20"/>
      <c r="GJ53" s="20"/>
      <c r="GK53" s="20"/>
      <c r="GL53" s="20"/>
      <c r="GM53" s="20"/>
      <c r="GN53" s="20"/>
      <c r="GO53" s="20"/>
      <c r="GP53" s="20"/>
      <c r="GQ53" s="20"/>
      <c r="GR53" s="20"/>
      <c r="GS53" s="20"/>
      <c r="GT53" s="20"/>
      <c r="GU53" s="20"/>
      <c r="GV53" s="20"/>
      <c r="GW53" s="20"/>
      <c r="GX53" s="20"/>
      <c r="GY53" s="20"/>
      <c r="GZ53" s="20"/>
      <c r="HA53" s="20"/>
      <c r="HB53" s="20"/>
    </row>
    <row r="54" spans="1:210" s="65" customFormat="1" ht="12.75" customHeight="1">
      <c r="A54" s="23" t="s">
        <v>113</v>
      </c>
      <c r="J54" s="33">
        <v>40247.892999999996</v>
      </c>
      <c r="K54" s="20"/>
      <c r="L54" s="20"/>
      <c r="M54" s="65">
        <v>56916.11</v>
      </c>
      <c r="N54" s="20"/>
      <c r="O54" s="20">
        <v>48766.284</v>
      </c>
      <c r="P54" s="20"/>
      <c r="Q54" s="20"/>
      <c r="R54" s="66">
        <v>66989.266999999993</v>
      </c>
      <c r="S54" s="20">
        <v>70062.957999999999</v>
      </c>
      <c r="T54" s="20">
        <v>50653.561000000002</v>
      </c>
      <c r="U54" s="20">
        <v>83548.573000000004</v>
      </c>
      <c r="V54" s="20">
        <v>96823.828999999998</v>
      </c>
      <c r="W54" s="33">
        <v>76590.342000000004</v>
      </c>
      <c r="X54" s="33">
        <v>135761.29</v>
      </c>
      <c r="Y54" s="33">
        <v>94641.993000000002</v>
      </c>
      <c r="Z54" s="33">
        <v>131342.27100000001</v>
      </c>
      <c r="AA54" s="33">
        <v>109546.886</v>
      </c>
      <c r="AB54" s="33">
        <v>104099.249</v>
      </c>
      <c r="AC54" s="33">
        <v>107330</v>
      </c>
      <c r="AD54" s="20">
        <v>113549.808</v>
      </c>
      <c r="AE54" s="20">
        <v>146600.326</v>
      </c>
      <c r="AF54" s="20">
        <v>114827.856</v>
      </c>
      <c r="AG54" s="20">
        <v>135735.67600000001</v>
      </c>
      <c r="AH54" s="20"/>
      <c r="AI54" s="20"/>
      <c r="AJ54" s="20"/>
      <c r="AK54" s="20"/>
      <c r="AL54" s="20"/>
      <c r="AM54" s="20"/>
      <c r="AN54" s="20"/>
      <c r="AO54" s="20"/>
      <c r="AP54" s="20"/>
      <c r="AQ54" s="20"/>
      <c r="AR54" s="20"/>
      <c r="AS54" s="20"/>
      <c r="AT54" s="20"/>
      <c r="AU54" s="20"/>
      <c r="AV54" s="20"/>
      <c r="AW54" s="20"/>
      <c r="AX54" s="20"/>
      <c r="AY54" s="20"/>
      <c r="AZ54" s="20"/>
      <c r="BA54" s="20"/>
      <c r="BB54" s="20"/>
      <c r="BC54" s="20"/>
      <c r="BD54" s="20"/>
      <c r="BE54" s="20"/>
      <c r="BF54" s="20"/>
      <c r="BG54" s="20"/>
      <c r="BH54" s="20"/>
      <c r="BI54" s="20"/>
      <c r="BJ54" s="20"/>
      <c r="BK54" s="20"/>
      <c r="BL54" s="20"/>
      <c r="BM54" s="20"/>
      <c r="BN54" s="20"/>
      <c r="BO54" s="20"/>
      <c r="BP54" s="20"/>
      <c r="BQ54" s="20"/>
      <c r="BR54" s="20"/>
      <c r="BS54" s="20"/>
      <c r="BT54" s="20"/>
      <c r="BU54" s="20"/>
      <c r="BV54" s="20"/>
      <c r="BW54" s="20"/>
      <c r="BX54" s="20"/>
      <c r="BY54" s="20"/>
      <c r="BZ54" s="20"/>
      <c r="CA54" s="20"/>
      <c r="CB54" s="20"/>
      <c r="CC54" s="20"/>
      <c r="CD54" s="20"/>
      <c r="CE54" s="20"/>
      <c r="CF54" s="20"/>
      <c r="CG54" s="20"/>
      <c r="CH54" s="20"/>
      <c r="CI54" s="20"/>
      <c r="CJ54" s="20"/>
      <c r="CK54" s="20"/>
      <c r="CL54" s="20"/>
      <c r="CM54" s="20"/>
      <c r="CN54" s="20"/>
      <c r="CO54" s="20"/>
      <c r="CP54" s="20"/>
      <c r="CQ54" s="20"/>
      <c r="CR54" s="20"/>
      <c r="CS54" s="20"/>
      <c r="CT54" s="20"/>
      <c r="CU54" s="20"/>
      <c r="CV54" s="20"/>
      <c r="CW54" s="20"/>
      <c r="CX54" s="20"/>
      <c r="CY54" s="20"/>
      <c r="CZ54" s="20"/>
      <c r="DA54" s="20"/>
      <c r="DB54" s="20"/>
      <c r="DC54" s="20"/>
      <c r="DD54" s="20"/>
      <c r="DE54" s="20"/>
      <c r="DF54" s="20"/>
      <c r="DG54" s="20"/>
      <c r="DH54" s="20"/>
      <c r="DI54" s="20"/>
      <c r="DJ54" s="20"/>
      <c r="DK54" s="20"/>
      <c r="DL54" s="20"/>
      <c r="DM54" s="20"/>
      <c r="DN54" s="20"/>
      <c r="DO54" s="20"/>
      <c r="DP54" s="20"/>
      <c r="DQ54" s="20"/>
      <c r="DR54" s="20"/>
      <c r="DS54" s="20"/>
      <c r="DT54" s="20"/>
      <c r="DU54" s="20"/>
      <c r="DV54" s="20"/>
      <c r="DW54" s="20"/>
      <c r="DX54" s="20"/>
      <c r="DY54" s="20"/>
      <c r="DZ54" s="20"/>
      <c r="EA54" s="20"/>
      <c r="EB54" s="20"/>
      <c r="EC54" s="20"/>
      <c r="ED54" s="20"/>
      <c r="EE54" s="20"/>
      <c r="EF54" s="20"/>
      <c r="EG54" s="20"/>
      <c r="EH54" s="20"/>
      <c r="EI54" s="20"/>
      <c r="EJ54" s="20"/>
      <c r="EK54" s="20"/>
      <c r="EL54" s="20"/>
      <c r="EM54" s="20"/>
      <c r="EN54" s="20"/>
      <c r="EO54" s="20"/>
      <c r="EP54" s="20"/>
      <c r="EQ54" s="20"/>
      <c r="ER54" s="20"/>
      <c r="ES54" s="20"/>
      <c r="ET54" s="20"/>
      <c r="EU54" s="20"/>
      <c r="EV54" s="20"/>
      <c r="EW54" s="20"/>
      <c r="EX54" s="20"/>
      <c r="EY54" s="20"/>
      <c r="EZ54" s="20"/>
      <c r="FA54" s="20"/>
      <c r="FB54" s="20"/>
      <c r="FC54" s="20"/>
      <c r="FD54" s="20"/>
      <c r="FE54" s="20"/>
      <c r="FF54" s="20"/>
      <c r="FG54" s="20"/>
      <c r="FH54" s="20"/>
      <c r="FI54" s="20"/>
      <c r="FJ54" s="20"/>
      <c r="FK54" s="20"/>
      <c r="FL54" s="20"/>
      <c r="FM54" s="20"/>
      <c r="FN54" s="20"/>
      <c r="FO54" s="20"/>
      <c r="FP54" s="20"/>
      <c r="FQ54" s="20"/>
      <c r="FR54" s="20"/>
      <c r="FS54" s="20"/>
      <c r="FT54" s="20"/>
      <c r="FU54" s="20"/>
      <c r="FV54" s="20"/>
      <c r="FW54" s="20"/>
      <c r="FX54" s="20"/>
      <c r="FY54" s="20"/>
      <c r="FZ54" s="20"/>
      <c r="GA54" s="20"/>
      <c r="GB54" s="20"/>
      <c r="GC54" s="20"/>
      <c r="GD54" s="20"/>
      <c r="GE54" s="20"/>
      <c r="GF54" s="20"/>
      <c r="GG54" s="20"/>
      <c r="GH54" s="20"/>
      <c r="GI54" s="20"/>
      <c r="GJ54" s="20"/>
      <c r="GK54" s="20"/>
      <c r="GL54" s="20"/>
      <c r="GM54" s="20"/>
      <c r="GN54" s="20"/>
      <c r="GO54" s="20"/>
      <c r="GP54" s="20"/>
      <c r="GQ54" s="20"/>
      <c r="GR54" s="20"/>
      <c r="GS54" s="20"/>
      <c r="GT54" s="20"/>
      <c r="GU54" s="20"/>
      <c r="GV54" s="20"/>
      <c r="GW54" s="20"/>
      <c r="GX54" s="20"/>
      <c r="GY54" s="20"/>
      <c r="GZ54" s="20"/>
      <c r="HA54" s="20"/>
      <c r="HB54" s="20"/>
    </row>
    <row r="55" spans="1:210" s="65" customFormat="1" ht="12.75" customHeight="1">
      <c r="A55" s="23" t="s">
        <v>120</v>
      </c>
      <c r="J55" s="33">
        <v>21464.11</v>
      </c>
      <c r="K55" s="20"/>
      <c r="L55" s="20"/>
      <c r="M55" s="20">
        <v>27754.421999999999</v>
      </c>
      <c r="N55" s="20"/>
      <c r="O55" s="20">
        <v>37684.437000000005</v>
      </c>
      <c r="P55" s="20"/>
      <c r="Q55" s="20"/>
      <c r="R55" s="66">
        <v>47117.127</v>
      </c>
      <c r="S55" s="20">
        <v>54062.54</v>
      </c>
      <c r="T55" s="20">
        <v>56352.218999999997</v>
      </c>
      <c r="U55" s="20">
        <v>58025.034</v>
      </c>
      <c r="V55" s="20">
        <v>60818.826999999997</v>
      </c>
      <c r="W55" s="33">
        <v>66480.596999999994</v>
      </c>
      <c r="X55" s="33">
        <v>66627.881999999998</v>
      </c>
      <c r="Y55" s="33">
        <v>66297.512000000002</v>
      </c>
      <c r="Z55" s="33">
        <v>70477.222999999998</v>
      </c>
      <c r="AA55" s="33">
        <v>76652.084000000003</v>
      </c>
      <c r="AB55" s="33">
        <v>71667.633000000002</v>
      </c>
      <c r="AC55" s="33">
        <v>71170</v>
      </c>
      <c r="AD55" s="20">
        <v>64879.834999999999</v>
      </c>
      <c r="AE55" s="20">
        <v>51086.214999999997</v>
      </c>
      <c r="AF55" s="20">
        <v>49300.196000000004</v>
      </c>
      <c r="AG55" s="20">
        <v>52331.381999999998</v>
      </c>
      <c r="AH55" s="20"/>
      <c r="AI55" s="20"/>
      <c r="AJ55" s="20"/>
      <c r="AK55" s="20"/>
      <c r="AL55" s="20"/>
      <c r="AM55" s="20"/>
      <c r="AN55" s="20"/>
      <c r="AO55" s="20"/>
      <c r="AP55" s="20"/>
      <c r="AQ55" s="20"/>
      <c r="AR55" s="20"/>
      <c r="AS55" s="20"/>
      <c r="AT55" s="20"/>
      <c r="AU55" s="20"/>
      <c r="AV55" s="20"/>
      <c r="AW55" s="20"/>
      <c r="AX55" s="20"/>
      <c r="AY55" s="20"/>
      <c r="AZ55" s="20"/>
      <c r="BA55" s="20"/>
      <c r="BB55" s="20"/>
      <c r="BC55" s="20"/>
      <c r="BD55" s="20"/>
      <c r="BE55" s="20"/>
      <c r="BF55" s="20"/>
      <c r="BG55" s="20"/>
      <c r="BH55" s="20"/>
      <c r="BI55" s="20"/>
      <c r="BJ55" s="20"/>
      <c r="BK55" s="20"/>
      <c r="BL55" s="20"/>
      <c r="BM55" s="20"/>
      <c r="BN55" s="20"/>
      <c r="BO55" s="20"/>
      <c r="BP55" s="20"/>
      <c r="BQ55" s="20"/>
      <c r="BR55" s="20"/>
      <c r="BS55" s="20"/>
      <c r="BT55" s="20"/>
      <c r="BU55" s="20"/>
      <c r="BV55" s="20"/>
      <c r="BW55" s="20"/>
      <c r="BX55" s="20"/>
      <c r="BY55" s="20"/>
      <c r="BZ55" s="20"/>
      <c r="CA55" s="20"/>
      <c r="CB55" s="20"/>
      <c r="CC55" s="20"/>
      <c r="CD55" s="20"/>
      <c r="CE55" s="20"/>
      <c r="CF55" s="20"/>
      <c r="CG55" s="20"/>
      <c r="CH55" s="20"/>
      <c r="CI55" s="20"/>
      <c r="CJ55" s="20"/>
      <c r="CK55" s="20"/>
      <c r="CL55" s="20"/>
      <c r="CM55" s="20"/>
      <c r="CN55" s="20"/>
      <c r="CO55" s="20"/>
      <c r="CP55" s="20"/>
      <c r="CQ55" s="20"/>
      <c r="CR55" s="20"/>
      <c r="CS55" s="20"/>
      <c r="CT55" s="20"/>
      <c r="CU55" s="20"/>
      <c r="CV55" s="20"/>
      <c r="CW55" s="20"/>
      <c r="CX55" s="20"/>
      <c r="CY55" s="20"/>
      <c r="CZ55" s="20"/>
      <c r="DA55" s="20"/>
      <c r="DB55" s="20"/>
      <c r="DC55" s="20"/>
      <c r="DD55" s="20"/>
      <c r="DE55" s="20"/>
      <c r="DF55" s="20"/>
      <c r="DG55" s="20"/>
      <c r="DH55" s="20"/>
      <c r="DI55" s="20"/>
      <c r="DJ55" s="20"/>
      <c r="DK55" s="20"/>
      <c r="DL55" s="20"/>
      <c r="DM55" s="20"/>
      <c r="DN55" s="20"/>
      <c r="DO55" s="20"/>
      <c r="DP55" s="20"/>
      <c r="DQ55" s="20"/>
      <c r="DR55" s="20"/>
      <c r="DS55" s="20"/>
      <c r="DT55" s="20"/>
      <c r="DU55" s="20"/>
      <c r="DV55" s="20"/>
      <c r="DW55" s="20"/>
      <c r="DX55" s="20"/>
      <c r="DY55" s="20"/>
      <c r="DZ55" s="20"/>
      <c r="EA55" s="20"/>
      <c r="EB55" s="20"/>
      <c r="EC55" s="20"/>
      <c r="ED55" s="20"/>
      <c r="EE55" s="20"/>
      <c r="EF55" s="20"/>
      <c r="EG55" s="20"/>
      <c r="EH55" s="20"/>
      <c r="EI55" s="20"/>
      <c r="EJ55" s="20"/>
      <c r="EK55" s="20"/>
      <c r="EL55" s="20"/>
      <c r="EM55" s="20"/>
      <c r="EN55" s="20"/>
      <c r="EO55" s="20"/>
      <c r="EP55" s="20"/>
      <c r="EQ55" s="20"/>
      <c r="ER55" s="20"/>
      <c r="ES55" s="20"/>
      <c r="ET55" s="20"/>
      <c r="EU55" s="20"/>
      <c r="EV55" s="20"/>
      <c r="EW55" s="20"/>
      <c r="EX55" s="20"/>
      <c r="EY55" s="20"/>
      <c r="EZ55" s="20"/>
      <c r="FA55" s="20"/>
      <c r="FB55" s="20"/>
      <c r="FC55" s="20"/>
      <c r="FD55" s="20"/>
      <c r="FE55" s="20"/>
      <c r="FF55" s="20"/>
      <c r="FG55" s="20"/>
      <c r="FH55" s="20"/>
      <c r="FI55" s="20"/>
      <c r="FJ55" s="20"/>
      <c r="FK55" s="20"/>
      <c r="FL55" s="20"/>
      <c r="FM55" s="20"/>
      <c r="FN55" s="20"/>
      <c r="FO55" s="20"/>
      <c r="FP55" s="20"/>
      <c r="FQ55" s="20"/>
      <c r="FR55" s="20"/>
      <c r="FS55" s="20"/>
      <c r="FT55" s="20"/>
      <c r="FU55" s="20"/>
      <c r="FV55" s="20"/>
      <c r="FW55" s="20"/>
      <c r="FX55" s="20"/>
      <c r="FY55" s="20"/>
      <c r="FZ55" s="20"/>
      <c r="GA55" s="20"/>
      <c r="GB55" s="20"/>
      <c r="GC55" s="20"/>
      <c r="GD55" s="20"/>
      <c r="GE55" s="20"/>
      <c r="GF55" s="20"/>
      <c r="GG55" s="20"/>
      <c r="GH55" s="20"/>
      <c r="GI55" s="20"/>
      <c r="GJ55" s="20"/>
      <c r="GK55" s="20"/>
      <c r="GL55" s="20"/>
      <c r="GM55" s="20"/>
      <c r="GN55" s="20"/>
      <c r="GO55" s="20"/>
      <c r="GP55" s="20"/>
      <c r="GQ55" s="20"/>
      <c r="GR55" s="20"/>
      <c r="GS55" s="20"/>
      <c r="GT55" s="20"/>
      <c r="GU55" s="20"/>
      <c r="GV55" s="20"/>
      <c r="GW55" s="20"/>
      <c r="GX55" s="20"/>
      <c r="GY55" s="20"/>
      <c r="GZ55" s="20"/>
      <c r="HA55" s="20"/>
      <c r="HB55" s="20"/>
    </row>
    <row r="56" spans="1:210" s="65" customFormat="1" ht="12.75" customHeight="1">
      <c r="A56" s="23" t="s">
        <v>121</v>
      </c>
      <c r="J56" s="33">
        <v>71685.239000000001</v>
      </c>
      <c r="K56" s="20"/>
      <c r="L56" s="20"/>
      <c r="M56" s="20">
        <v>84776.8</v>
      </c>
      <c r="N56" s="20"/>
      <c r="O56" s="20">
        <v>97291.931000000011</v>
      </c>
      <c r="P56" s="20"/>
      <c r="Q56" s="20"/>
      <c r="R56" s="66">
        <v>129067.80900000001</v>
      </c>
      <c r="S56" s="20">
        <v>146135.96399999998</v>
      </c>
      <c r="T56" s="20">
        <v>146967.41899999999</v>
      </c>
      <c r="U56" s="20">
        <v>144163.81899999999</v>
      </c>
      <c r="V56" s="20">
        <v>153972.59899999999</v>
      </c>
      <c r="W56" s="33">
        <v>170368.06700000001</v>
      </c>
      <c r="X56" s="33">
        <v>187850.89300000001</v>
      </c>
      <c r="Y56" s="33">
        <v>197002.33</v>
      </c>
      <c r="Z56" s="33">
        <v>215978.70199999999</v>
      </c>
      <c r="AA56" s="33">
        <v>129918.65399999999</v>
      </c>
      <c r="AB56" s="33">
        <v>216890.52600000001</v>
      </c>
      <c r="AC56" s="33">
        <v>218449</v>
      </c>
      <c r="AD56" s="20">
        <v>221632.89799999999</v>
      </c>
      <c r="AE56" s="20">
        <v>225659.84899999999</v>
      </c>
      <c r="AF56" s="20">
        <v>240274.39</v>
      </c>
      <c r="AG56" s="20">
        <v>248522.47500000001</v>
      </c>
      <c r="AH56" s="20"/>
      <c r="AI56" s="20"/>
      <c r="AJ56" s="20"/>
      <c r="AK56" s="20"/>
      <c r="AL56" s="20"/>
      <c r="AM56" s="20"/>
      <c r="AN56" s="20"/>
      <c r="AO56" s="20"/>
      <c r="AP56" s="20"/>
      <c r="AQ56" s="20"/>
      <c r="AR56" s="20"/>
      <c r="AS56" s="20"/>
      <c r="AT56" s="20"/>
      <c r="AU56" s="20"/>
      <c r="AV56" s="20"/>
      <c r="AW56" s="20"/>
      <c r="AX56" s="20"/>
      <c r="AY56" s="20"/>
      <c r="AZ56" s="20"/>
      <c r="BA56" s="20"/>
      <c r="BB56" s="20"/>
      <c r="BC56" s="20"/>
      <c r="BD56" s="20"/>
      <c r="BE56" s="20"/>
      <c r="BF56" s="20"/>
      <c r="BG56" s="20"/>
      <c r="BH56" s="20"/>
      <c r="BI56" s="20"/>
      <c r="BJ56" s="20"/>
      <c r="BK56" s="20"/>
      <c r="BL56" s="20"/>
      <c r="BM56" s="20"/>
      <c r="BN56" s="20"/>
      <c r="BO56" s="20"/>
      <c r="BP56" s="20"/>
      <c r="BQ56" s="20"/>
      <c r="BR56" s="20"/>
      <c r="BS56" s="20"/>
      <c r="BT56" s="20"/>
      <c r="BU56" s="20"/>
      <c r="BV56" s="20"/>
      <c r="BW56" s="20"/>
      <c r="BX56" s="20"/>
      <c r="BY56" s="20"/>
      <c r="BZ56" s="20"/>
      <c r="CA56" s="20"/>
      <c r="CB56" s="20"/>
      <c r="CC56" s="20"/>
      <c r="CD56" s="20"/>
      <c r="CE56" s="20"/>
      <c r="CF56" s="20"/>
      <c r="CG56" s="20"/>
      <c r="CH56" s="20"/>
      <c r="CI56" s="20"/>
      <c r="CJ56" s="20"/>
      <c r="CK56" s="20"/>
      <c r="CL56" s="20"/>
      <c r="CM56" s="20"/>
      <c r="CN56" s="20"/>
      <c r="CO56" s="20"/>
      <c r="CP56" s="20"/>
      <c r="CQ56" s="20"/>
      <c r="CR56" s="20"/>
      <c r="CS56" s="20"/>
      <c r="CT56" s="20"/>
      <c r="CU56" s="20"/>
      <c r="CV56" s="20"/>
      <c r="CW56" s="20"/>
      <c r="CX56" s="20"/>
      <c r="CY56" s="20"/>
      <c r="CZ56" s="20"/>
      <c r="DA56" s="20"/>
      <c r="DB56" s="20"/>
      <c r="DC56" s="20"/>
      <c r="DD56" s="20"/>
      <c r="DE56" s="20"/>
      <c r="DF56" s="20"/>
      <c r="DG56" s="20"/>
      <c r="DH56" s="20"/>
      <c r="DI56" s="20"/>
      <c r="DJ56" s="20"/>
      <c r="DK56" s="20"/>
      <c r="DL56" s="20"/>
      <c r="DM56" s="20"/>
      <c r="DN56" s="20"/>
      <c r="DO56" s="20"/>
      <c r="DP56" s="20"/>
      <c r="DQ56" s="20"/>
      <c r="DR56" s="20"/>
      <c r="DS56" s="20"/>
      <c r="DT56" s="20"/>
      <c r="DU56" s="20"/>
      <c r="DV56" s="20"/>
      <c r="DW56" s="20"/>
      <c r="DX56" s="20"/>
      <c r="DY56" s="20"/>
      <c r="DZ56" s="20"/>
      <c r="EA56" s="20"/>
      <c r="EB56" s="20"/>
      <c r="EC56" s="20"/>
      <c r="ED56" s="20"/>
      <c r="EE56" s="20"/>
      <c r="EF56" s="20"/>
      <c r="EG56" s="20"/>
      <c r="EH56" s="20"/>
      <c r="EI56" s="20"/>
      <c r="EJ56" s="20"/>
      <c r="EK56" s="20"/>
      <c r="EL56" s="20"/>
      <c r="EM56" s="20"/>
      <c r="EN56" s="20"/>
      <c r="EO56" s="20"/>
      <c r="EP56" s="20"/>
      <c r="EQ56" s="20"/>
      <c r="ER56" s="20"/>
      <c r="ES56" s="20"/>
      <c r="ET56" s="20"/>
      <c r="EU56" s="20"/>
      <c r="EV56" s="20"/>
      <c r="EW56" s="20"/>
      <c r="EX56" s="20"/>
      <c r="EY56" s="20"/>
      <c r="EZ56" s="20"/>
      <c r="FA56" s="20"/>
      <c r="FB56" s="20"/>
      <c r="FC56" s="20"/>
      <c r="FD56" s="20"/>
      <c r="FE56" s="20"/>
      <c r="FF56" s="20"/>
      <c r="FG56" s="20"/>
      <c r="FH56" s="20"/>
      <c r="FI56" s="20"/>
      <c r="FJ56" s="20"/>
      <c r="FK56" s="20"/>
      <c r="FL56" s="20"/>
      <c r="FM56" s="20"/>
      <c r="FN56" s="20"/>
      <c r="FO56" s="20"/>
      <c r="FP56" s="20"/>
      <c r="FQ56" s="20"/>
      <c r="FR56" s="20"/>
      <c r="FS56" s="20"/>
      <c r="FT56" s="20"/>
      <c r="FU56" s="20"/>
      <c r="FV56" s="20"/>
      <c r="FW56" s="20"/>
      <c r="FX56" s="20"/>
      <c r="FY56" s="20"/>
      <c r="FZ56" s="20"/>
      <c r="GA56" s="20"/>
      <c r="GB56" s="20"/>
      <c r="GC56" s="20"/>
      <c r="GD56" s="20"/>
      <c r="GE56" s="20"/>
      <c r="GF56" s="20"/>
      <c r="GG56" s="20"/>
      <c r="GH56" s="20"/>
      <c r="GI56" s="20"/>
      <c r="GJ56" s="20"/>
      <c r="GK56" s="20"/>
      <c r="GL56" s="20"/>
      <c r="GM56" s="20"/>
      <c r="GN56" s="20"/>
      <c r="GO56" s="20"/>
      <c r="GP56" s="20"/>
      <c r="GQ56" s="20"/>
      <c r="GR56" s="20"/>
      <c r="GS56" s="20"/>
      <c r="GT56" s="20"/>
      <c r="GU56" s="20"/>
      <c r="GV56" s="20"/>
      <c r="GW56" s="20"/>
      <c r="GX56" s="20"/>
      <c r="GY56" s="20"/>
      <c r="GZ56" s="20"/>
      <c r="HA56" s="20"/>
      <c r="HB56" s="20"/>
    </row>
    <row r="57" spans="1:210" s="65" customFormat="1" ht="12.75" customHeight="1">
      <c r="A57" s="23" t="s">
        <v>127</v>
      </c>
      <c r="J57" s="33">
        <v>18644.948</v>
      </c>
      <c r="K57" s="20"/>
      <c r="L57" s="20"/>
      <c r="M57" s="20">
        <v>27186.124</v>
      </c>
      <c r="N57" s="20"/>
      <c r="O57" s="20">
        <v>28350.627</v>
      </c>
      <c r="P57" s="20"/>
      <c r="Q57" s="20"/>
      <c r="R57" s="92">
        <v>36400.826000000001</v>
      </c>
      <c r="S57" s="20">
        <v>37536.167999999998</v>
      </c>
      <c r="T57" s="20">
        <v>38436.881000000001</v>
      </c>
      <c r="U57" s="20">
        <v>37350.682999999997</v>
      </c>
      <c r="V57" s="20">
        <v>39157.156000000003</v>
      </c>
      <c r="W57" s="33">
        <v>40199.417000000001</v>
      </c>
      <c r="X57" s="33">
        <v>41836.305999999997</v>
      </c>
      <c r="Y57" s="33">
        <v>49916.959999999999</v>
      </c>
      <c r="Z57" s="33">
        <v>53158.972000000002</v>
      </c>
      <c r="AA57" s="33">
        <v>51920.341</v>
      </c>
      <c r="AB57" s="33">
        <v>58159.733999999997</v>
      </c>
      <c r="AC57" s="33">
        <v>74490</v>
      </c>
      <c r="AD57" s="20">
        <v>67684.53</v>
      </c>
      <c r="AE57" s="20">
        <v>64902.150999999998</v>
      </c>
      <c r="AF57" s="20">
        <v>58378.36</v>
      </c>
      <c r="AG57" s="20">
        <v>58859.040999999997</v>
      </c>
      <c r="AH57" s="20"/>
      <c r="AI57" s="20"/>
      <c r="AJ57" s="20"/>
      <c r="AK57" s="20"/>
      <c r="AL57" s="20"/>
      <c r="AM57" s="20"/>
      <c r="AN57" s="20"/>
      <c r="AO57" s="20"/>
      <c r="AP57" s="20"/>
      <c r="AQ57" s="20"/>
      <c r="AR57" s="20"/>
      <c r="AS57" s="20"/>
      <c r="AT57" s="20"/>
      <c r="AU57" s="20"/>
      <c r="AV57" s="20"/>
      <c r="AW57" s="20"/>
      <c r="AX57" s="20"/>
      <c r="AY57" s="20"/>
      <c r="AZ57" s="20"/>
      <c r="BA57" s="20"/>
      <c r="BB57" s="20"/>
      <c r="BC57" s="20"/>
      <c r="BD57" s="20"/>
      <c r="BE57" s="20"/>
      <c r="BF57" s="20"/>
      <c r="BG57" s="20"/>
      <c r="BH57" s="20"/>
      <c r="BI57" s="20"/>
      <c r="BJ57" s="20"/>
      <c r="BK57" s="20"/>
      <c r="BL57" s="20"/>
      <c r="BM57" s="20"/>
      <c r="BN57" s="20"/>
      <c r="BO57" s="20"/>
      <c r="BP57" s="20"/>
      <c r="BQ57" s="20"/>
      <c r="BR57" s="20"/>
      <c r="BS57" s="20"/>
      <c r="BT57" s="20"/>
      <c r="BU57" s="20"/>
      <c r="BV57" s="20"/>
      <c r="BW57" s="20"/>
      <c r="BX57" s="20"/>
      <c r="BY57" s="20"/>
      <c r="BZ57" s="20"/>
      <c r="CA57" s="20"/>
      <c r="CB57" s="20"/>
      <c r="CC57" s="20"/>
      <c r="CD57" s="20"/>
      <c r="CE57" s="20"/>
      <c r="CF57" s="20"/>
      <c r="CG57" s="20"/>
      <c r="CH57" s="20"/>
      <c r="CI57" s="20"/>
      <c r="CJ57" s="20"/>
      <c r="CK57" s="20"/>
      <c r="CL57" s="20"/>
      <c r="CM57" s="20"/>
      <c r="CN57" s="20"/>
      <c r="CO57" s="20"/>
      <c r="CP57" s="20"/>
      <c r="CQ57" s="20"/>
      <c r="CR57" s="20"/>
      <c r="CS57" s="20"/>
      <c r="CT57" s="20"/>
      <c r="CU57" s="20"/>
      <c r="CV57" s="20"/>
      <c r="CW57" s="20"/>
      <c r="CX57" s="20"/>
      <c r="CY57" s="20"/>
      <c r="CZ57" s="20"/>
      <c r="DA57" s="20"/>
      <c r="DB57" s="20"/>
      <c r="DC57" s="20"/>
      <c r="DD57" s="20"/>
      <c r="DE57" s="20"/>
      <c r="DF57" s="20"/>
      <c r="DG57" s="20"/>
      <c r="DH57" s="20"/>
      <c r="DI57" s="20"/>
      <c r="DJ57" s="20"/>
      <c r="DK57" s="20"/>
      <c r="DL57" s="20"/>
      <c r="DM57" s="20"/>
      <c r="DN57" s="20"/>
      <c r="DO57" s="20"/>
      <c r="DP57" s="20"/>
      <c r="DQ57" s="20"/>
      <c r="DR57" s="20"/>
      <c r="DS57" s="20"/>
      <c r="DT57" s="20"/>
      <c r="DU57" s="20"/>
      <c r="DV57" s="20"/>
      <c r="DW57" s="20"/>
      <c r="DX57" s="20"/>
      <c r="DY57" s="20"/>
      <c r="DZ57" s="20"/>
      <c r="EA57" s="20"/>
      <c r="EB57" s="20"/>
      <c r="EC57" s="20"/>
      <c r="ED57" s="20"/>
      <c r="EE57" s="20"/>
      <c r="EF57" s="20"/>
      <c r="EG57" s="20"/>
      <c r="EH57" s="20"/>
      <c r="EI57" s="20"/>
      <c r="EJ57" s="20"/>
      <c r="EK57" s="20"/>
      <c r="EL57" s="20"/>
      <c r="EM57" s="20"/>
      <c r="EN57" s="20"/>
      <c r="EO57" s="20"/>
      <c r="EP57" s="20"/>
      <c r="EQ57" s="20"/>
      <c r="ER57" s="20"/>
      <c r="ES57" s="20"/>
      <c r="ET57" s="20"/>
      <c r="EU57" s="20"/>
      <c r="EV57" s="20"/>
      <c r="EW57" s="20"/>
      <c r="EX57" s="20"/>
      <c r="EY57" s="20"/>
      <c r="EZ57" s="20"/>
      <c r="FA57" s="20"/>
      <c r="FB57" s="20"/>
      <c r="FC57" s="20"/>
      <c r="FD57" s="20"/>
      <c r="FE57" s="20"/>
      <c r="FF57" s="20"/>
      <c r="FG57" s="20"/>
      <c r="FH57" s="20"/>
      <c r="FI57" s="20"/>
      <c r="FJ57" s="20"/>
      <c r="FK57" s="20"/>
      <c r="FL57" s="20"/>
      <c r="FM57" s="20"/>
      <c r="FN57" s="20"/>
      <c r="FO57" s="20"/>
      <c r="FP57" s="20"/>
      <c r="FQ57" s="20"/>
      <c r="FR57" s="20"/>
      <c r="FS57" s="20"/>
      <c r="FT57" s="20"/>
      <c r="FU57" s="20"/>
      <c r="FV57" s="20"/>
      <c r="FW57" s="20"/>
      <c r="FX57" s="20"/>
      <c r="FY57" s="20"/>
      <c r="FZ57" s="20"/>
      <c r="GA57" s="20"/>
      <c r="GB57" s="20"/>
      <c r="GC57" s="20"/>
      <c r="GD57" s="20"/>
      <c r="GE57" s="20"/>
      <c r="GF57" s="20"/>
      <c r="GG57" s="20"/>
      <c r="GH57" s="20"/>
      <c r="GI57" s="20"/>
      <c r="GJ57" s="20"/>
      <c r="GK57" s="20"/>
      <c r="GL57" s="20"/>
      <c r="GM57" s="20"/>
      <c r="GN57" s="20"/>
      <c r="GO57" s="20"/>
      <c r="GP57" s="20"/>
      <c r="GQ57" s="20"/>
      <c r="GR57" s="20"/>
      <c r="GS57" s="20"/>
      <c r="GT57" s="20"/>
      <c r="GU57" s="20"/>
      <c r="GV57" s="20"/>
      <c r="GW57" s="20"/>
      <c r="GX57" s="20"/>
      <c r="GY57" s="20"/>
      <c r="GZ57" s="20"/>
      <c r="HA57" s="20"/>
      <c r="HB57" s="20"/>
    </row>
    <row r="58" spans="1:210" s="65" customFormat="1" ht="12.75" customHeight="1">
      <c r="A58" s="23" t="s">
        <v>128</v>
      </c>
      <c r="J58" s="33">
        <v>93579.430999999997</v>
      </c>
      <c r="K58" s="20"/>
      <c r="L58" s="20"/>
      <c r="M58" s="20">
        <v>111871.74800000001</v>
      </c>
      <c r="N58" s="20"/>
      <c r="O58" s="20">
        <v>220395.45300000001</v>
      </c>
      <c r="P58" s="20"/>
      <c r="Q58" s="20"/>
      <c r="R58" s="92">
        <v>177969.70500000002</v>
      </c>
      <c r="S58" s="20">
        <v>210652.136</v>
      </c>
      <c r="T58" s="20">
        <v>240291.649</v>
      </c>
      <c r="U58" s="20">
        <v>233181.99100000001</v>
      </c>
      <c r="V58" s="20">
        <v>242593.10500000001</v>
      </c>
      <c r="W58" s="33">
        <v>415841.52500000002</v>
      </c>
      <c r="X58" s="33">
        <v>424113.64399999997</v>
      </c>
      <c r="Y58" s="33">
        <v>479622.00099999999</v>
      </c>
      <c r="Z58" s="33">
        <v>496229.962</v>
      </c>
      <c r="AA58" s="33">
        <v>384931.06199999998</v>
      </c>
      <c r="AB58" s="33">
        <v>558286.75800000003</v>
      </c>
      <c r="AC58" s="33">
        <v>555380</v>
      </c>
      <c r="AD58" s="20">
        <v>560017.14500000002</v>
      </c>
      <c r="AE58" s="20">
        <v>414553.84399999998</v>
      </c>
      <c r="AF58" s="20">
        <v>594068.68599999999</v>
      </c>
      <c r="AG58" s="20">
        <v>634842.89300000004</v>
      </c>
      <c r="AH58" s="20"/>
      <c r="AI58" s="20"/>
      <c r="AJ58" s="20"/>
      <c r="AK58" s="20"/>
      <c r="AL58" s="20"/>
      <c r="AM58" s="20"/>
      <c r="AN58" s="20"/>
      <c r="AO58" s="20"/>
      <c r="AP58" s="20"/>
      <c r="AQ58" s="20"/>
      <c r="AR58" s="20"/>
      <c r="AS58" s="20"/>
      <c r="AT58" s="20"/>
      <c r="AU58" s="20"/>
      <c r="AV58" s="20"/>
      <c r="AW58" s="20"/>
      <c r="AX58" s="20"/>
      <c r="AY58" s="20"/>
      <c r="AZ58" s="20"/>
      <c r="BA58" s="20"/>
      <c r="BB58" s="20"/>
      <c r="BC58" s="20"/>
      <c r="BD58" s="20"/>
      <c r="BE58" s="20"/>
      <c r="BF58" s="20"/>
      <c r="BG58" s="20"/>
      <c r="BH58" s="20"/>
      <c r="BI58" s="20"/>
      <c r="BJ58" s="20"/>
      <c r="BK58" s="20"/>
      <c r="BL58" s="20"/>
      <c r="BM58" s="20"/>
      <c r="BN58" s="20"/>
      <c r="BO58" s="20"/>
      <c r="BP58" s="20"/>
      <c r="BQ58" s="20"/>
      <c r="BR58" s="20"/>
      <c r="BS58" s="20"/>
      <c r="BT58" s="20"/>
      <c r="BU58" s="20"/>
      <c r="BV58" s="20"/>
      <c r="BW58" s="20"/>
      <c r="BX58" s="20"/>
      <c r="BY58" s="20"/>
      <c r="BZ58" s="20"/>
      <c r="CA58" s="20"/>
      <c r="CB58" s="20"/>
      <c r="CC58" s="20"/>
      <c r="CD58" s="20"/>
      <c r="CE58" s="20"/>
      <c r="CF58" s="20"/>
      <c r="CG58" s="20"/>
      <c r="CH58" s="20"/>
      <c r="CI58" s="20"/>
      <c r="CJ58" s="20"/>
      <c r="CK58" s="20"/>
      <c r="CL58" s="20"/>
      <c r="CM58" s="20"/>
      <c r="CN58" s="20"/>
      <c r="CO58" s="20"/>
      <c r="CP58" s="20"/>
      <c r="CQ58" s="20"/>
      <c r="CR58" s="20"/>
      <c r="CS58" s="20"/>
      <c r="CT58" s="20"/>
      <c r="CU58" s="20"/>
      <c r="CV58" s="20"/>
      <c r="CW58" s="20"/>
      <c r="CX58" s="20"/>
      <c r="CY58" s="20"/>
      <c r="CZ58" s="20"/>
      <c r="DA58" s="20"/>
      <c r="DB58" s="20"/>
      <c r="DC58" s="20"/>
      <c r="DD58" s="20"/>
      <c r="DE58" s="20"/>
      <c r="DF58" s="20"/>
      <c r="DG58" s="20"/>
      <c r="DH58" s="20"/>
      <c r="DI58" s="20"/>
      <c r="DJ58" s="20"/>
      <c r="DK58" s="20"/>
      <c r="DL58" s="20"/>
      <c r="DM58" s="20"/>
      <c r="DN58" s="20"/>
      <c r="DO58" s="20"/>
      <c r="DP58" s="20"/>
      <c r="DQ58" s="20"/>
      <c r="DR58" s="20"/>
      <c r="DS58" s="20"/>
      <c r="DT58" s="20"/>
      <c r="DU58" s="20"/>
      <c r="DV58" s="20"/>
      <c r="DW58" s="20"/>
      <c r="DX58" s="20"/>
      <c r="DY58" s="20"/>
      <c r="DZ58" s="20"/>
      <c r="EA58" s="20"/>
      <c r="EB58" s="20"/>
      <c r="EC58" s="20"/>
      <c r="ED58" s="20"/>
      <c r="EE58" s="20"/>
      <c r="EF58" s="20"/>
      <c r="EG58" s="20"/>
      <c r="EH58" s="20"/>
      <c r="EI58" s="20"/>
      <c r="EJ58" s="20"/>
      <c r="EK58" s="20"/>
      <c r="EL58" s="20"/>
      <c r="EM58" s="20"/>
      <c r="EN58" s="20"/>
      <c r="EO58" s="20"/>
      <c r="EP58" s="20"/>
      <c r="EQ58" s="20"/>
      <c r="ER58" s="20"/>
      <c r="ES58" s="20"/>
      <c r="ET58" s="20"/>
      <c r="EU58" s="20"/>
      <c r="EV58" s="20"/>
      <c r="EW58" s="20"/>
      <c r="EX58" s="20"/>
      <c r="EY58" s="20"/>
      <c r="EZ58" s="20"/>
      <c r="FA58" s="20"/>
      <c r="FB58" s="20"/>
      <c r="FC58" s="20"/>
      <c r="FD58" s="20"/>
      <c r="FE58" s="20"/>
      <c r="FF58" s="20"/>
      <c r="FG58" s="20"/>
      <c r="FH58" s="20"/>
      <c r="FI58" s="20"/>
      <c r="FJ58" s="20"/>
      <c r="FK58" s="20"/>
      <c r="FL58" s="20"/>
      <c r="FM58" s="20"/>
      <c r="FN58" s="20"/>
      <c r="FO58" s="20"/>
      <c r="FP58" s="20"/>
      <c r="FQ58" s="20"/>
      <c r="FR58" s="20"/>
      <c r="FS58" s="20"/>
      <c r="FT58" s="20"/>
      <c r="FU58" s="20"/>
      <c r="FV58" s="20"/>
      <c r="FW58" s="20"/>
      <c r="FX58" s="20"/>
      <c r="FY58" s="20"/>
      <c r="FZ58" s="20"/>
      <c r="GA58" s="20"/>
      <c r="GB58" s="20"/>
      <c r="GC58" s="20"/>
      <c r="GD58" s="20"/>
      <c r="GE58" s="20"/>
      <c r="GF58" s="20"/>
      <c r="GG58" s="20"/>
      <c r="GH58" s="20"/>
      <c r="GI58" s="20"/>
      <c r="GJ58" s="20"/>
      <c r="GK58" s="20"/>
      <c r="GL58" s="20"/>
      <c r="GM58" s="20"/>
      <c r="GN58" s="20"/>
      <c r="GO58" s="20"/>
      <c r="GP58" s="20"/>
      <c r="GQ58" s="20"/>
      <c r="GR58" s="20"/>
      <c r="GS58" s="20"/>
      <c r="GT58" s="20"/>
      <c r="GU58" s="20"/>
      <c r="GV58" s="20"/>
      <c r="GW58" s="20"/>
      <c r="GX58" s="20"/>
      <c r="GY58" s="20"/>
      <c r="GZ58" s="20"/>
      <c r="HA58" s="20"/>
      <c r="HB58" s="20"/>
    </row>
    <row r="59" spans="1:210" s="65" customFormat="1" ht="12.75" customHeight="1">
      <c r="A59" s="23" t="s">
        <v>130</v>
      </c>
      <c r="J59" s="33">
        <v>338148.092</v>
      </c>
      <c r="K59" s="20"/>
      <c r="L59" s="20"/>
      <c r="M59" s="20">
        <v>398172.163</v>
      </c>
      <c r="N59" s="20"/>
      <c r="O59" s="20">
        <v>575909.28099999996</v>
      </c>
      <c r="P59" s="20"/>
      <c r="Q59" s="20"/>
      <c r="R59" s="92">
        <v>489448.62800000003</v>
      </c>
      <c r="S59" s="20">
        <v>545100.05000000005</v>
      </c>
      <c r="T59" s="20">
        <v>602999.10100000002</v>
      </c>
      <c r="U59" s="20">
        <v>583174.93999999994</v>
      </c>
      <c r="V59" s="20">
        <v>740825.61399999994</v>
      </c>
      <c r="W59" s="33">
        <v>717150.87199999997</v>
      </c>
      <c r="X59" s="33">
        <v>766372.7</v>
      </c>
      <c r="Y59" s="33">
        <v>825789.603</v>
      </c>
      <c r="Z59" s="33">
        <v>782690.63300000003</v>
      </c>
      <c r="AA59" s="33">
        <v>865744.56700000004</v>
      </c>
      <c r="AB59" s="33">
        <v>927657.45700000005</v>
      </c>
      <c r="AC59" s="33">
        <v>942011</v>
      </c>
      <c r="AD59" s="20">
        <v>1003708.915</v>
      </c>
      <c r="AE59" s="20">
        <v>1110747.2009999999</v>
      </c>
      <c r="AF59" s="20">
        <v>1087823.905</v>
      </c>
      <c r="AG59" s="20">
        <v>1164385.5889999999</v>
      </c>
      <c r="AH59" s="20"/>
      <c r="AI59" s="20"/>
      <c r="AJ59" s="20"/>
      <c r="AK59" s="20"/>
      <c r="AL59" s="20"/>
      <c r="AM59" s="20"/>
      <c r="AN59" s="20"/>
      <c r="AO59" s="20"/>
      <c r="AP59" s="20"/>
      <c r="AQ59" s="20"/>
      <c r="AR59" s="20"/>
      <c r="AS59" s="20"/>
      <c r="AT59" s="20"/>
      <c r="AU59" s="20"/>
      <c r="AV59" s="20"/>
      <c r="AW59" s="20"/>
      <c r="AX59" s="20"/>
      <c r="AY59" s="20"/>
      <c r="AZ59" s="20"/>
      <c r="BA59" s="20"/>
      <c r="BB59" s="20"/>
      <c r="BC59" s="20"/>
      <c r="BD59" s="20"/>
      <c r="BE59" s="20"/>
      <c r="BF59" s="20"/>
      <c r="BG59" s="20"/>
      <c r="BH59" s="20"/>
      <c r="BI59" s="20"/>
      <c r="BJ59" s="20"/>
      <c r="BK59" s="20"/>
      <c r="BL59" s="20"/>
      <c r="BM59" s="20"/>
      <c r="BN59" s="20"/>
      <c r="BO59" s="20"/>
      <c r="BP59" s="20"/>
      <c r="BQ59" s="20"/>
      <c r="BR59" s="20"/>
      <c r="BS59" s="20"/>
      <c r="BT59" s="20"/>
      <c r="BU59" s="20"/>
      <c r="BV59" s="20"/>
      <c r="BW59" s="20"/>
      <c r="BX59" s="20"/>
      <c r="BY59" s="20"/>
      <c r="BZ59" s="20"/>
      <c r="CA59" s="20"/>
      <c r="CB59" s="20"/>
      <c r="CC59" s="20"/>
      <c r="CD59" s="20"/>
      <c r="CE59" s="20"/>
      <c r="CF59" s="20"/>
      <c r="CG59" s="20"/>
      <c r="CH59" s="20"/>
      <c r="CI59" s="20"/>
      <c r="CJ59" s="20"/>
      <c r="CK59" s="20"/>
      <c r="CL59" s="20"/>
      <c r="CM59" s="20"/>
      <c r="CN59" s="20"/>
      <c r="CO59" s="20"/>
      <c r="CP59" s="20"/>
      <c r="CQ59" s="20"/>
      <c r="CR59" s="20"/>
      <c r="CS59" s="20"/>
      <c r="CT59" s="20"/>
      <c r="CU59" s="20"/>
      <c r="CV59" s="20"/>
      <c r="CW59" s="20"/>
      <c r="CX59" s="20"/>
      <c r="CY59" s="20"/>
      <c r="CZ59" s="20"/>
      <c r="DA59" s="20"/>
      <c r="DB59" s="20"/>
      <c r="DC59" s="20"/>
      <c r="DD59" s="20"/>
      <c r="DE59" s="20"/>
      <c r="DF59" s="20"/>
      <c r="DG59" s="20"/>
      <c r="DH59" s="20"/>
      <c r="DI59" s="20"/>
      <c r="DJ59" s="20"/>
      <c r="DK59" s="20"/>
      <c r="DL59" s="20"/>
      <c r="DM59" s="20"/>
      <c r="DN59" s="20"/>
      <c r="DO59" s="20"/>
      <c r="DP59" s="20"/>
      <c r="DQ59" s="20"/>
      <c r="DR59" s="20"/>
      <c r="DS59" s="20"/>
      <c r="DT59" s="20"/>
      <c r="DU59" s="20"/>
      <c r="DV59" s="20"/>
      <c r="DW59" s="20"/>
      <c r="DX59" s="20"/>
      <c r="DY59" s="20"/>
      <c r="DZ59" s="20"/>
      <c r="EA59" s="20"/>
      <c r="EB59" s="20"/>
      <c r="EC59" s="20"/>
      <c r="ED59" s="20"/>
      <c r="EE59" s="20"/>
      <c r="EF59" s="20"/>
      <c r="EG59" s="20"/>
      <c r="EH59" s="20"/>
      <c r="EI59" s="20"/>
      <c r="EJ59" s="20"/>
      <c r="EK59" s="20"/>
      <c r="EL59" s="20"/>
      <c r="EM59" s="20"/>
      <c r="EN59" s="20"/>
      <c r="EO59" s="20"/>
      <c r="EP59" s="20"/>
      <c r="EQ59" s="20"/>
      <c r="ER59" s="20"/>
      <c r="ES59" s="20"/>
      <c r="ET59" s="20"/>
      <c r="EU59" s="20"/>
      <c r="EV59" s="20"/>
      <c r="EW59" s="20"/>
      <c r="EX59" s="20"/>
      <c r="EY59" s="20"/>
      <c r="EZ59" s="20"/>
      <c r="FA59" s="20"/>
      <c r="FB59" s="20"/>
      <c r="FC59" s="20"/>
      <c r="FD59" s="20"/>
      <c r="FE59" s="20"/>
      <c r="FF59" s="20"/>
      <c r="FG59" s="20"/>
      <c r="FH59" s="20"/>
      <c r="FI59" s="20"/>
      <c r="FJ59" s="20"/>
      <c r="FK59" s="20"/>
      <c r="FL59" s="20"/>
      <c r="FM59" s="20"/>
      <c r="FN59" s="20"/>
      <c r="FO59" s="20"/>
      <c r="FP59" s="20"/>
      <c r="FQ59" s="20"/>
      <c r="FR59" s="20"/>
      <c r="FS59" s="20"/>
      <c r="FT59" s="20"/>
      <c r="FU59" s="20"/>
      <c r="FV59" s="20"/>
      <c r="FW59" s="20"/>
      <c r="FX59" s="20"/>
      <c r="FY59" s="20"/>
      <c r="FZ59" s="20"/>
      <c r="GA59" s="20"/>
      <c r="GB59" s="20"/>
      <c r="GC59" s="20"/>
      <c r="GD59" s="20"/>
      <c r="GE59" s="20"/>
      <c r="GF59" s="20"/>
      <c r="GG59" s="20"/>
      <c r="GH59" s="20"/>
      <c r="GI59" s="20"/>
      <c r="GJ59" s="20"/>
      <c r="GK59" s="20"/>
      <c r="GL59" s="20"/>
      <c r="GM59" s="20"/>
      <c r="GN59" s="20"/>
      <c r="GO59" s="20"/>
      <c r="GP59" s="20"/>
      <c r="GQ59" s="20"/>
      <c r="GR59" s="20"/>
      <c r="GS59" s="20"/>
      <c r="GT59" s="20"/>
      <c r="GU59" s="20"/>
      <c r="GV59" s="20"/>
      <c r="GW59" s="20"/>
      <c r="GX59" s="20"/>
      <c r="GY59" s="20"/>
      <c r="GZ59" s="20"/>
      <c r="HA59" s="20"/>
      <c r="HB59" s="20"/>
    </row>
    <row r="60" spans="1:210" s="65" customFormat="1" ht="12.75" customHeight="1">
      <c r="A60" s="23" t="s">
        <v>134</v>
      </c>
      <c r="J60" s="33">
        <v>223554.91100000002</v>
      </c>
      <c r="K60" s="20"/>
      <c r="L60" s="20"/>
      <c r="M60" s="20">
        <v>271931.04700000002</v>
      </c>
      <c r="N60" s="20"/>
      <c r="O60" s="20">
        <v>363198.38699999999</v>
      </c>
      <c r="P60" s="20"/>
      <c r="Q60" s="20"/>
      <c r="R60" s="66">
        <v>373587.28</v>
      </c>
      <c r="S60" s="20">
        <v>357544.95499999996</v>
      </c>
      <c r="T60" s="20">
        <v>191410.63</v>
      </c>
      <c r="U60" s="20">
        <v>112830.387</v>
      </c>
      <c r="V60" s="20">
        <v>122414.38499999999</v>
      </c>
      <c r="W60" s="33">
        <v>117747.59600000001</v>
      </c>
      <c r="X60" s="33">
        <v>125168.7</v>
      </c>
      <c r="Y60" s="33">
        <v>142707.859</v>
      </c>
      <c r="Z60" s="33">
        <v>149211.86300000001</v>
      </c>
      <c r="AA60" s="33">
        <v>129642.167</v>
      </c>
      <c r="AB60" s="33">
        <v>138898.85500000001</v>
      </c>
      <c r="AC60" s="33">
        <v>134595</v>
      </c>
      <c r="AD60" s="20">
        <v>148004.79500000001</v>
      </c>
      <c r="AE60" s="20">
        <v>133903.291</v>
      </c>
      <c r="AF60" s="20">
        <v>144363.96900000001</v>
      </c>
      <c r="AG60" s="20">
        <v>138789.038</v>
      </c>
      <c r="AH60" s="20"/>
      <c r="AI60" s="20"/>
      <c r="AJ60" s="20"/>
      <c r="AK60" s="20"/>
      <c r="AL60" s="20"/>
      <c r="AM60" s="20"/>
      <c r="AN60" s="20"/>
      <c r="AO60" s="20"/>
      <c r="AP60" s="20"/>
      <c r="AQ60" s="20"/>
      <c r="AR60" s="20"/>
      <c r="AS60" s="20"/>
      <c r="AT60" s="20"/>
      <c r="AU60" s="20"/>
      <c r="AV60" s="20"/>
      <c r="AW60" s="20"/>
      <c r="AX60" s="20"/>
      <c r="AY60" s="20"/>
      <c r="AZ60" s="20"/>
      <c r="BA60" s="20"/>
      <c r="BB60" s="20"/>
      <c r="BC60" s="20"/>
      <c r="BD60" s="20"/>
      <c r="BE60" s="20"/>
      <c r="BF60" s="20"/>
      <c r="BG60" s="20"/>
      <c r="BH60" s="20"/>
      <c r="BI60" s="20"/>
      <c r="BJ60" s="20"/>
      <c r="BK60" s="20"/>
      <c r="BL60" s="20"/>
      <c r="BM60" s="20"/>
      <c r="BN60" s="20"/>
      <c r="BO60" s="20"/>
      <c r="BP60" s="20"/>
      <c r="BQ60" s="20"/>
      <c r="BR60" s="20"/>
      <c r="BS60" s="20"/>
      <c r="BT60" s="20"/>
      <c r="BU60" s="20"/>
      <c r="BV60" s="20"/>
      <c r="BW60" s="20"/>
      <c r="BX60" s="20"/>
      <c r="BY60" s="20"/>
      <c r="BZ60" s="20"/>
      <c r="CA60" s="20"/>
      <c r="CB60" s="20"/>
      <c r="CC60" s="20"/>
      <c r="CD60" s="20"/>
      <c r="CE60" s="20"/>
      <c r="CF60" s="20"/>
      <c r="CG60" s="20"/>
      <c r="CH60" s="20"/>
      <c r="CI60" s="20"/>
      <c r="CJ60" s="20"/>
      <c r="CK60" s="20"/>
      <c r="CL60" s="20"/>
      <c r="CM60" s="20"/>
      <c r="CN60" s="20"/>
      <c r="CO60" s="20"/>
      <c r="CP60" s="20"/>
      <c r="CQ60" s="20"/>
      <c r="CR60" s="20"/>
      <c r="CS60" s="20"/>
      <c r="CT60" s="20"/>
      <c r="CU60" s="20"/>
      <c r="CV60" s="20"/>
      <c r="CW60" s="20"/>
      <c r="CX60" s="20"/>
      <c r="CY60" s="20"/>
      <c r="CZ60" s="20"/>
      <c r="DA60" s="20"/>
      <c r="DB60" s="20"/>
      <c r="DC60" s="20"/>
      <c r="DD60" s="20"/>
      <c r="DE60" s="20"/>
      <c r="DF60" s="20"/>
      <c r="DG60" s="20"/>
      <c r="DH60" s="20"/>
      <c r="DI60" s="20"/>
      <c r="DJ60" s="20"/>
      <c r="DK60" s="20"/>
      <c r="DL60" s="20"/>
      <c r="DM60" s="20"/>
      <c r="DN60" s="20"/>
      <c r="DO60" s="20"/>
      <c r="DP60" s="20"/>
      <c r="DQ60" s="20"/>
      <c r="DR60" s="20"/>
      <c r="DS60" s="20"/>
      <c r="DT60" s="20"/>
      <c r="DU60" s="20"/>
      <c r="DV60" s="20"/>
      <c r="DW60" s="20"/>
      <c r="DX60" s="20"/>
      <c r="DY60" s="20"/>
      <c r="DZ60" s="20"/>
      <c r="EA60" s="20"/>
      <c r="EB60" s="20"/>
      <c r="EC60" s="20"/>
      <c r="ED60" s="20"/>
      <c r="EE60" s="20"/>
      <c r="EF60" s="20"/>
      <c r="EG60" s="20"/>
      <c r="EH60" s="20"/>
      <c r="EI60" s="20"/>
      <c r="EJ60" s="20"/>
      <c r="EK60" s="20"/>
      <c r="EL60" s="20"/>
      <c r="EM60" s="20"/>
      <c r="EN60" s="20"/>
      <c r="EO60" s="20"/>
      <c r="EP60" s="20"/>
      <c r="EQ60" s="20"/>
      <c r="ER60" s="20"/>
      <c r="ES60" s="20"/>
      <c r="ET60" s="20"/>
      <c r="EU60" s="20"/>
      <c r="EV60" s="20"/>
      <c r="EW60" s="20"/>
      <c r="EX60" s="20"/>
      <c r="EY60" s="20"/>
      <c r="EZ60" s="20"/>
      <c r="FA60" s="20"/>
      <c r="FB60" s="20"/>
      <c r="FC60" s="20"/>
      <c r="FD60" s="20"/>
      <c r="FE60" s="20"/>
      <c r="FF60" s="20"/>
      <c r="FG60" s="20"/>
      <c r="FH60" s="20"/>
      <c r="FI60" s="20"/>
      <c r="FJ60" s="20"/>
      <c r="FK60" s="20"/>
      <c r="FL60" s="20"/>
      <c r="FM60" s="20"/>
      <c r="FN60" s="20"/>
      <c r="FO60" s="20"/>
      <c r="FP60" s="20"/>
      <c r="FQ60" s="20"/>
      <c r="FR60" s="20"/>
      <c r="FS60" s="20"/>
      <c r="FT60" s="20"/>
      <c r="FU60" s="20"/>
      <c r="FV60" s="20"/>
      <c r="FW60" s="20"/>
      <c r="FX60" s="20"/>
      <c r="FY60" s="20"/>
      <c r="FZ60" s="20"/>
      <c r="GA60" s="20"/>
      <c r="GB60" s="20"/>
      <c r="GC60" s="20"/>
      <c r="GD60" s="20"/>
      <c r="GE60" s="20"/>
      <c r="GF60" s="20"/>
      <c r="GG60" s="20"/>
      <c r="GH60" s="20"/>
      <c r="GI60" s="20"/>
      <c r="GJ60" s="20"/>
      <c r="GK60" s="20"/>
      <c r="GL60" s="20"/>
      <c r="GM60" s="20"/>
      <c r="GN60" s="20"/>
      <c r="GO60" s="20"/>
      <c r="GP60" s="20"/>
      <c r="GQ60" s="20"/>
      <c r="GR60" s="20"/>
      <c r="GS60" s="20"/>
      <c r="GT60" s="20"/>
      <c r="GU60" s="20"/>
      <c r="GV60" s="20"/>
      <c r="GW60" s="20"/>
      <c r="GX60" s="20"/>
      <c r="GY60" s="20"/>
      <c r="GZ60" s="20"/>
      <c r="HA60" s="20"/>
      <c r="HB60" s="20"/>
    </row>
    <row r="61" spans="1:210" s="65" customFormat="1" ht="12.75" customHeight="1">
      <c r="A61" s="23" t="s">
        <v>135</v>
      </c>
      <c r="J61" s="33">
        <v>8795.24</v>
      </c>
      <c r="K61" s="20"/>
      <c r="L61" s="20"/>
      <c r="M61" s="20">
        <v>8662.9939999999988</v>
      </c>
      <c r="N61" s="20"/>
      <c r="O61" s="20">
        <v>11834.465</v>
      </c>
      <c r="P61" s="20"/>
      <c r="Q61" s="20"/>
      <c r="R61" s="66">
        <v>15659.399000000001</v>
      </c>
      <c r="S61" s="20">
        <v>16767.881999999998</v>
      </c>
      <c r="T61" s="20">
        <v>19604.169000000002</v>
      </c>
      <c r="U61" s="20">
        <v>22018.451000000001</v>
      </c>
      <c r="V61" s="20">
        <v>25963.095000000001</v>
      </c>
      <c r="W61" s="33">
        <v>27581.902000000002</v>
      </c>
      <c r="X61" s="33">
        <v>26357.865000000002</v>
      </c>
      <c r="Y61" s="33">
        <v>27961.703000000001</v>
      </c>
      <c r="Z61" s="33">
        <v>29984.098999999998</v>
      </c>
      <c r="AA61" s="33">
        <v>30755.232</v>
      </c>
      <c r="AB61" s="33">
        <v>34978.724999999999</v>
      </c>
      <c r="AC61" s="33">
        <v>39150</v>
      </c>
      <c r="AD61" s="20">
        <v>43355.154000000002</v>
      </c>
      <c r="AE61" s="20">
        <v>23818.812999999998</v>
      </c>
      <c r="AF61" s="20">
        <v>33341.396999999997</v>
      </c>
      <c r="AG61" s="20">
        <v>33771.728000000003</v>
      </c>
      <c r="AH61" s="20"/>
      <c r="AI61" s="20"/>
      <c r="AJ61" s="20"/>
      <c r="AK61" s="20"/>
      <c r="AL61" s="20"/>
      <c r="AM61" s="20"/>
      <c r="AN61" s="20"/>
      <c r="AO61" s="20"/>
      <c r="AP61" s="20"/>
      <c r="AQ61" s="20"/>
      <c r="AR61" s="20"/>
      <c r="AS61" s="20"/>
      <c r="AT61" s="20"/>
      <c r="AU61" s="20"/>
      <c r="AV61" s="20"/>
      <c r="AW61" s="20"/>
      <c r="AX61" s="20"/>
      <c r="AY61" s="20"/>
      <c r="AZ61" s="20"/>
      <c r="BA61" s="20"/>
      <c r="BB61" s="20"/>
      <c r="BC61" s="20"/>
      <c r="BD61" s="20"/>
      <c r="BE61" s="20"/>
      <c r="BF61" s="20"/>
      <c r="BG61" s="20"/>
      <c r="BH61" s="20"/>
      <c r="BI61" s="20"/>
      <c r="BJ61" s="20"/>
      <c r="BK61" s="20"/>
      <c r="BL61" s="20"/>
      <c r="BM61" s="20"/>
      <c r="BN61" s="20"/>
      <c r="BO61" s="20"/>
      <c r="BP61" s="20"/>
      <c r="BQ61" s="20"/>
      <c r="BR61" s="20"/>
      <c r="BS61" s="20"/>
      <c r="BT61" s="20"/>
      <c r="BU61" s="20"/>
      <c r="BV61" s="20"/>
      <c r="BW61" s="20"/>
      <c r="BX61" s="20"/>
      <c r="BY61" s="20"/>
      <c r="BZ61" s="20"/>
      <c r="CA61" s="20"/>
      <c r="CB61" s="20"/>
      <c r="CC61" s="20"/>
      <c r="CD61" s="20"/>
      <c r="CE61" s="20"/>
      <c r="CF61" s="20"/>
      <c r="CG61" s="20"/>
      <c r="CH61" s="20"/>
      <c r="CI61" s="20"/>
      <c r="CJ61" s="20"/>
      <c r="CK61" s="20"/>
      <c r="CL61" s="20"/>
      <c r="CM61" s="20"/>
      <c r="CN61" s="20"/>
      <c r="CO61" s="20"/>
      <c r="CP61" s="20"/>
      <c r="CQ61" s="20"/>
      <c r="CR61" s="20"/>
      <c r="CS61" s="20"/>
      <c r="CT61" s="20"/>
      <c r="CU61" s="20"/>
      <c r="CV61" s="20"/>
      <c r="CW61" s="20"/>
      <c r="CX61" s="20"/>
      <c r="CY61" s="20"/>
      <c r="CZ61" s="20"/>
      <c r="DA61" s="20"/>
      <c r="DB61" s="20"/>
      <c r="DC61" s="20"/>
      <c r="DD61" s="20"/>
      <c r="DE61" s="20"/>
      <c r="DF61" s="20"/>
      <c r="DG61" s="20"/>
      <c r="DH61" s="20"/>
      <c r="DI61" s="20"/>
      <c r="DJ61" s="20"/>
      <c r="DK61" s="20"/>
      <c r="DL61" s="20"/>
      <c r="DM61" s="20"/>
      <c r="DN61" s="20"/>
      <c r="DO61" s="20"/>
      <c r="DP61" s="20"/>
      <c r="DQ61" s="20"/>
      <c r="DR61" s="20"/>
      <c r="DS61" s="20"/>
      <c r="DT61" s="20"/>
      <c r="DU61" s="20"/>
      <c r="DV61" s="20"/>
      <c r="DW61" s="20"/>
      <c r="DX61" s="20"/>
      <c r="DY61" s="20"/>
      <c r="DZ61" s="20"/>
      <c r="EA61" s="20"/>
      <c r="EB61" s="20"/>
      <c r="EC61" s="20"/>
      <c r="ED61" s="20"/>
      <c r="EE61" s="20"/>
      <c r="EF61" s="20"/>
      <c r="EG61" s="20"/>
      <c r="EH61" s="20"/>
      <c r="EI61" s="20"/>
      <c r="EJ61" s="20"/>
      <c r="EK61" s="20"/>
      <c r="EL61" s="20"/>
      <c r="EM61" s="20"/>
      <c r="EN61" s="20"/>
      <c r="EO61" s="20"/>
      <c r="EP61" s="20"/>
      <c r="EQ61" s="20"/>
      <c r="ER61" s="20"/>
      <c r="ES61" s="20"/>
      <c r="ET61" s="20"/>
      <c r="EU61" s="20"/>
      <c r="EV61" s="20"/>
      <c r="EW61" s="20"/>
      <c r="EX61" s="20"/>
      <c r="EY61" s="20"/>
      <c r="EZ61" s="20"/>
      <c r="FA61" s="20"/>
      <c r="FB61" s="20"/>
      <c r="FC61" s="20"/>
      <c r="FD61" s="20"/>
      <c r="FE61" s="20"/>
      <c r="FF61" s="20"/>
      <c r="FG61" s="20"/>
      <c r="FH61" s="20"/>
      <c r="FI61" s="20"/>
      <c r="FJ61" s="20"/>
      <c r="FK61" s="20"/>
      <c r="FL61" s="20"/>
      <c r="FM61" s="20"/>
      <c r="FN61" s="20"/>
      <c r="FO61" s="20"/>
      <c r="FP61" s="20"/>
      <c r="FQ61" s="20"/>
      <c r="FR61" s="20"/>
      <c r="FS61" s="20"/>
      <c r="FT61" s="20"/>
      <c r="FU61" s="20"/>
      <c r="FV61" s="20"/>
      <c r="FW61" s="20"/>
      <c r="FX61" s="20"/>
      <c r="FY61" s="20"/>
      <c r="FZ61" s="20"/>
      <c r="GA61" s="20"/>
      <c r="GB61" s="20"/>
      <c r="GC61" s="20"/>
      <c r="GD61" s="20"/>
      <c r="GE61" s="20"/>
      <c r="GF61" s="20"/>
      <c r="GG61" s="20"/>
      <c r="GH61" s="20"/>
      <c r="GI61" s="20"/>
      <c r="GJ61" s="20"/>
      <c r="GK61" s="20"/>
      <c r="GL61" s="20"/>
      <c r="GM61" s="20"/>
      <c r="GN61" s="20"/>
      <c r="GO61" s="20"/>
      <c r="GP61" s="20"/>
      <c r="GQ61" s="20"/>
      <c r="GR61" s="20"/>
      <c r="GS61" s="20"/>
      <c r="GT61" s="20"/>
      <c r="GU61" s="20"/>
      <c r="GV61" s="20"/>
      <c r="GW61" s="20"/>
      <c r="GX61" s="20"/>
      <c r="GY61" s="20"/>
      <c r="GZ61" s="20"/>
      <c r="HA61" s="20"/>
      <c r="HB61" s="20"/>
    </row>
    <row r="62" spans="1:210" s="65" customFormat="1" ht="12.75" customHeight="1">
      <c r="A62" s="94" t="s">
        <v>138</v>
      </c>
      <c r="B62" s="64"/>
      <c r="C62" s="64"/>
      <c r="D62" s="64"/>
      <c r="E62" s="64"/>
      <c r="F62" s="64"/>
      <c r="G62" s="64"/>
      <c r="H62" s="64"/>
      <c r="I62" s="64"/>
      <c r="J62" s="50">
        <v>25269.853999999999</v>
      </c>
      <c r="K62" s="51"/>
      <c r="L62" s="51"/>
      <c r="M62" s="51">
        <v>32332.43</v>
      </c>
      <c r="N62" s="51"/>
      <c r="O62" s="51">
        <v>34195.542000000001</v>
      </c>
      <c r="P62" s="51"/>
      <c r="Q62" s="51"/>
      <c r="R62" s="67">
        <v>42764.224999999999</v>
      </c>
      <c r="S62" s="51">
        <v>47168.887000000002</v>
      </c>
      <c r="T62" s="51">
        <v>59242.095999999998</v>
      </c>
      <c r="U62" s="51">
        <v>62546.165000000001</v>
      </c>
      <c r="V62" s="51">
        <v>60696.743000000002</v>
      </c>
      <c r="W62" s="50">
        <v>58222.641000000003</v>
      </c>
      <c r="X62" s="50">
        <v>63803.936999999998</v>
      </c>
      <c r="Y62" s="50">
        <v>64540.254000000001</v>
      </c>
      <c r="Z62" s="50">
        <v>54496.258000000002</v>
      </c>
      <c r="AA62" s="50">
        <v>52572.945</v>
      </c>
      <c r="AB62" s="50">
        <v>59992.485000000001</v>
      </c>
      <c r="AC62" s="50">
        <v>56549</v>
      </c>
      <c r="AD62" s="51">
        <v>54607.036</v>
      </c>
      <c r="AE62" s="51">
        <v>82884.247000000003</v>
      </c>
      <c r="AF62" s="51">
        <v>78874.172999999995</v>
      </c>
      <c r="AG62" s="51">
        <v>77073.649000000005</v>
      </c>
      <c r="AH62" s="20"/>
      <c r="AI62" s="20"/>
      <c r="AJ62" s="20"/>
      <c r="AK62" s="20"/>
      <c r="AL62" s="20"/>
      <c r="AM62" s="20"/>
      <c r="AN62" s="20"/>
      <c r="AO62" s="20"/>
      <c r="AP62" s="20"/>
      <c r="AQ62" s="20"/>
      <c r="AR62" s="20"/>
      <c r="AS62" s="20"/>
      <c r="AT62" s="20"/>
      <c r="AU62" s="20"/>
      <c r="AV62" s="20"/>
      <c r="AW62" s="20"/>
      <c r="AX62" s="20"/>
      <c r="AY62" s="20"/>
      <c r="AZ62" s="20"/>
      <c r="BA62" s="20"/>
      <c r="BB62" s="20"/>
      <c r="BC62" s="20"/>
      <c r="BD62" s="20"/>
      <c r="BE62" s="20"/>
      <c r="BF62" s="20"/>
      <c r="BG62" s="20"/>
      <c r="BH62" s="20"/>
      <c r="BI62" s="20"/>
      <c r="BJ62" s="20"/>
      <c r="BK62" s="20"/>
      <c r="BL62" s="20"/>
      <c r="BM62" s="20"/>
      <c r="BN62" s="20"/>
      <c r="BO62" s="20"/>
      <c r="BP62" s="20"/>
      <c r="BQ62" s="20"/>
      <c r="BR62" s="20"/>
      <c r="BS62" s="20"/>
      <c r="BT62" s="20"/>
      <c r="BU62" s="20"/>
      <c r="BV62" s="20"/>
      <c r="BW62" s="20"/>
      <c r="BX62" s="20"/>
      <c r="BY62" s="20"/>
      <c r="BZ62" s="20"/>
      <c r="CA62" s="20"/>
      <c r="CB62" s="20"/>
      <c r="CC62" s="20"/>
      <c r="CD62" s="20"/>
      <c r="CE62" s="20"/>
      <c r="CF62" s="20"/>
      <c r="CG62" s="20"/>
      <c r="CH62" s="20"/>
      <c r="CI62" s="20"/>
      <c r="CJ62" s="20"/>
      <c r="CK62" s="20"/>
      <c r="CL62" s="20"/>
      <c r="CM62" s="20"/>
      <c r="CN62" s="20"/>
      <c r="CO62" s="20"/>
      <c r="CP62" s="20"/>
      <c r="CQ62" s="20"/>
      <c r="CR62" s="20"/>
      <c r="CS62" s="20"/>
      <c r="CT62" s="20"/>
      <c r="CU62" s="20"/>
      <c r="CV62" s="20"/>
      <c r="CW62" s="20"/>
      <c r="CX62" s="20"/>
      <c r="CY62" s="20"/>
      <c r="CZ62" s="20"/>
      <c r="DA62" s="20"/>
      <c r="DB62" s="20"/>
      <c r="DC62" s="20"/>
      <c r="DD62" s="20"/>
      <c r="DE62" s="20"/>
      <c r="DF62" s="20"/>
      <c r="DG62" s="20"/>
      <c r="DH62" s="20"/>
      <c r="DI62" s="20"/>
      <c r="DJ62" s="20"/>
      <c r="DK62" s="20"/>
      <c r="DL62" s="20"/>
      <c r="DM62" s="20"/>
      <c r="DN62" s="20"/>
      <c r="DO62" s="20"/>
      <c r="DP62" s="20"/>
      <c r="DQ62" s="20"/>
      <c r="DR62" s="20"/>
      <c r="DS62" s="20"/>
      <c r="DT62" s="20"/>
      <c r="DU62" s="20"/>
      <c r="DV62" s="20"/>
      <c r="DW62" s="20"/>
      <c r="DX62" s="20"/>
      <c r="DY62" s="20"/>
      <c r="DZ62" s="20"/>
      <c r="EA62" s="20"/>
      <c r="EB62" s="20"/>
      <c r="EC62" s="20"/>
      <c r="ED62" s="20"/>
      <c r="EE62" s="20"/>
      <c r="EF62" s="20"/>
      <c r="EG62" s="20"/>
      <c r="EH62" s="20"/>
      <c r="EI62" s="20"/>
      <c r="EJ62" s="20"/>
      <c r="EK62" s="20"/>
      <c r="EL62" s="20"/>
      <c r="EM62" s="20"/>
      <c r="EN62" s="20"/>
      <c r="EO62" s="20"/>
      <c r="EP62" s="20"/>
      <c r="EQ62" s="20"/>
      <c r="ER62" s="20"/>
      <c r="ES62" s="20"/>
      <c r="ET62" s="20"/>
      <c r="EU62" s="20"/>
      <c r="EV62" s="20"/>
      <c r="EW62" s="20"/>
      <c r="EX62" s="20"/>
      <c r="EY62" s="20"/>
      <c r="EZ62" s="20"/>
      <c r="FA62" s="20"/>
      <c r="FB62" s="20"/>
      <c r="FC62" s="20"/>
      <c r="FD62" s="20"/>
      <c r="FE62" s="20"/>
      <c r="FF62" s="20"/>
      <c r="FG62" s="20"/>
      <c r="FH62" s="20"/>
      <c r="FI62" s="20"/>
      <c r="FJ62" s="20"/>
      <c r="FK62" s="20"/>
      <c r="FL62" s="20"/>
      <c r="FM62" s="20"/>
      <c r="FN62" s="20"/>
      <c r="FO62" s="20"/>
      <c r="FP62" s="20"/>
      <c r="FQ62" s="20"/>
      <c r="FR62" s="20"/>
      <c r="FS62" s="20"/>
      <c r="FT62" s="20"/>
      <c r="FU62" s="20"/>
      <c r="FV62" s="20"/>
      <c r="FW62" s="20"/>
      <c r="FX62" s="20"/>
      <c r="FY62" s="20"/>
      <c r="FZ62" s="20"/>
      <c r="GA62" s="20"/>
      <c r="GB62" s="20"/>
      <c r="GC62" s="20"/>
      <c r="GD62" s="20"/>
      <c r="GE62" s="20"/>
      <c r="GF62" s="20"/>
      <c r="GG62" s="20"/>
      <c r="GH62" s="20"/>
      <c r="GI62" s="20"/>
      <c r="GJ62" s="20"/>
      <c r="GK62" s="20"/>
      <c r="GL62" s="20"/>
      <c r="GM62" s="20"/>
      <c r="GN62" s="20"/>
      <c r="GO62" s="20"/>
      <c r="GP62" s="20"/>
      <c r="GQ62" s="20"/>
      <c r="GR62" s="20"/>
      <c r="GS62" s="20"/>
      <c r="GT62" s="20"/>
      <c r="GU62" s="20"/>
      <c r="GV62" s="20"/>
      <c r="GW62" s="20"/>
      <c r="GX62" s="20"/>
      <c r="GY62" s="20"/>
      <c r="GZ62" s="20"/>
      <c r="HA62" s="20"/>
      <c r="HB62" s="20"/>
    </row>
    <row r="63" spans="1:210">
      <c r="A63" s="95" t="s">
        <v>114</v>
      </c>
      <c r="B63" s="85"/>
      <c r="C63" s="85"/>
      <c r="D63" s="85"/>
      <c r="E63" s="85"/>
      <c r="F63" s="85"/>
      <c r="G63" s="85"/>
      <c r="H63" s="85"/>
      <c r="I63" s="85"/>
      <c r="J63" s="87">
        <v>6738.5890000000009</v>
      </c>
      <c r="K63" s="86"/>
      <c r="L63" s="86"/>
      <c r="M63" s="86">
        <v>7993.66</v>
      </c>
      <c r="N63" s="86"/>
      <c r="O63" s="86">
        <v>7757.1416600000002</v>
      </c>
      <c r="P63" s="86"/>
      <c r="Q63" s="86"/>
      <c r="R63" s="88">
        <v>7542.6390000000001</v>
      </c>
      <c r="S63" s="86">
        <v>8861.1740000000009</v>
      </c>
      <c r="T63" s="86">
        <v>8907.2170000000006</v>
      </c>
      <c r="U63" s="86">
        <v>6057.4129999999996</v>
      </c>
      <c r="V63" s="86">
        <v>9550.9869999999992</v>
      </c>
      <c r="W63" s="87">
        <v>11797.191000000001</v>
      </c>
      <c r="X63" s="87">
        <v>12017.323</v>
      </c>
      <c r="Y63" s="87">
        <v>12911.321</v>
      </c>
      <c r="Z63" s="87">
        <v>11369.3</v>
      </c>
      <c r="AA63" s="87">
        <v>11858.687</v>
      </c>
      <c r="AB63" s="87">
        <v>14555.546</v>
      </c>
      <c r="AC63" s="87">
        <v>11800</v>
      </c>
      <c r="AD63" s="51">
        <v>13736.311</v>
      </c>
      <c r="AE63" s="51">
        <v>11160.235000000001</v>
      </c>
      <c r="AF63" s="51">
        <v>8617.4339999999993</v>
      </c>
      <c r="AG63" s="51">
        <v>7027.9309999999996</v>
      </c>
      <c r="AH63" s="20"/>
      <c r="AI63" s="20"/>
      <c r="AJ63" s="20"/>
      <c r="AK63" s="20"/>
      <c r="AL63" s="20"/>
      <c r="AM63" s="20"/>
      <c r="AN63" s="20"/>
      <c r="AO63" s="20"/>
      <c r="AP63" s="20"/>
      <c r="AQ63" s="20"/>
      <c r="AR63" s="20"/>
      <c r="AS63" s="20"/>
      <c r="AT63" s="20"/>
      <c r="AU63" s="20"/>
      <c r="AV63" s="20"/>
      <c r="AW63" s="20"/>
      <c r="AX63" s="20"/>
      <c r="AY63" s="20"/>
      <c r="AZ63" s="20"/>
      <c r="BA63" s="20"/>
      <c r="BB63" s="20"/>
      <c r="BC63" s="20"/>
      <c r="BD63" s="20"/>
      <c r="BE63" s="20"/>
      <c r="BF63" s="20"/>
      <c r="BG63" s="20"/>
      <c r="BH63" s="20"/>
      <c r="BI63" s="20"/>
      <c r="BJ63" s="20"/>
      <c r="BK63" s="20"/>
      <c r="BL63" s="20"/>
      <c r="BM63" s="20"/>
      <c r="BN63" s="20"/>
      <c r="BO63" s="20"/>
      <c r="BP63" s="20"/>
      <c r="BQ63" s="20"/>
      <c r="BR63" s="20"/>
      <c r="BS63" s="20"/>
      <c r="BT63" s="20"/>
      <c r="BU63" s="20"/>
      <c r="BV63" s="20"/>
      <c r="BW63" s="20"/>
      <c r="BX63" s="20"/>
      <c r="BY63" s="20"/>
      <c r="BZ63" s="20"/>
      <c r="CA63" s="20"/>
      <c r="CB63" s="20"/>
      <c r="CC63" s="20"/>
      <c r="CD63" s="20"/>
      <c r="CE63" s="20"/>
      <c r="CF63" s="20"/>
      <c r="CG63" s="20"/>
      <c r="CH63" s="20"/>
      <c r="CI63" s="20"/>
      <c r="CJ63" s="20"/>
      <c r="CK63" s="20"/>
      <c r="CL63" s="20"/>
      <c r="CM63" s="20"/>
      <c r="CN63" s="20"/>
      <c r="CO63" s="20"/>
      <c r="CP63" s="20"/>
      <c r="CQ63" s="20"/>
      <c r="CR63" s="20"/>
      <c r="CS63" s="20"/>
      <c r="CT63" s="20"/>
      <c r="CU63" s="20"/>
      <c r="CV63" s="20"/>
      <c r="CW63" s="20"/>
      <c r="CX63" s="20"/>
      <c r="CY63" s="20"/>
      <c r="CZ63" s="20"/>
      <c r="DA63" s="20"/>
      <c r="DB63" s="20"/>
      <c r="DC63" s="20"/>
      <c r="DD63" s="20"/>
      <c r="DE63" s="20"/>
      <c r="DF63" s="20"/>
      <c r="DG63" s="20"/>
      <c r="DH63" s="20"/>
      <c r="DI63" s="20"/>
      <c r="DJ63" s="20"/>
      <c r="DK63" s="20"/>
      <c r="DL63" s="20"/>
      <c r="DM63" s="20"/>
      <c r="DN63" s="20"/>
      <c r="DO63" s="20"/>
      <c r="DP63" s="20"/>
      <c r="DQ63" s="20"/>
      <c r="DR63" s="20"/>
      <c r="DS63" s="20"/>
      <c r="DT63" s="20"/>
      <c r="DU63" s="20"/>
      <c r="DV63" s="20"/>
      <c r="DW63" s="20"/>
      <c r="DX63" s="20"/>
      <c r="DY63" s="20"/>
      <c r="DZ63" s="20"/>
      <c r="EA63" s="20"/>
      <c r="EB63" s="20"/>
      <c r="EC63" s="20"/>
      <c r="ED63" s="20"/>
      <c r="EE63" s="20"/>
      <c r="EF63" s="20"/>
      <c r="EG63" s="20"/>
      <c r="EH63" s="20"/>
      <c r="EI63" s="20"/>
      <c r="EJ63" s="20"/>
      <c r="EK63" s="20"/>
      <c r="EL63" s="20"/>
      <c r="EM63" s="20"/>
      <c r="EN63" s="20"/>
      <c r="EO63" s="20"/>
      <c r="EP63" s="20"/>
      <c r="EQ63" s="20"/>
      <c r="ER63" s="20"/>
      <c r="ES63" s="20"/>
      <c r="ET63" s="20"/>
      <c r="EU63" s="20"/>
      <c r="EV63" s="20"/>
      <c r="EW63" s="20"/>
      <c r="EX63" s="20"/>
      <c r="EY63" s="20"/>
      <c r="EZ63" s="20"/>
      <c r="FA63" s="20"/>
      <c r="FB63" s="20"/>
      <c r="FC63" s="20"/>
      <c r="FD63" s="20"/>
      <c r="FE63" s="20"/>
      <c r="FF63" s="20"/>
      <c r="FG63" s="20"/>
      <c r="FH63" s="20"/>
      <c r="FI63" s="20"/>
      <c r="FJ63" s="20"/>
      <c r="FK63" s="20"/>
      <c r="FL63" s="20"/>
      <c r="FM63" s="20"/>
      <c r="FN63" s="20"/>
      <c r="FO63" s="20"/>
      <c r="FP63" s="20"/>
      <c r="FQ63" s="20"/>
      <c r="FR63" s="20"/>
      <c r="FS63" s="20"/>
      <c r="FT63" s="20"/>
      <c r="FU63" s="20"/>
      <c r="FV63" s="20"/>
      <c r="FW63" s="20"/>
      <c r="FX63" s="20"/>
      <c r="FY63" s="20"/>
      <c r="FZ63" s="20"/>
      <c r="GA63" s="20"/>
      <c r="GB63" s="20"/>
      <c r="GC63" s="20"/>
      <c r="GD63" s="20"/>
      <c r="GE63" s="20"/>
      <c r="GF63" s="20"/>
      <c r="GG63" s="20"/>
      <c r="GH63" s="20"/>
      <c r="GI63" s="20"/>
      <c r="GJ63" s="20"/>
      <c r="GK63" s="20"/>
      <c r="GL63" s="20"/>
      <c r="GM63" s="20"/>
      <c r="GN63" s="20"/>
      <c r="GO63" s="20"/>
      <c r="GP63" s="20"/>
      <c r="GQ63" s="20"/>
      <c r="GR63" s="20"/>
      <c r="GS63" s="20"/>
      <c r="GT63" s="20"/>
      <c r="GU63" s="20"/>
      <c r="GV63" s="20"/>
      <c r="GW63" s="20"/>
      <c r="GX63" s="20"/>
      <c r="GY63" s="20"/>
      <c r="GZ63" s="20"/>
      <c r="HA63" s="20"/>
      <c r="HB63" s="20"/>
    </row>
    <row r="64" spans="1:210" ht="12.75" customHeight="1">
      <c r="AF64" s="12"/>
      <c r="AG64" s="12"/>
      <c r="AH64" s="12"/>
      <c r="AI64" s="12"/>
      <c r="AJ64" s="12"/>
      <c r="AK64" s="12"/>
      <c r="AL64" s="12"/>
      <c r="AM64" s="12"/>
      <c r="AN64" s="12"/>
      <c r="AO64" s="12"/>
      <c r="AP64" s="12"/>
      <c r="AQ64" s="12"/>
      <c r="AR64" s="12"/>
      <c r="AS64" s="12"/>
      <c r="AT64" s="12"/>
      <c r="AU64" s="12"/>
      <c r="AV64" s="12"/>
      <c r="AW64" s="12"/>
      <c r="AX64" s="12"/>
      <c r="AY64" s="12"/>
      <c r="AZ64" s="12"/>
      <c r="BA64" s="12"/>
      <c r="BB64" s="12"/>
      <c r="BC64" s="12"/>
      <c r="BD64" s="12"/>
      <c r="BE64" s="12"/>
      <c r="BF64" s="12"/>
      <c r="BG64" s="12"/>
      <c r="BH64" s="12"/>
      <c r="BI64" s="12"/>
      <c r="BJ64" s="12"/>
      <c r="BK64" s="12"/>
      <c r="BL64" s="12"/>
      <c r="BM64" s="12"/>
      <c r="BN64" s="12"/>
      <c r="BO64" s="12"/>
      <c r="BP64" s="12"/>
      <c r="BQ64" s="12"/>
      <c r="BR64" s="12"/>
      <c r="BS64" s="12"/>
      <c r="BT64" s="12"/>
      <c r="BU64" s="12"/>
      <c r="BV64" s="12"/>
      <c r="BW64" s="12"/>
      <c r="BX64" s="12"/>
      <c r="BY64" s="12"/>
      <c r="BZ64" s="12"/>
      <c r="CA64" s="12"/>
      <c r="CB64" s="12"/>
      <c r="CC64" s="12"/>
      <c r="CD64" s="12"/>
      <c r="CE64" s="12"/>
      <c r="CF64" s="12"/>
      <c r="CG64" s="12"/>
      <c r="CH64" s="12"/>
      <c r="CI64" s="12"/>
      <c r="CJ64" s="12"/>
      <c r="CK64" s="12"/>
      <c r="CL64" s="12"/>
      <c r="CM64" s="12"/>
      <c r="CN64" s="12"/>
      <c r="CO64" s="12"/>
      <c r="CP64" s="12"/>
      <c r="CQ64" s="12"/>
      <c r="CR64" s="12"/>
      <c r="CS64" s="12"/>
      <c r="CT64" s="12"/>
      <c r="CU64" s="12"/>
      <c r="CV64" s="12"/>
      <c r="CW64" s="12"/>
      <c r="CX64" s="12"/>
      <c r="CY64" s="12"/>
      <c r="CZ64" s="12"/>
      <c r="DA64" s="12"/>
      <c r="DB64" s="12"/>
      <c r="DC64" s="12"/>
      <c r="DD64" s="12"/>
      <c r="DE64" s="12"/>
      <c r="DF64" s="12"/>
      <c r="DG64" s="12"/>
      <c r="DH64" s="12"/>
      <c r="DI64" s="12"/>
      <c r="DJ64" s="12"/>
      <c r="DK64" s="12"/>
      <c r="DL64" s="12"/>
      <c r="DM64" s="12"/>
      <c r="DN64" s="12"/>
      <c r="DO64" s="12"/>
      <c r="DP64" s="12"/>
      <c r="DQ64" s="12"/>
      <c r="DR64" s="12"/>
      <c r="DS64" s="12"/>
      <c r="DT64" s="12"/>
      <c r="DU64" s="12"/>
      <c r="DV64" s="12"/>
      <c r="DW64" s="12"/>
      <c r="DX64" s="12"/>
      <c r="DY64" s="12"/>
      <c r="DZ64" s="12"/>
      <c r="EA64" s="12"/>
      <c r="EB64" s="12"/>
      <c r="EC64" s="12"/>
      <c r="ED64" s="12"/>
      <c r="EE64" s="12"/>
      <c r="EF64" s="12"/>
      <c r="EG64" s="12"/>
      <c r="EH64" s="12"/>
      <c r="EI64" s="12"/>
      <c r="EJ64" s="12"/>
      <c r="EK64" s="12"/>
      <c r="EL64" s="12"/>
      <c r="EM64" s="12"/>
      <c r="EN64" s="12"/>
      <c r="EO64" s="12"/>
      <c r="EP64" s="12"/>
      <c r="EQ64" s="12"/>
      <c r="ER64" s="12"/>
      <c r="ES64" s="12"/>
      <c r="ET64" s="12"/>
      <c r="EU64" s="12"/>
      <c r="EV64" s="12"/>
      <c r="EW64" s="12"/>
      <c r="EX64" s="12"/>
      <c r="EY64" s="12"/>
      <c r="EZ64" s="12"/>
      <c r="FA64" s="12"/>
      <c r="FB64" s="12"/>
      <c r="FC64" s="12"/>
      <c r="FD64" s="12"/>
      <c r="FE64" s="12"/>
      <c r="FF64" s="12"/>
      <c r="FG64" s="12"/>
      <c r="FH64" s="12"/>
      <c r="FI64" s="12"/>
      <c r="FJ64" s="12"/>
      <c r="FK64" s="12"/>
      <c r="FL64" s="12"/>
      <c r="FM64" s="12"/>
      <c r="FN64" s="12"/>
      <c r="FO64" s="12"/>
      <c r="FP64" s="12"/>
      <c r="FQ64" s="12"/>
      <c r="FR64" s="12"/>
      <c r="FS64" s="12"/>
      <c r="FT64" s="12"/>
      <c r="FU64" s="12"/>
      <c r="FV64" s="12"/>
      <c r="FW64" s="12"/>
      <c r="FX64" s="12"/>
      <c r="FY64" s="12"/>
      <c r="FZ64" s="12"/>
      <c r="GA64" s="12"/>
      <c r="GB64" s="12"/>
      <c r="GC64" s="12"/>
      <c r="GD64" s="12"/>
      <c r="GE64" s="12"/>
      <c r="GF64" s="12"/>
      <c r="GG64" s="12"/>
      <c r="GH64" s="12"/>
      <c r="GI64" s="12"/>
      <c r="GJ64" s="12"/>
      <c r="GK64" s="12"/>
      <c r="GL64" s="12"/>
      <c r="GM64" s="12"/>
      <c r="GN64" s="12"/>
      <c r="GO64" s="12"/>
      <c r="GP64" s="12"/>
      <c r="GQ64" s="12"/>
      <c r="GR64" s="12"/>
      <c r="GS64" s="12"/>
      <c r="GT64" s="12"/>
      <c r="GU64" s="12"/>
      <c r="GV64" s="12"/>
      <c r="GW64" s="12"/>
      <c r="GX64" s="12"/>
      <c r="GY64" s="12"/>
      <c r="GZ64" s="12"/>
      <c r="HA64" s="12"/>
      <c r="HB64" s="12"/>
    </row>
    <row r="65" spans="1:210" ht="12.75" customHeight="1">
      <c r="B65" s="13" t="s">
        <v>50</v>
      </c>
      <c r="AF65" s="12"/>
      <c r="AG65" s="12"/>
      <c r="AH65" s="12"/>
      <c r="AI65" s="12"/>
      <c r="AJ65" s="12"/>
      <c r="AK65" s="12"/>
      <c r="AL65" s="12"/>
      <c r="AM65" s="12"/>
      <c r="AN65" s="12"/>
      <c r="AO65" s="12"/>
      <c r="AP65" s="12"/>
      <c r="AQ65" s="12"/>
      <c r="AR65" s="12"/>
      <c r="AS65" s="12"/>
      <c r="AT65" s="12"/>
      <c r="AU65" s="12"/>
      <c r="AV65" s="12"/>
      <c r="AW65" s="12"/>
      <c r="AX65" s="12"/>
      <c r="AY65" s="12"/>
      <c r="AZ65" s="12"/>
      <c r="BA65" s="12"/>
      <c r="BB65" s="12"/>
      <c r="BC65" s="12"/>
      <c r="BD65" s="12"/>
      <c r="BE65" s="12"/>
      <c r="BF65" s="12"/>
      <c r="BG65" s="12"/>
      <c r="BH65" s="12"/>
      <c r="BI65" s="12"/>
      <c r="BJ65" s="12"/>
      <c r="BK65" s="12"/>
      <c r="BL65" s="12"/>
      <c r="BM65" s="12"/>
      <c r="BN65" s="12"/>
      <c r="BO65" s="12"/>
      <c r="BP65" s="12"/>
      <c r="BQ65" s="12"/>
      <c r="BR65" s="12"/>
      <c r="BS65" s="12"/>
      <c r="BT65" s="12"/>
      <c r="BU65" s="12"/>
      <c r="BV65" s="12"/>
      <c r="BW65" s="12"/>
      <c r="BX65" s="12"/>
      <c r="BY65" s="12"/>
      <c r="BZ65" s="12"/>
      <c r="CA65" s="12"/>
      <c r="CB65" s="12"/>
      <c r="CC65" s="12"/>
      <c r="CD65" s="12"/>
      <c r="CE65" s="12"/>
      <c r="CF65" s="12"/>
      <c r="CG65" s="12"/>
      <c r="CH65" s="12"/>
      <c r="CI65" s="12"/>
      <c r="CJ65" s="12"/>
      <c r="CK65" s="12"/>
      <c r="CL65" s="12"/>
      <c r="CM65" s="12"/>
      <c r="CN65" s="12"/>
      <c r="CO65" s="12"/>
      <c r="CP65" s="12"/>
      <c r="CQ65" s="12"/>
      <c r="CR65" s="12"/>
      <c r="CS65" s="12"/>
      <c r="CT65" s="12"/>
      <c r="CU65" s="12"/>
      <c r="CV65" s="12"/>
      <c r="CW65" s="12"/>
      <c r="CX65" s="12"/>
      <c r="CY65" s="12"/>
      <c r="CZ65" s="12"/>
      <c r="DA65" s="12"/>
      <c r="DB65" s="12"/>
      <c r="DC65" s="12"/>
      <c r="DD65" s="12"/>
      <c r="DE65" s="12"/>
      <c r="DF65" s="12"/>
      <c r="DG65" s="12"/>
      <c r="DH65" s="12"/>
      <c r="DI65" s="12"/>
      <c r="DJ65" s="12"/>
      <c r="DK65" s="12"/>
      <c r="DL65" s="12"/>
      <c r="DM65" s="12"/>
      <c r="DN65" s="12"/>
      <c r="DO65" s="12"/>
      <c r="DP65" s="12"/>
      <c r="DQ65" s="12"/>
      <c r="DR65" s="12"/>
      <c r="DS65" s="12"/>
      <c r="DT65" s="12"/>
      <c r="DU65" s="12"/>
      <c r="DV65" s="12"/>
      <c r="DW65" s="12"/>
      <c r="DX65" s="12"/>
      <c r="DY65" s="12"/>
      <c r="DZ65" s="12"/>
      <c r="EA65" s="12"/>
      <c r="EB65" s="12"/>
      <c r="EC65" s="12"/>
      <c r="ED65" s="12"/>
      <c r="EE65" s="12"/>
      <c r="EF65" s="12"/>
      <c r="EG65" s="12"/>
      <c r="EH65" s="12"/>
      <c r="EI65" s="12"/>
      <c r="EJ65" s="12"/>
      <c r="EK65" s="12"/>
      <c r="EL65" s="12"/>
      <c r="EM65" s="12"/>
      <c r="EN65" s="12"/>
      <c r="EO65" s="12"/>
      <c r="EP65" s="12"/>
      <c r="EQ65" s="12"/>
      <c r="ER65" s="12"/>
      <c r="ES65" s="12"/>
      <c r="ET65" s="12"/>
      <c r="EU65" s="12"/>
      <c r="EV65" s="12"/>
      <c r="EW65" s="12"/>
      <c r="EX65" s="12"/>
      <c r="EY65" s="12"/>
      <c r="EZ65" s="12"/>
      <c r="FA65" s="12"/>
      <c r="FB65" s="12"/>
      <c r="FC65" s="12"/>
      <c r="FD65" s="12"/>
      <c r="FE65" s="12"/>
      <c r="FF65" s="12"/>
      <c r="FG65" s="12"/>
      <c r="FH65" s="12"/>
      <c r="FI65" s="12"/>
      <c r="FJ65" s="12"/>
      <c r="FK65" s="12"/>
      <c r="FL65" s="12"/>
      <c r="FM65" s="12"/>
      <c r="FN65" s="12"/>
      <c r="FO65" s="12"/>
      <c r="FP65" s="12"/>
      <c r="FQ65" s="12"/>
      <c r="FR65" s="12"/>
      <c r="FS65" s="12"/>
      <c r="FT65" s="12"/>
      <c r="FU65" s="12"/>
      <c r="FV65" s="12"/>
      <c r="FW65" s="12"/>
      <c r="FX65" s="12"/>
      <c r="FY65" s="12"/>
      <c r="FZ65" s="12"/>
      <c r="GA65" s="12"/>
      <c r="GB65" s="12"/>
      <c r="GC65" s="12"/>
      <c r="GD65" s="12"/>
      <c r="GE65" s="12"/>
      <c r="GF65" s="12"/>
      <c r="GG65" s="12"/>
      <c r="GH65" s="12"/>
      <c r="GI65" s="12"/>
      <c r="GJ65" s="12"/>
      <c r="GK65" s="12"/>
      <c r="GL65" s="12"/>
      <c r="GM65" s="12"/>
      <c r="GN65" s="12"/>
      <c r="GO65" s="12"/>
      <c r="GP65" s="12"/>
      <c r="GQ65" s="12"/>
      <c r="GR65" s="12"/>
      <c r="GS65" s="12"/>
      <c r="GT65" s="12"/>
      <c r="GU65" s="12"/>
      <c r="GV65" s="12"/>
      <c r="GW65" s="12"/>
      <c r="GX65" s="12"/>
      <c r="GY65" s="12"/>
      <c r="GZ65" s="12"/>
      <c r="HA65" s="12"/>
      <c r="HB65" s="12"/>
    </row>
    <row r="66" spans="1:210" ht="12.75" customHeight="1">
      <c r="A66" s="12"/>
      <c r="B66" s="12"/>
      <c r="C66" s="12"/>
      <c r="D66" s="12"/>
      <c r="E66" s="12"/>
      <c r="F66" s="12"/>
      <c r="G66" s="12"/>
      <c r="H66" s="12"/>
      <c r="I66" s="12"/>
      <c r="J66" s="12"/>
      <c r="K66" s="12"/>
      <c r="L66" s="12"/>
      <c r="M66" s="56"/>
      <c r="N66" s="35"/>
      <c r="O66" s="12"/>
      <c r="P66" s="12"/>
      <c r="Q66" s="12"/>
      <c r="R66" s="12"/>
      <c r="S66" s="12"/>
      <c r="T66" s="12"/>
      <c r="U66" s="56"/>
      <c r="V66" s="56"/>
      <c r="W66" s="56"/>
      <c r="X66" s="56"/>
      <c r="Y66" s="56"/>
      <c r="Z66" s="56"/>
      <c r="AA66" s="56"/>
      <c r="AB66" s="56"/>
      <c r="AC66" s="56"/>
      <c r="AD66" s="12"/>
      <c r="AE66" s="12"/>
      <c r="AF66" s="12"/>
      <c r="AG66" s="12"/>
      <c r="AH66" s="12"/>
      <c r="AI66" s="12"/>
      <c r="AJ66" s="12"/>
      <c r="AK66" s="12"/>
      <c r="AL66" s="12"/>
      <c r="AM66" s="12"/>
      <c r="AN66" s="12"/>
      <c r="AO66" s="12"/>
      <c r="AP66" s="12"/>
      <c r="AQ66" s="12"/>
      <c r="AR66" s="12"/>
      <c r="AS66" s="12"/>
      <c r="AT66" s="12"/>
      <c r="AU66" s="12"/>
      <c r="AV66" s="12"/>
      <c r="AW66" s="12"/>
      <c r="AX66" s="12"/>
      <c r="AY66" s="12"/>
      <c r="AZ66" s="12"/>
      <c r="BA66" s="12"/>
      <c r="BB66" s="12"/>
      <c r="BC66" s="12"/>
      <c r="BD66" s="12"/>
      <c r="BE66" s="12"/>
      <c r="BF66" s="12"/>
      <c r="BG66" s="12"/>
      <c r="BH66" s="12"/>
      <c r="BI66" s="12"/>
      <c r="BJ66" s="12"/>
      <c r="BK66" s="12"/>
      <c r="BL66" s="12"/>
      <c r="BM66" s="12"/>
      <c r="BN66" s="12"/>
      <c r="BO66" s="12"/>
      <c r="BP66" s="12"/>
      <c r="BQ66" s="12"/>
      <c r="BR66" s="12"/>
      <c r="BS66" s="12"/>
      <c r="BT66" s="12"/>
      <c r="BU66" s="12"/>
      <c r="BV66" s="12"/>
      <c r="BW66" s="12"/>
      <c r="BX66" s="12"/>
      <c r="BY66" s="12"/>
      <c r="BZ66" s="12"/>
      <c r="CA66" s="12"/>
      <c r="CB66" s="12"/>
      <c r="CC66" s="12"/>
      <c r="CD66" s="12"/>
      <c r="CE66" s="12"/>
      <c r="CF66" s="12"/>
      <c r="CG66" s="12"/>
      <c r="CH66" s="12"/>
      <c r="CI66" s="12"/>
      <c r="CJ66" s="12"/>
      <c r="CK66" s="12"/>
      <c r="CL66" s="12"/>
      <c r="CM66" s="12"/>
      <c r="CN66" s="12"/>
      <c r="CO66" s="12"/>
      <c r="CP66" s="12"/>
      <c r="CQ66" s="12"/>
      <c r="CR66" s="12"/>
      <c r="CS66" s="12"/>
      <c r="CT66" s="12"/>
      <c r="CU66" s="12"/>
      <c r="CV66" s="12"/>
      <c r="CW66" s="12"/>
      <c r="CX66" s="12"/>
      <c r="CY66" s="12"/>
      <c r="CZ66" s="12"/>
      <c r="DA66" s="12"/>
      <c r="DB66" s="12"/>
      <c r="DC66" s="12"/>
      <c r="DD66" s="12"/>
      <c r="DE66" s="12"/>
      <c r="DF66" s="12"/>
      <c r="DG66" s="12"/>
      <c r="DH66" s="12"/>
      <c r="DI66" s="12"/>
      <c r="DJ66" s="12"/>
      <c r="DK66" s="12"/>
      <c r="DL66" s="12"/>
      <c r="DM66" s="12"/>
      <c r="DN66" s="12"/>
      <c r="DO66" s="12"/>
      <c r="DP66" s="12"/>
      <c r="DQ66" s="12"/>
      <c r="DR66" s="12"/>
      <c r="DS66" s="12"/>
      <c r="DT66" s="12"/>
      <c r="DU66" s="12"/>
      <c r="DV66" s="12"/>
      <c r="DW66" s="12"/>
      <c r="DX66" s="12"/>
      <c r="DY66" s="12"/>
      <c r="DZ66" s="12"/>
      <c r="EA66" s="12"/>
      <c r="EB66" s="12"/>
      <c r="EC66" s="12"/>
      <c r="ED66" s="12"/>
      <c r="EE66" s="12"/>
      <c r="EF66" s="12"/>
      <c r="EG66" s="12"/>
      <c r="EH66" s="12"/>
      <c r="EI66" s="12"/>
      <c r="EJ66" s="12"/>
      <c r="EK66" s="12"/>
      <c r="EL66" s="12"/>
      <c r="EM66" s="12"/>
      <c r="EN66" s="12"/>
      <c r="EO66" s="12"/>
      <c r="EP66" s="12"/>
      <c r="EQ66" s="12"/>
      <c r="ER66" s="12"/>
      <c r="ES66" s="12"/>
      <c r="ET66" s="12"/>
      <c r="EU66" s="12"/>
      <c r="EV66" s="12"/>
      <c r="EW66" s="12"/>
      <c r="EX66" s="12"/>
      <c r="EY66" s="12"/>
      <c r="EZ66" s="12"/>
      <c r="FA66" s="12"/>
      <c r="FB66" s="12"/>
      <c r="FC66" s="12"/>
      <c r="FD66" s="12"/>
      <c r="FE66" s="12"/>
      <c r="FF66" s="12"/>
      <c r="FG66" s="12"/>
      <c r="FH66" s="12"/>
      <c r="FI66" s="12"/>
      <c r="FJ66" s="12"/>
      <c r="FK66" s="12"/>
      <c r="FL66" s="12"/>
      <c r="FM66" s="12"/>
      <c r="FN66" s="12"/>
      <c r="FO66" s="12"/>
      <c r="FP66" s="12"/>
      <c r="FQ66" s="12"/>
      <c r="FR66" s="12"/>
      <c r="FS66" s="12"/>
      <c r="FT66" s="12"/>
      <c r="FU66" s="12"/>
      <c r="FV66" s="12"/>
      <c r="FW66" s="12"/>
      <c r="FX66" s="12"/>
      <c r="FY66" s="12"/>
      <c r="FZ66" s="12"/>
      <c r="GA66" s="12"/>
      <c r="GB66" s="12"/>
      <c r="GC66" s="12"/>
      <c r="GD66" s="12"/>
      <c r="GE66" s="12"/>
      <c r="GF66" s="12"/>
      <c r="GG66" s="12"/>
      <c r="GH66" s="12"/>
      <c r="GI66" s="12"/>
      <c r="GJ66" s="12"/>
      <c r="GK66" s="12"/>
      <c r="GL66" s="12"/>
      <c r="GM66" s="12"/>
      <c r="GN66" s="12"/>
      <c r="GO66" s="12"/>
      <c r="GP66" s="12"/>
      <c r="GQ66" s="12"/>
      <c r="GR66" s="12"/>
      <c r="GS66" s="12"/>
      <c r="GT66" s="12"/>
      <c r="GU66" s="12"/>
      <c r="GV66" s="12"/>
      <c r="GW66" s="12"/>
      <c r="GX66" s="12"/>
      <c r="GY66" s="12"/>
      <c r="GZ66" s="12"/>
      <c r="HA66" s="12"/>
      <c r="HB66" s="12"/>
    </row>
    <row r="67" spans="1:210" ht="12.75"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c r="AM67" s="12"/>
      <c r="AN67" s="12"/>
      <c r="AO67" s="12"/>
      <c r="AP67" s="12"/>
      <c r="AQ67" s="12"/>
      <c r="AR67" s="12"/>
      <c r="AS67" s="12"/>
      <c r="AT67" s="12"/>
      <c r="AU67" s="12"/>
      <c r="AV67" s="12"/>
      <c r="AW67" s="12"/>
      <c r="AX67" s="12"/>
      <c r="AY67" s="12"/>
      <c r="AZ67" s="12"/>
      <c r="BA67" s="12"/>
      <c r="BB67" s="12"/>
      <c r="BC67" s="12"/>
      <c r="BD67" s="12"/>
      <c r="BE67" s="12"/>
      <c r="BF67" s="12"/>
      <c r="BG67" s="12"/>
      <c r="BH67" s="12"/>
      <c r="BI67" s="12"/>
      <c r="BJ67" s="12"/>
      <c r="BK67" s="12"/>
      <c r="BL67" s="12"/>
      <c r="BM67" s="12"/>
      <c r="BN67" s="12"/>
      <c r="BO67" s="12"/>
      <c r="BP67" s="12"/>
      <c r="BQ67" s="12"/>
      <c r="BR67" s="12"/>
      <c r="BS67" s="12"/>
      <c r="BT67" s="12"/>
      <c r="BU67" s="12"/>
      <c r="BV67" s="12"/>
      <c r="BW67" s="12"/>
      <c r="BX67" s="12"/>
      <c r="BY67" s="12"/>
      <c r="BZ67" s="12"/>
      <c r="CA67" s="12"/>
      <c r="CB67" s="12"/>
      <c r="CC67" s="12"/>
      <c r="CD67" s="12"/>
      <c r="CE67" s="12"/>
      <c r="CF67" s="12"/>
      <c r="CG67" s="12"/>
      <c r="CH67" s="12"/>
      <c r="CI67" s="12"/>
      <c r="CJ67" s="12"/>
      <c r="CK67" s="12"/>
      <c r="CL67" s="12"/>
      <c r="CM67" s="12"/>
      <c r="CN67" s="12"/>
      <c r="CO67" s="12"/>
      <c r="CP67" s="12"/>
      <c r="CQ67" s="12"/>
      <c r="CR67" s="12"/>
      <c r="CS67" s="12"/>
      <c r="CT67" s="12"/>
      <c r="CU67" s="12"/>
      <c r="CV67" s="12"/>
      <c r="CW67" s="12"/>
      <c r="CX67" s="12"/>
      <c r="CY67" s="12"/>
      <c r="CZ67" s="12"/>
      <c r="DA67" s="12"/>
      <c r="DB67" s="12"/>
      <c r="DC67" s="12"/>
      <c r="DD67" s="12"/>
      <c r="DE67" s="12"/>
      <c r="DF67" s="12"/>
      <c r="DG67" s="12"/>
      <c r="DH67" s="12"/>
      <c r="DI67" s="12"/>
      <c r="DJ67" s="12"/>
      <c r="DK67" s="12"/>
      <c r="DL67" s="12"/>
      <c r="DM67" s="12"/>
      <c r="DN67" s="12"/>
      <c r="DO67" s="12"/>
      <c r="DP67" s="12"/>
      <c r="DQ67" s="12"/>
      <c r="DR67" s="12"/>
      <c r="DS67" s="12"/>
      <c r="DT67" s="12"/>
      <c r="DU67" s="12"/>
      <c r="DV67" s="12"/>
      <c r="DW67" s="12"/>
      <c r="DX67" s="12"/>
      <c r="DY67" s="12"/>
      <c r="DZ67" s="12"/>
      <c r="EA67" s="12"/>
      <c r="EB67" s="12"/>
      <c r="EC67" s="12"/>
      <c r="ED67" s="12"/>
      <c r="EE67" s="12"/>
      <c r="EF67" s="12"/>
      <c r="EG67" s="12"/>
      <c r="EH67" s="12"/>
      <c r="EI67" s="12"/>
      <c r="EJ67" s="12"/>
      <c r="EK67" s="12"/>
      <c r="EL67" s="12"/>
      <c r="EM67" s="12"/>
      <c r="EN67" s="12"/>
      <c r="EO67" s="12"/>
      <c r="EP67" s="12"/>
      <c r="EQ67" s="12"/>
      <c r="ER67" s="12"/>
      <c r="ES67" s="12"/>
      <c r="ET67" s="12"/>
      <c r="EU67" s="12"/>
      <c r="EV67" s="12"/>
      <c r="EW67" s="12"/>
      <c r="EX67" s="12"/>
      <c r="EY67" s="12"/>
      <c r="EZ67" s="12"/>
      <c r="FA67" s="12"/>
      <c r="FB67" s="12"/>
      <c r="FC67" s="12"/>
      <c r="FD67" s="12"/>
      <c r="FE67" s="12"/>
      <c r="FF67" s="12"/>
      <c r="FG67" s="12"/>
      <c r="FH67" s="12"/>
      <c r="FI67" s="12"/>
      <c r="FJ67" s="12"/>
      <c r="FK67" s="12"/>
      <c r="FL67" s="12"/>
      <c r="FM67" s="12"/>
      <c r="FN67" s="12"/>
      <c r="FO67" s="12"/>
      <c r="FP67" s="12"/>
      <c r="FQ67" s="12"/>
      <c r="FR67" s="12"/>
      <c r="FS67" s="12"/>
      <c r="FT67" s="12"/>
      <c r="FU67" s="12"/>
      <c r="FV67" s="12"/>
      <c r="FW67" s="12"/>
      <c r="FX67" s="12"/>
      <c r="FY67" s="12"/>
      <c r="FZ67" s="12"/>
      <c r="GA67" s="12"/>
      <c r="GB67" s="12"/>
      <c r="GC67" s="12"/>
      <c r="GD67" s="12"/>
      <c r="GE67" s="12"/>
      <c r="GF67" s="12"/>
      <c r="GG67" s="12"/>
      <c r="GH67" s="12"/>
      <c r="GI67" s="12"/>
      <c r="GJ67" s="12"/>
      <c r="GK67" s="12"/>
      <c r="GL67" s="12"/>
      <c r="GM67" s="12"/>
      <c r="GN67" s="12"/>
      <c r="GO67" s="12"/>
      <c r="GP67" s="12"/>
      <c r="GQ67" s="12"/>
      <c r="GR67" s="12"/>
      <c r="GS67" s="12"/>
      <c r="GT67" s="12"/>
      <c r="GU67" s="12"/>
      <c r="GV67" s="12"/>
      <c r="GW67" s="12"/>
      <c r="GX67" s="12"/>
      <c r="GY67" s="12"/>
      <c r="GZ67" s="12"/>
      <c r="HA67" s="12"/>
      <c r="HB67" s="12"/>
    </row>
    <row r="68" spans="1:210" ht="12.75"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c r="AM68" s="12"/>
      <c r="AN68" s="12"/>
      <c r="AO68" s="12"/>
      <c r="AP68" s="12"/>
      <c r="AQ68" s="12"/>
      <c r="AR68" s="12"/>
      <c r="AS68" s="12"/>
      <c r="AT68" s="12"/>
      <c r="AU68" s="12"/>
      <c r="AV68" s="12"/>
      <c r="AW68" s="12"/>
      <c r="AX68" s="12"/>
      <c r="AY68" s="12"/>
      <c r="AZ68" s="12"/>
      <c r="BA68" s="12"/>
      <c r="BB68" s="12"/>
      <c r="BC68" s="12"/>
      <c r="BD68" s="12"/>
      <c r="BE68" s="12"/>
      <c r="BF68" s="12"/>
      <c r="BG68" s="12"/>
      <c r="BH68" s="12"/>
      <c r="BI68" s="12"/>
      <c r="BJ68" s="12"/>
      <c r="BK68" s="12"/>
      <c r="BL68" s="12"/>
      <c r="BM68" s="12"/>
      <c r="BN68" s="12"/>
      <c r="BO68" s="12"/>
      <c r="BP68" s="12"/>
      <c r="BQ68" s="12"/>
      <c r="BR68" s="12"/>
      <c r="BS68" s="12"/>
      <c r="BT68" s="12"/>
      <c r="BU68" s="12"/>
      <c r="BV68" s="12"/>
      <c r="BW68" s="12"/>
      <c r="BX68" s="12"/>
      <c r="BY68" s="12"/>
      <c r="BZ68" s="12"/>
      <c r="CA68" s="12"/>
      <c r="CB68" s="12"/>
      <c r="CC68" s="12"/>
      <c r="CD68" s="12"/>
      <c r="CE68" s="12"/>
      <c r="CF68" s="12"/>
      <c r="CG68" s="12"/>
      <c r="CH68" s="12"/>
      <c r="CI68" s="12"/>
      <c r="CJ68" s="12"/>
      <c r="CK68" s="12"/>
      <c r="CL68" s="12"/>
      <c r="CM68" s="12"/>
      <c r="CN68" s="12"/>
      <c r="CO68" s="12"/>
      <c r="CP68" s="12"/>
      <c r="CQ68" s="12"/>
      <c r="CR68" s="12"/>
      <c r="CS68" s="12"/>
      <c r="CT68" s="12"/>
      <c r="CU68" s="12"/>
      <c r="CV68" s="12"/>
      <c r="CW68" s="12"/>
      <c r="CX68" s="12"/>
      <c r="CY68" s="12"/>
      <c r="CZ68" s="12"/>
      <c r="DA68" s="12"/>
      <c r="DB68" s="12"/>
      <c r="DC68" s="12"/>
      <c r="DD68" s="12"/>
      <c r="DE68" s="12"/>
      <c r="DF68" s="12"/>
      <c r="DG68" s="12"/>
      <c r="DH68" s="12"/>
      <c r="DI68" s="12"/>
      <c r="DJ68" s="12"/>
      <c r="DK68" s="12"/>
      <c r="DL68" s="12"/>
      <c r="DM68" s="12"/>
      <c r="DN68" s="12"/>
      <c r="DO68" s="12"/>
      <c r="DP68" s="12"/>
      <c r="DQ68" s="12"/>
      <c r="DR68" s="12"/>
      <c r="DS68" s="12"/>
      <c r="DT68" s="12"/>
      <c r="DU68" s="12"/>
      <c r="DV68" s="12"/>
      <c r="DW68" s="12"/>
      <c r="DX68" s="12"/>
      <c r="DY68" s="12"/>
      <c r="DZ68" s="12"/>
      <c r="EA68" s="12"/>
      <c r="EB68" s="12"/>
      <c r="EC68" s="12"/>
      <c r="ED68" s="12"/>
      <c r="EE68" s="12"/>
      <c r="EF68" s="12"/>
      <c r="EG68" s="12"/>
      <c r="EH68" s="12"/>
      <c r="EI68" s="12"/>
      <c r="EJ68" s="12"/>
      <c r="EK68" s="12"/>
      <c r="EL68" s="12"/>
      <c r="EM68" s="12"/>
      <c r="EN68" s="12"/>
      <c r="EO68" s="12"/>
      <c r="EP68" s="12"/>
      <c r="EQ68" s="12"/>
      <c r="ER68" s="12"/>
      <c r="ES68" s="12"/>
      <c r="ET68" s="12"/>
      <c r="EU68" s="12"/>
      <c r="EV68" s="12"/>
      <c r="EW68" s="12"/>
      <c r="EX68" s="12"/>
      <c r="EY68" s="12"/>
      <c r="EZ68" s="12"/>
      <c r="FA68" s="12"/>
      <c r="FB68" s="12"/>
      <c r="FC68" s="12"/>
      <c r="FD68" s="12"/>
      <c r="FE68" s="12"/>
      <c r="FF68" s="12"/>
      <c r="FG68" s="12"/>
      <c r="FH68" s="12"/>
      <c r="FI68" s="12"/>
      <c r="FJ68" s="12"/>
      <c r="FK68" s="12"/>
      <c r="FL68" s="12"/>
      <c r="FM68" s="12"/>
      <c r="FN68" s="12"/>
      <c r="FO68" s="12"/>
      <c r="FP68" s="12"/>
      <c r="FQ68" s="12"/>
      <c r="FR68" s="12"/>
      <c r="FS68" s="12"/>
      <c r="FT68" s="12"/>
      <c r="FU68" s="12"/>
      <c r="FV68" s="12"/>
      <c r="FW68" s="12"/>
      <c r="FX68" s="12"/>
      <c r="FY68" s="12"/>
      <c r="FZ68" s="12"/>
      <c r="GA68" s="12"/>
      <c r="GB68" s="12"/>
      <c r="GC68" s="12"/>
      <c r="GD68" s="12"/>
      <c r="GE68" s="12"/>
      <c r="GF68" s="12"/>
      <c r="GG68" s="12"/>
      <c r="GH68" s="12"/>
      <c r="GI68" s="12"/>
      <c r="GJ68" s="12"/>
      <c r="GK68" s="12"/>
      <c r="GL68" s="12"/>
      <c r="GM68" s="12"/>
      <c r="GN68" s="12"/>
      <c r="GO68" s="12"/>
      <c r="GP68" s="12"/>
      <c r="GQ68" s="12"/>
      <c r="GR68" s="12"/>
      <c r="GS68" s="12"/>
      <c r="GT68" s="12"/>
      <c r="GU68" s="12"/>
      <c r="GV68" s="12"/>
      <c r="GW68" s="12"/>
      <c r="GX68" s="12"/>
      <c r="GY68" s="12"/>
      <c r="GZ68" s="12"/>
      <c r="HA68" s="12"/>
      <c r="HB68" s="12"/>
    </row>
    <row r="69" spans="1:210" ht="12.75" customHeight="1">
      <c r="A69" s="12"/>
      <c r="B69" s="12"/>
      <c r="C69" s="12"/>
      <c r="D69" s="12"/>
      <c r="E69" s="12"/>
      <c r="F69" s="12"/>
      <c r="G69" s="12"/>
      <c r="H69" s="12"/>
      <c r="I69" s="12"/>
      <c r="J69" s="12"/>
      <c r="K69" s="12"/>
      <c r="L69" s="12"/>
      <c r="M69" s="68"/>
      <c r="N69" s="68"/>
      <c r="O69" s="12"/>
      <c r="P69" s="12"/>
      <c r="Q69" s="12"/>
      <c r="R69" s="12"/>
      <c r="S69" s="12"/>
      <c r="T69" s="12"/>
      <c r="U69" s="12"/>
      <c r="V69" s="12"/>
      <c r="W69" s="15"/>
      <c r="X69" s="15"/>
      <c r="Y69" s="15"/>
      <c r="Z69" s="15"/>
      <c r="AA69" s="15"/>
      <c r="AB69" s="15"/>
      <c r="AC69" s="15"/>
      <c r="AD69" s="12"/>
      <c r="AE69" s="12"/>
      <c r="AF69" s="12"/>
      <c r="AG69" s="12"/>
      <c r="AH69" s="12"/>
      <c r="AI69" s="12"/>
      <c r="AJ69" s="12"/>
      <c r="AK69" s="12"/>
      <c r="AL69" s="12"/>
      <c r="AM69" s="12"/>
      <c r="AN69" s="12"/>
      <c r="AO69" s="12"/>
      <c r="AP69" s="12"/>
      <c r="AQ69" s="12"/>
      <c r="AR69" s="12"/>
      <c r="AS69" s="12"/>
      <c r="AT69" s="12"/>
      <c r="AU69" s="12"/>
      <c r="AV69" s="12"/>
      <c r="AW69" s="12"/>
      <c r="AX69" s="12"/>
      <c r="AY69" s="12"/>
      <c r="AZ69" s="12"/>
      <c r="BA69" s="12"/>
      <c r="BB69" s="12"/>
      <c r="BC69" s="12"/>
      <c r="BD69" s="12"/>
      <c r="BE69" s="12"/>
      <c r="BF69" s="12"/>
      <c r="BG69" s="12"/>
      <c r="BH69" s="12"/>
      <c r="BI69" s="12"/>
      <c r="BJ69" s="12"/>
      <c r="BK69" s="12"/>
      <c r="BL69" s="12"/>
      <c r="BM69" s="12"/>
      <c r="BN69" s="12"/>
      <c r="BO69" s="12"/>
      <c r="BP69" s="12"/>
      <c r="BQ69" s="12"/>
      <c r="BR69" s="12"/>
      <c r="BS69" s="12"/>
      <c r="BT69" s="12"/>
      <c r="BU69" s="12"/>
      <c r="BV69" s="12"/>
      <c r="BW69" s="12"/>
      <c r="BX69" s="12"/>
      <c r="BY69" s="12"/>
      <c r="BZ69" s="12"/>
      <c r="CA69" s="12"/>
      <c r="CB69" s="12"/>
      <c r="CC69" s="12"/>
      <c r="CD69" s="12"/>
      <c r="CE69" s="12"/>
      <c r="CF69" s="12"/>
      <c r="CG69" s="12"/>
      <c r="CH69" s="12"/>
      <c r="CI69" s="12"/>
      <c r="CJ69" s="12"/>
      <c r="CK69" s="12"/>
      <c r="CL69" s="12"/>
      <c r="CM69" s="12"/>
      <c r="CN69" s="12"/>
      <c r="CO69" s="12"/>
      <c r="CP69" s="12"/>
      <c r="CQ69" s="12"/>
      <c r="CR69" s="12"/>
      <c r="CS69" s="12"/>
      <c r="CT69" s="12"/>
      <c r="CU69" s="12"/>
      <c r="CV69" s="12"/>
      <c r="CW69" s="12"/>
      <c r="CX69" s="12"/>
      <c r="CY69" s="12"/>
      <c r="CZ69" s="12"/>
      <c r="DA69" s="12"/>
      <c r="DB69" s="12"/>
      <c r="DC69" s="12"/>
      <c r="DD69" s="12"/>
      <c r="DE69" s="12"/>
      <c r="DF69" s="12"/>
      <c r="DG69" s="12"/>
      <c r="DH69" s="12"/>
      <c r="DI69" s="12"/>
      <c r="DJ69" s="12"/>
      <c r="DK69" s="12"/>
      <c r="DL69" s="12"/>
      <c r="DM69" s="12"/>
      <c r="DN69" s="12"/>
      <c r="DO69" s="12"/>
      <c r="DP69" s="12"/>
      <c r="DQ69" s="12"/>
      <c r="DR69" s="12"/>
      <c r="DS69" s="12"/>
      <c r="DT69" s="12"/>
      <c r="DU69" s="12"/>
      <c r="DV69" s="12"/>
      <c r="DW69" s="12"/>
      <c r="DX69" s="12"/>
      <c r="DY69" s="12"/>
      <c r="DZ69" s="12"/>
      <c r="EA69" s="12"/>
      <c r="EB69" s="12"/>
      <c r="EC69" s="12"/>
      <c r="ED69" s="12"/>
      <c r="EE69" s="12"/>
      <c r="EF69" s="12"/>
      <c r="EG69" s="12"/>
      <c r="EH69" s="12"/>
      <c r="EI69" s="12"/>
      <c r="EJ69" s="12"/>
      <c r="EK69" s="12"/>
      <c r="EL69" s="12"/>
      <c r="EM69" s="12"/>
      <c r="EN69" s="12"/>
      <c r="EO69" s="12"/>
      <c r="EP69" s="12"/>
      <c r="EQ69" s="12"/>
      <c r="ER69" s="12"/>
      <c r="ES69" s="12"/>
      <c r="ET69" s="12"/>
      <c r="EU69" s="12"/>
      <c r="EV69" s="12"/>
      <c r="EW69" s="12"/>
      <c r="EX69" s="12"/>
      <c r="EY69" s="12"/>
      <c r="EZ69" s="12"/>
      <c r="FA69" s="12"/>
      <c r="FB69" s="12"/>
      <c r="FC69" s="12"/>
      <c r="FD69" s="12"/>
      <c r="FE69" s="12"/>
      <c r="FF69" s="12"/>
      <c r="FG69" s="12"/>
      <c r="FH69" s="12"/>
      <c r="FI69" s="12"/>
      <c r="FJ69" s="12"/>
      <c r="FK69" s="12"/>
      <c r="FL69" s="12"/>
      <c r="FM69" s="12"/>
      <c r="FN69" s="12"/>
      <c r="FO69" s="12"/>
      <c r="FP69" s="12"/>
      <c r="FQ69" s="12"/>
      <c r="FR69" s="12"/>
      <c r="FS69" s="12"/>
      <c r="FT69" s="12"/>
      <c r="FU69" s="12"/>
      <c r="FV69" s="12"/>
      <c r="FW69" s="12"/>
      <c r="FX69" s="12"/>
      <c r="FY69" s="12"/>
      <c r="FZ69" s="12"/>
      <c r="GA69" s="12"/>
      <c r="GB69" s="12"/>
      <c r="GC69" s="12"/>
      <c r="GD69" s="12"/>
      <c r="GE69" s="12"/>
      <c r="GF69" s="12"/>
      <c r="GG69" s="12"/>
      <c r="GH69" s="12"/>
      <c r="GI69" s="12"/>
      <c r="GJ69" s="12"/>
      <c r="GK69" s="12"/>
      <c r="GL69" s="12"/>
      <c r="GM69" s="12"/>
      <c r="GN69" s="12"/>
      <c r="GO69" s="12"/>
      <c r="GP69" s="12"/>
      <c r="GQ69" s="12"/>
      <c r="GR69" s="12"/>
      <c r="GS69" s="12"/>
      <c r="GT69" s="12"/>
      <c r="GU69" s="12"/>
      <c r="GV69" s="12"/>
      <c r="GW69" s="12"/>
      <c r="GX69" s="12"/>
      <c r="GY69" s="12"/>
      <c r="GZ69" s="12"/>
      <c r="HA69" s="12"/>
      <c r="HB69" s="12"/>
    </row>
    <row r="70" spans="1:210" ht="12.75" customHeight="1">
      <c r="A70" s="12"/>
      <c r="B70" s="12"/>
      <c r="C70" s="12"/>
      <c r="D70" s="12"/>
      <c r="E70" s="12"/>
      <c r="F70" s="12"/>
      <c r="G70" s="12"/>
      <c r="H70" s="12"/>
      <c r="I70" s="12"/>
      <c r="J70" s="12"/>
      <c r="K70" s="12"/>
      <c r="L70" s="12"/>
      <c r="M70" s="12"/>
      <c r="N70" s="12"/>
      <c r="O70" s="12"/>
      <c r="P70" s="12"/>
      <c r="Q70" s="12"/>
      <c r="R70" s="12"/>
      <c r="S70" s="12"/>
      <c r="T70" s="12"/>
      <c r="U70" s="12"/>
      <c r="V70" s="12"/>
      <c r="W70" s="15"/>
      <c r="X70" s="15"/>
      <c r="Y70" s="15"/>
      <c r="Z70" s="15"/>
      <c r="AA70" s="15"/>
      <c r="AB70" s="15"/>
      <c r="AC70" s="15"/>
      <c r="AD70" s="12"/>
      <c r="AE70" s="12"/>
      <c r="AF70" s="12"/>
      <c r="AG70" s="12"/>
      <c r="AH70" s="12"/>
      <c r="AI70" s="12"/>
      <c r="AJ70" s="12"/>
      <c r="AK70" s="12"/>
      <c r="AL70" s="12"/>
      <c r="AM70" s="12"/>
      <c r="AN70" s="12"/>
      <c r="AO70" s="12"/>
      <c r="AP70" s="12"/>
      <c r="AQ70" s="12"/>
      <c r="AR70" s="12"/>
      <c r="AS70" s="12"/>
      <c r="AT70" s="12"/>
      <c r="AU70" s="12"/>
      <c r="AV70" s="12"/>
      <c r="AW70" s="12"/>
      <c r="AX70" s="12"/>
      <c r="AY70" s="12"/>
      <c r="AZ70" s="12"/>
      <c r="BA70" s="12"/>
      <c r="BB70" s="12"/>
      <c r="BC70" s="12"/>
      <c r="BD70" s="12"/>
      <c r="BE70" s="12"/>
      <c r="BF70" s="12"/>
      <c r="BG70" s="12"/>
      <c r="BH70" s="12"/>
      <c r="BI70" s="12"/>
      <c r="BJ70" s="12"/>
      <c r="BK70" s="12"/>
      <c r="BL70" s="12"/>
      <c r="BM70" s="12"/>
      <c r="BN70" s="12"/>
      <c r="BO70" s="12"/>
      <c r="BP70" s="12"/>
      <c r="BQ70" s="12"/>
      <c r="BR70" s="12"/>
      <c r="BS70" s="12"/>
      <c r="BT70" s="12"/>
      <c r="BU70" s="12"/>
      <c r="BV70" s="12"/>
      <c r="BW70" s="12"/>
      <c r="BX70" s="12"/>
      <c r="BY70" s="12"/>
      <c r="BZ70" s="12"/>
      <c r="CA70" s="12"/>
      <c r="CB70" s="12"/>
      <c r="CC70" s="12"/>
      <c r="CD70" s="12"/>
      <c r="CE70" s="12"/>
      <c r="CF70" s="12"/>
      <c r="CG70" s="12"/>
      <c r="CH70" s="12"/>
      <c r="CI70" s="12"/>
      <c r="CJ70" s="12"/>
      <c r="CK70" s="12"/>
      <c r="CL70" s="12"/>
      <c r="CM70" s="12"/>
      <c r="CN70" s="12"/>
      <c r="CO70" s="12"/>
      <c r="CP70" s="12"/>
      <c r="CQ70" s="12"/>
      <c r="CR70" s="12"/>
      <c r="CS70" s="12"/>
      <c r="CT70" s="12"/>
      <c r="CU70" s="12"/>
      <c r="CV70" s="12"/>
      <c r="CW70" s="12"/>
      <c r="CX70" s="12"/>
      <c r="CY70" s="12"/>
      <c r="CZ70" s="12"/>
      <c r="DA70" s="12"/>
      <c r="DB70" s="12"/>
      <c r="DC70" s="12"/>
      <c r="DD70" s="12"/>
      <c r="DE70" s="12"/>
      <c r="DF70" s="12"/>
      <c r="DG70" s="12"/>
      <c r="DH70" s="12"/>
      <c r="DI70" s="12"/>
      <c r="DJ70" s="12"/>
      <c r="DK70" s="12"/>
      <c r="DL70" s="12"/>
      <c r="DM70" s="12"/>
      <c r="DN70" s="12"/>
      <c r="DO70" s="12"/>
      <c r="DP70" s="12"/>
      <c r="DQ70" s="12"/>
      <c r="DR70" s="12"/>
      <c r="DS70" s="12"/>
      <c r="DT70" s="12"/>
      <c r="DU70" s="12"/>
      <c r="DV70" s="12"/>
      <c r="DW70" s="12"/>
      <c r="DX70" s="12"/>
      <c r="DY70" s="12"/>
      <c r="DZ70" s="12"/>
      <c r="EA70" s="12"/>
      <c r="EB70" s="12"/>
      <c r="EC70" s="12"/>
      <c r="ED70" s="12"/>
      <c r="EE70" s="12"/>
      <c r="EF70" s="12"/>
      <c r="EG70" s="12"/>
      <c r="EH70" s="12"/>
      <c r="EI70" s="12"/>
      <c r="EJ70" s="12"/>
      <c r="EK70" s="12"/>
      <c r="EL70" s="12"/>
      <c r="EM70" s="12"/>
      <c r="EN70" s="12"/>
      <c r="EO70" s="12"/>
      <c r="EP70" s="12"/>
      <c r="EQ70" s="12"/>
      <c r="ER70" s="12"/>
      <c r="ES70" s="12"/>
      <c r="ET70" s="12"/>
      <c r="EU70" s="12"/>
      <c r="EV70" s="12"/>
      <c r="EW70" s="12"/>
      <c r="EX70" s="12"/>
      <c r="EY70" s="12"/>
      <c r="EZ70" s="12"/>
      <c r="FA70" s="12"/>
      <c r="FB70" s="12"/>
      <c r="FC70" s="12"/>
      <c r="FD70" s="12"/>
      <c r="FE70" s="12"/>
      <c r="FF70" s="12"/>
      <c r="FG70" s="12"/>
      <c r="FH70" s="12"/>
      <c r="FI70" s="12"/>
      <c r="FJ70" s="12"/>
      <c r="FK70" s="12"/>
      <c r="FL70" s="12"/>
      <c r="FM70" s="12"/>
      <c r="FN70" s="12"/>
      <c r="FO70" s="12"/>
      <c r="FP70" s="12"/>
      <c r="FQ70" s="12"/>
      <c r="FR70" s="12"/>
      <c r="FS70" s="12"/>
      <c r="FT70" s="12"/>
      <c r="FU70" s="12"/>
      <c r="FV70" s="12"/>
      <c r="FW70" s="12"/>
      <c r="FX70" s="12"/>
      <c r="FY70" s="12"/>
      <c r="FZ70" s="12"/>
      <c r="GA70" s="12"/>
      <c r="GB70" s="12"/>
      <c r="GC70" s="12"/>
      <c r="GD70" s="12"/>
      <c r="GE70" s="12"/>
      <c r="GF70" s="12"/>
      <c r="GG70" s="12"/>
      <c r="GH70" s="12"/>
      <c r="GI70" s="12"/>
      <c r="GJ70" s="12"/>
      <c r="GK70" s="12"/>
      <c r="GL70" s="12"/>
      <c r="GM70" s="12"/>
      <c r="GN70" s="12"/>
      <c r="GO70" s="12"/>
      <c r="GP70" s="12"/>
      <c r="GQ70" s="12"/>
      <c r="GR70" s="12"/>
      <c r="GS70" s="12"/>
      <c r="GT70" s="12"/>
      <c r="GU70" s="12"/>
      <c r="GV70" s="12"/>
      <c r="GW70" s="12"/>
      <c r="GX70" s="12"/>
      <c r="GY70" s="12"/>
      <c r="GZ70" s="12"/>
      <c r="HA70" s="12"/>
      <c r="HB70" s="12"/>
    </row>
    <row r="71" spans="1:210" ht="12.75" customHeight="1">
      <c r="A71" s="12"/>
      <c r="B71" s="12"/>
      <c r="C71" s="12"/>
      <c r="D71" s="12"/>
      <c r="E71" s="12"/>
      <c r="F71" s="12"/>
      <c r="G71" s="12"/>
      <c r="H71" s="12"/>
      <c r="I71" s="12"/>
      <c r="J71" s="12"/>
      <c r="K71" s="12"/>
      <c r="L71" s="12"/>
      <c r="M71" s="12"/>
      <c r="N71" s="12"/>
      <c r="O71" s="12"/>
      <c r="P71" s="12"/>
      <c r="Q71" s="12"/>
      <c r="R71" s="12"/>
      <c r="S71" s="12"/>
      <c r="T71" s="12"/>
      <c r="U71" s="12"/>
      <c r="V71" s="12"/>
      <c r="W71" s="15"/>
      <c r="X71" s="15"/>
      <c r="Y71" s="15"/>
      <c r="Z71" s="15"/>
      <c r="AA71" s="15"/>
      <c r="AB71" s="15"/>
      <c r="AC71" s="15"/>
      <c r="AD71" s="12"/>
      <c r="AE71" s="12"/>
      <c r="AF71" s="12"/>
      <c r="AG71" s="12"/>
      <c r="AH71" s="12"/>
      <c r="AI71" s="12"/>
      <c r="AJ71" s="12"/>
      <c r="AK71" s="12"/>
      <c r="AL71" s="12"/>
      <c r="AM71" s="12"/>
      <c r="AN71" s="12"/>
      <c r="AO71" s="12"/>
      <c r="AP71" s="12"/>
      <c r="AQ71" s="12"/>
      <c r="AR71" s="12"/>
      <c r="AS71" s="12"/>
      <c r="AT71" s="12"/>
      <c r="AU71" s="12"/>
      <c r="AV71" s="12"/>
      <c r="AW71" s="12"/>
      <c r="AX71" s="12"/>
      <c r="AY71" s="12"/>
      <c r="AZ71" s="12"/>
      <c r="BA71" s="12"/>
      <c r="BB71" s="12"/>
      <c r="BC71" s="12"/>
      <c r="BD71" s="12"/>
      <c r="BE71" s="12"/>
      <c r="BF71" s="12"/>
      <c r="BG71" s="12"/>
      <c r="BH71" s="12"/>
      <c r="BI71" s="12"/>
      <c r="BJ71" s="12"/>
      <c r="BK71" s="12"/>
      <c r="BL71" s="12"/>
      <c r="BM71" s="12"/>
      <c r="BN71" s="12"/>
      <c r="BO71" s="12"/>
      <c r="BP71" s="12"/>
      <c r="BQ71" s="12"/>
      <c r="BR71" s="12"/>
      <c r="BS71" s="12"/>
      <c r="BT71" s="12"/>
      <c r="BU71" s="12"/>
      <c r="BV71" s="12"/>
      <c r="BW71" s="12"/>
      <c r="BX71" s="12"/>
      <c r="BY71" s="12"/>
      <c r="BZ71" s="12"/>
      <c r="CA71" s="12"/>
      <c r="CB71" s="12"/>
      <c r="CC71" s="12"/>
      <c r="CD71" s="12"/>
      <c r="CE71" s="12"/>
      <c r="CF71" s="12"/>
      <c r="CG71" s="12"/>
      <c r="CH71" s="12"/>
      <c r="CI71" s="12"/>
      <c r="CJ71" s="12"/>
      <c r="CK71" s="12"/>
      <c r="CL71" s="12"/>
      <c r="CM71" s="12"/>
      <c r="CN71" s="12"/>
      <c r="CO71" s="12"/>
      <c r="CP71" s="12"/>
      <c r="CQ71" s="12"/>
      <c r="CR71" s="12"/>
      <c r="CS71" s="12"/>
      <c r="CT71" s="12"/>
      <c r="CU71" s="12"/>
      <c r="CV71" s="12"/>
      <c r="CW71" s="12"/>
      <c r="CX71" s="12"/>
      <c r="CY71" s="12"/>
      <c r="CZ71" s="12"/>
      <c r="DA71" s="12"/>
      <c r="DB71" s="12"/>
      <c r="DC71" s="12"/>
      <c r="DD71" s="12"/>
      <c r="DE71" s="12"/>
      <c r="DF71" s="12"/>
      <c r="DG71" s="12"/>
      <c r="DH71" s="12"/>
      <c r="DI71" s="12"/>
      <c r="DJ71" s="12"/>
      <c r="DK71" s="12"/>
      <c r="DL71" s="12"/>
      <c r="DM71" s="12"/>
      <c r="DN71" s="12"/>
      <c r="DO71" s="12"/>
      <c r="DP71" s="12"/>
      <c r="DQ71" s="12"/>
      <c r="DR71" s="12"/>
      <c r="DS71" s="12"/>
      <c r="DT71" s="12"/>
      <c r="DU71" s="12"/>
      <c r="DV71" s="12"/>
      <c r="DW71" s="12"/>
      <c r="DX71" s="12"/>
      <c r="DY71" s="12"/>
      <c r="DZ71" s="12"/>
      <c r="EA71" s="12"/>
      <c r="EB71" s="12"/>
      <c r="EC71" s="12"/>
      <c r="ED71" s="12"/>
      <c r="EE71" s="12"/>
      <c r="EF71" s="12"/>
      <c r="EG71" s="12"/>
      <c r="EH71" s="12"/>
      <c r="EI71" s="12"/>
      <c r="EJ71" s="12"/>
      <c r="EK71" s="12"/>
      <c r="EL71" s="12"/>
      <c r="EM71" s="12"/>
      <c r="EN71" s="12"/>
      <c r="EO71" s="12"/>
      <c r="EP71" s="12"/>
      <c r="EQ71" s="12"/>
      <c r="ER71" s="12"/>
      <c r="ES71" s="12"/>
      <c r="ET71" s="12"/>
      <c r="EU71" s="12"/>
      <c r="EV71" s="12"/>
      <c r="EW71" s="12"/>
      <c r="EX71" s="12"/>
      <c r="EY71" s="12"/>
      <c r="EZ71" s="12"/>
      <c r="FA71" s="12"/>
      <c r="FB71" s="12"/>
      <c r="FC71" s="12"/>
      <c r="FD71" s="12"/>
      <c r="FE71" s="12"/>
      <c r="FF71" s="12"/>
      <c r="FG71" s="12"/>
      <c r="FH71" s="12"/>
      <c r="FI71" s="12"/>
      <c r="FJ71" s="12"/>
      <c r="FK71" s="12"/>
      <c r="FL71" s="12"/>
      <c r="FM71" s="12"/>
      <c r="FN71" s="12"/>
      <c r="FO71" s="12"/>
      <c r="FP71" s="12"/>
      <c r="FQ71" s="12"/>
      <c r="FR71" s="12"/>
      <c r="FS71" s="12"/>
      <c r="FT71" s="12"/>
      <c r="FU71" s="12"/>
      <c r="FV71" s="12"/>
      <c r="FW71" s="12"/>
      <c r="FX71" s="12"/>
      <c r="FY71" s="12"/>
      <c r="FZ71" s="12"/>
      <c r="GA71" s="12"/>
      <c r="GB71" s="12"/>
      <c r="GC71" s="12"/>
      <c r="GD71" s="12"/>
      <c r="GE71" s="12"/>
      <c r="GF71" s="12"/>
      <c r="GG71" s="12"/>
      <c r="GH71" s="12"/>
      <c r="GI71" s="12"/>
      <c r="GJ71" s="12"/>
      <c r="GK71" s="12"/>
      <c r="GL71" s="12"/>
      <c r="GM71" s="12"/>
      <c r="GN71" s="12"/>
      <c r="GO71" s="12"/>
      <c r="GP71" s="12"/>
      <c r="GQ71" s="12"/>
      <c r="GR71" s="12"/>
      <c r="GS71" s="12"/>
      <c r="GT71" s="12"/>
      <c r="GU71" s="12"/>
      <c r="GV71" s="12"/>
      <c r="GW71" s="12"/>
      <c r="GX71" s="12"/>
      <c r="GY71" s="12"/>
      <c r="GZ71" s="12"/>
      <c r="HA71" s="12"/>
      <c r="HB71" s="12"/>
    </row>
    <row r="72" spans="1:210" ht="12.75" customHeight="1">
      <c r="A72" s="12"/>
      <c r="B72" s="12"/>
      <c r="C72" s="12"/>
      <c r="D72" s="12"/>
      <c r="E72" s="12"/>
      <c r="F72" s="12"/>
      <c r="G72" s="12"/>
      <c r="H72" s="12"/>
      <c r="I72" s="12"/>
      <c r="J72" s="12"/>
      <c r="K72" s="12"/>
      <c r="L72" s="12"/>
      <c r="M72" s="12"/>
      <c r="N72" s="12"/>
      <c r="O72" s="12"/>
      <c r="P72" s="12"/>
      <c r="Q72" s="12"/>
      <c r="R72" s="12"/>
      <c r="S72" s="12"/>
      <c r="T72" s="12"/>
      <c r="U72" s="12"/>
      <c r="V72" s="12"/>
      <c r="W72" s="15"/>
      <c r="X72" s="15"/>
      <c r="Y72" s="15"/>
      <c r="Z72" s="15"/>
      <c r="AA72" s="15"/>
      <c r="AB72" s="15"/>
      <c r="AC72" s="15"/>
      <c r="AD72" s="12"/>
      <c r="AE72" s="12"/>
      <c r="AF72" s="12"/>
      <c r="AG72" s="12"/>
      <c r="AH72" s="12"/>
      <c r="AI72" s="12"/>
      <c r="AJ72" s="12"/>
      <c r="AK72" s="12"/>
      <c r="AL72" s="12"/>
      <c r="AM72" s="12"/>
      <c r="AN72" s="12"/>
      <c r="AO72" s="12"/>
      <c r="AP72" s="12"/>
      <c r="AQ72" s="12"/>
      <c r="AR72" s="12"/>
      <c r="AS72" s="12"/>
      <c r="AT72" s="12"/>
      <c r="AU72" s="12"/>
      <c r="AV72" s="12"/>
      <c r="AW72" s="12"/>
      <c r="AX72" s="12"/>
      <c r="AY72" s="12"/>
      <c r="AZ72" s="12"/>
      <c r="BA72" s="12"/>
      <c r="BB72" s="12"/>
      <c r="BC72" s="12"/>
      <c r="BD72" s="12"/>
      <c r="BE72" s="12"/>
      <c r="BF72" s="12"/>
      <c r="BG72" s="12"/>
      <c r="BH72" s="12"/>
      <c r="BI72" s="12"/>
      <c r="BJ72" s="12"/>
      <c r="BK72" s="12"/>
      <c r="BL72" s="12"/>
      <c r="BM72" s="12"/>
      <c r="BN72" s="12"/>
      <c r="BO72" s="12"/>
      <c r="BP72" s="12"/>
      <c r="BQ72" s="12"/>
      <c r="BR72" s="12"/>
      <c r="BS72" s="12"/>
      <c r="BT72" s="12"/>
      <c r="BU72" s="12"/>
      <c r="BV72" s="12"/>
      <c r="BW72" s="12"/>
      <c r="BX72" s="12"/>
      <c r="BY72" s="12"/>
      <c r="BZ72" s="12"/>
      <c r="CA72" s="12"/>
      <c r="CB72" s="12"/>
      <c r="CC72" s="12"/>
      <c r="CD72" s="12"/>
      <c r="CE72" s="12"/>
      <c r="CF72" s="12"/>
      <c r="CG72" s="12"/>
      <c r="CH72" s="12"/>
      <c r="CI72" s="12"/>
      <c r="CJ72" s="12"/>
      <c r="CK72" s="12"/>
      <c r="CL72" s="12"/>
      <c r="CM72" s="12"/>
      <c r="CN72" s="12"/>
      <c r="CO72" s="12"/>
      <c r="CP72" s="12"/>
      <c r="CQ72" s="12"/>
      <c r="CR72" s="12"/>
      <c r="CS72" s="12"/>
      <c r="CT72" s="12"/>
      <c r="CU72" s="12"/>
      <c r="CV72" s="12"/>
      <c r="CW72" s="12"/>
      <c r="CX72" s="12"/>
      <c r="CY72" s="12"/>
      <c r="CZ72" s="12"/>
      <c r="DA72" s="12"/>
      <c r="DB72" s="12"/>
      <c r="DC72" s="12"/>
      <c r="DD72" s="12"/>
      <c r="DE72" s="12"/>
      <c r="DF72" s="12"/>
      <c r="DG72" s="12"/>
      <c r="DH72" s="12"/>
      <c r="DI72" s="12"/>
      <c r="DJ72" s="12"/>
      <c r="DK72" s="12"/>
      <c r="DL72" s="12"/>
      <c r="DM72" s="12"/>
      <c r="DN72" s="12"/>
      <c r="DO72" s="12"/>
      <c r="DP72" s="12"/>
      <c r="DQ72" s="12"/>
      <c r="DR72" s="12"/>
      <c r="DS72" s="12"/>
      <c r="DT72" s="12"/>
      <c r="DU72" s="12"/>
      <c r="DV72" s="12"/>
      <c r="DW72" s="12"/>
      <c r="DX72" s="12"/>
      <c r="DY72" s="12"/>
      <c r="DZ72" s="12"/>
      <c r="EA72" s="12"/>
      <c r="EB72" s="12"/>
      <c r="EC72" s="12"/>
      <c r="ED72" s="12"/>
      <c r="EE72" s="12"/>
      <c r="EF72" s="12"/>
      <c r="EG72" s="12"/>
      <c r="EH72" s="12"/>
      <c r="EI72" s="12"/>
      <c r="EJ72" s="12"/>
      <c r="EK72" s="12"/>
      <c r="EL72" s="12"/>
      <c r="EM72" s="12"/>
      <c r="EN72" s="12"/>
      <c r="EO72" s="12"/>
      <c r="EP72" s="12"/>
      <c r="EQ72" s="12"/>
      <c r="ER72" s="12"/>
      <c r="ES72" s="12"/>
      <c r="ET72" s="12"/>
      <c r="EU72" s="12"/>
      <c r="EV72" s="12"/>
      <c r="EW72" s="12"/>
      <c r="EX72" s="12"/>
      <c r="EY72" s="12"/>
      <c r="EZ72" s="12"/>
      <c r="FA72" s="12"/>
      <c r="FB72" s="12"/>
      <c r="FC72" s="12"/>
      <c r="FD72" s="12"/>
      <c r="FE72" s="12"/>
      <c r="FF72" s="12"/>
      <c r="FG72" s="12"/>
      <c r="FH72" s="12"/>
      <c r="FI72" s="12"/>
      <c r="FJ72" s="12"/>
      <c r="FK72" s="12"/>
      <c r="FL72" s="12"/>
      <c r="FM72" s="12"/>
      <c r="FN72" s="12"/>
      <c r="FO72" s="12"/>
      <c r="FP72" s="12"/>
      <c r="FQ72" s="12"/>
      <c r="FR72" s="12"/>
      <c r="FS72" s="12"/>
      <c r="FT72" s="12"/>
      <c r="FU72" s="12"/>
      <c r="FV72" s="12"/>
      <c r="FW72" s="12"/>
      <c r="FX72" s="12"/>
      <c r="FY72" s="12"/>
      <c r="FZ72" s="12"/>
      <c r="GA72" s="12"/>
      <c r="GB72" s="12"/>
      <c r="GC72" s="12"/>
      <c r="GD72" s="12"/>
      <c r="GE72" s="12"/>
      <c r="GF72" s="12"/>
      <c r="GG72" s="12"/>
      <c r="GH72" s="12"/>
      <c r="GI72" s="12"/>
      <c r="GJ72" s="12"/>
      <c r="GK72" s="12"/>
      <c r="GL72" s="12"/>
      <c r="GM72" s="12"/>
      <c r="GN72" s="12"/>
      <c r="GO72" s="12"/>
      <c r="GP72" s="12"/>
      <c r="GQ72" s="12"/>
      <c r="GR72" s="12"/>
      <c r="GS72" s="12"/>
      <c r="GT72" s="12"/>
      <c r="GU72" s="12"/>
      <c r="GV72" s="12"/>
      <c r="GW72" s="12"/>
      <c r="GX72" s="12"/>
      <c r="GY72" s="12"/>
      <c r="GZ72" s="12"/>
      <c r="HA72" s="12"/>
      <c r="HB72" s="12"/>
    </row>
    <row r="73" spans="1:210" ht="12.75" customHeight="1">
      <c r="A73" s="12"/>
      <c r="B73" s="12"/>
      <c r="C73" s="12"/>
      <c r="D73" s="12"/>
      <c r="E73" s="12"/>
      <c r="F73" s="12"/>
      <c r="G73" s="12"/>
      <c r="H73" s="12"/>
      <c r="I73" s="12"/>
      <c r="J73" s="12"/>
      <c r="K73" s="12"/>
      <c r="L73" s="12"/>
      <c r="M73" s="12"/>
      <c r="N73" s="12"/>
      <c r="O73" s="12"/>
      <c r="P73" s="12"/>
      <c r="Q73" s="12"/>
      <c r="R73" s="12"/>
      <c r="S73" s="12"/>
      <c r="T73" s="12"/>
      <c r="U73" s="12"/>
      <c r="V73" s="12"/>
      <c r="W73" s="15"/>
      <c r="X73" s="15"/>
      <c r="Y73" s="15"/>
      <c r="Z73" s="15"/>
      <c r="AA73" s="15"/>
      <c r="AB73" s="15"/>
      <c r="AC73" s="15"/>
      <c r="AD73" s="12"/>
      <c r="AE73" s="12"/>
      <c r="AF73" s="12"/>
      <c r="AG73" s="12"/>
      <c r="AH73" s="12"/>
      <c r="AI73" s="12"/>
      <c r="AJ73" s="12"/>
      <c r="AK73" s="12"/>
      <c r="AL73" s="12"/>
      <c r="AM73" s="12"/>
      <c r="AN73" s="12"/>
      <c r="AO73" s="12"/>
      <c r="AP73" s="12"/>
      <c r="AQ73" s="12"/>
      <c r="AR73" s="12"/>
      <c r="AS73" s="12"/>
      <c r="AT73" s="12"/>
      <c r="AU73" s="12"/>
      <c r="AV73" s="12"/>
      <c r="AW73" s="12"/>
      <c r="AX73" s="12"/>
      <c r="AY73" s="12"/>
      <c r="AZ73" s="12"/>
      <c r="BA73" s="12"/>
      <c r="BB73" s="12"/>
      <c r="BC73" s="12"/>
      <c r="BD73" s="12"/>
      <c r="BE73" s="12"/>
      <c r="BF73" s="12"/>
      <c r="BG73" s="12"/>
      <c r="BH73" s="12"/>
      <c r="BI73" s="12"/>
      <c r="BJ73" s="12"/>
      <c r="BK73" s="12"/>
      <c r="BL73" s="12"/>
      <c r="BM73" s="12"/>
      <c r="BN73" s="12"/>
      <c r="BO73" s="12"/>
      <c r="BP73" s="12"/>
      <c r="BQ73" s="12"/>
      <c r="BR73" s="12"/>
      <c r="BS73" s="12"/>
      <c r="BT73" s="12"/>
      <c r="BU73" s="12"/>
      <c r="BV73" s="12"/>
      <c r="BW73" s="12"/>
      <c r="BX73" s="12"/>
      <c r="BY73" s="12"/>
      <c r="BZ73" s="12"/>
      <c r="CA73" s="12"/>
      <c r="CB73" s="12"/>
      <c r="CC73" s="12"/>
      <c r="CD73" s="12"/>
      <c r="CE73" s="12"/>
      <c r="CF73" s="12"/>
      <c r="CG73" s="12"/>
      <c r="CH73" s="12"/>
      <c r="CI73" s="12"/>
      <c r="CJ73" s="12"/>
      <c r="CK73" s="12"/>
      <c r="CL73" s="12"/>
      <c r="CM73" s="12"/>
      <c r="CN73" s="12"/>
      <c r="CO73" s="12"/>
      <c r="CP73" s="12"/>
      <c r="CQ73" s="12"/>
      <c r="CR73" s="12"/>
      <c r="CS73" s="12"/>
      <c r="CT73" s="12"/>
      <c r="CU73" s="12"/>
      <c r="CV73" s="12"/>
      <c r="CW73" s="12"/>
      <c r="CX73" s="12"/>
      <c r="CY73" s="12"/>
      <c r="CZ73" s="12"/>
      <c r="DA73" s="12"/>
      <c r="DB73" s="12"/>
      <c r="DC73" s="12"/>
      <c r="DD73" s="12"/>
      <c r="DE73" s="12"/>
      <c r="DF73" s="12"/>
      <c r="DG73" s="12"/>
      <c r="DH73" s="12"/>
      <c r="DI73" s="12"/>
      <c r="DJ73" s="12"/>
      <c r="DK73" s="12"/>
      <c r="DL73" s="12"/>
      <c r="DM73" s="12"/>
      <c r="DN73" s="12"/>
      <c r="DO73" s="12"/>
      <c r="DP73" s="12"/>
      <c r="DQ73" s="12"/>
      <c r="DR73" s="12"/>
      <c r="DS73" s="12"/>
      <c r="DT73" s="12"/>
      <c r="DU73" s="12"/>
      <c r="DV73" s="12"/>
      <c r="DW73" s="12"/>
      <c r="DX73" s="12"/>
      <c r="DY73" s="12"/>
      <c r="DZ73" s="12"/>
      <c r="EA73" s="12"/>
      <c r="EB73" s="12"/>
      <c r="EC73" s="12"/>
      <c r="ED73" s="12"/>
      <c r="EE73" s="12"/>
      <c r="EF73" s="12"/>
      <c r="EG73" s="12"/>
      <c r="EH73" s="12"/>
      <c r="EI73" s="12"/>
      <c r="EJ73" s="12"/>
      <c r="EK73" s="12"/>
      <c r="EL73" s="12"/>
      <c r="EM73" s="12"/>
      <c r="EN73" s="12"/>
      <c r="EO73" s="12"/>
      <c r="EP73" s="12"/>
      <c r="EQ73" s="12"/>
      <c r="ER73" s="12"/>
      <c r="ES73" s="12"/>
      <c r="ET73" s="12"/>
      <c r="EU73" s="12"/>
      <c r="EV73" s="12"/>
      <c r="EW73" s="12"/>
      <c r="EX73" s="12"/>
      <c r="EY73" s="12"/>
      <c r="EZ73" s="12"/>
      <c r="FA73" s="12"/>
      <c r="FB73" s="12"/>
      <c r="FC73" s="12"/>
      <c r="FD73" s="12"/>
      <c r="FE73" s="12"/>
      <c r="FF73" s="12"/>
      <c r="FG73" s="12"/>
      <c r="FH73" s="12"/>
      <c r="FI73" s="12"/>
      <c r="FJ73" s="12"/>
      <c r="FK73" s="12"/>
      <c r="FL73" s="12"/>
      <c r="FM73" s="12"/>
      <c r="FN73" s="12"/>
      <c r="FO73" s="12"/>
      <c r="FP73" s="12"/>
      <c r="FQ73" s="12"/>
      <c r="FR73" s="12"/>
      <c r="FS73" s="12"/>
      <c r="FT73" s="12"/>
      <c r="FU73" s="12"/>
      <c r="FV73" s="12"/>
      <c r="FW73" s="12"/>
      <c r="FX73" s="12"/>
      <c r="FY73" s="12"/>
      <c r="FZ73" s="12"/>
      <c r="GA73" s="12"/>
      <c r="GB73" s="12"/>
      <c r="GC73" s="12"/>
      <c r="GD73" s="12"/>
      <c r="GE73" s="12"/>
      <c r="GF73" s="12"/>
      <c r="GG73" s="12"/>
      <c r="GH73" s="12"/>
      <c r="GI73" s="12"/>
      <c r="GJ73" s="12"/>
      <c r="GK73" s="12"/>
      <c r="GL73" s="12"/>
      <c r="GM73" s="12"/>
      <c r="GN73" s="12"/>
      <c r="GO73" s="12"/>
      <c r="GP73" s="12"/>
      <c r="GQ73" s="12"/>
      <c r="GR73" s="12"/>
      <c r="GS73" s="12"/>
      <c r="GT73" s="12"/>
      <c r="GU73" s="12"/>
      <c r="GV73" s="12"/>
      <c r="GW73" s="12"/>
      <c r="GX73" s="12"/>
      <c r="GY73" s="12"/>
      <c r="GZ73" s="12"/>
      <c r="HA73" s="12"/>
      <c r="HB73" s="12"/>
    </row>
    <row r="74" spans="1:210" ht="12.75" customHeight="1">
      <c r="A74" s="12"/>
      <c r="B74" s="12"/>
      <c r="C74" s="12"/>
      <c r="D74" s="12"/>
      <c r="E74" s="12"/>
      <c r="F74" s="12"/>
      <c r="G74" s="12"/>
      <c r="H74" s="12"/>
      <c r="I74" s="12"/>
      <c r="J74" s="12"/>
      <c r="K74" s="12"/>
      <c r="L74" s="12"/>
      <c r="M74" s="12"/>
      <c r="N74" s="12"/>
      <c r="O74" s="12"/>
      <c r="P74" s="12"/>
      <c r="Q74" s="12"/>
      <c r="R74" s="12"/>
      <c r="S74" s="12"/>
      <c r="T74" s="12"/>
      <c r="U74" s="12"/>
      <c r="V74" s="12"/>
      <c r="W74" s="15"/>
      <c r="X74" s="15"/>
      <c r="Y74" s="15"/>
      <c r="Z74" s="15"/>
      <c r="AA74" s="15"/>
      <c r="AB74" s="15"/>
      <c r="AC74" s="15"/>
      <c r="AD74" s="12"/>
      <c r="AE74" s="12"/>
      <c r="AF74" s="12"/>
      <c r="AG74" s="12"/>
      <c r="AH74" s="12"/>
      <c r="AI74" s="12"/>
      <c r="AJ74" s="12"/>
      <c r="AK74" s="12"/>
      <c r="AL74" s="12"/>
      <c r="AM74" s="12"/>
      <c r="AN74" s="12"/>
      <c r="AO74" s="12"/>
      <c r="AP74" s="12"/>
      <c r="AQ74" s="12"/>
      <c r="AR74" s="12"/>
      <c r="AS74" s="12"/>
      <c r="AT74" s="12"/>
      <c r="AU74" s="12"/>
      <c r="AV74" s="12"/>
      <c r="AW74" s="12"/>
      <c r="AX74" s="12"/>
      <c r="AY74" s="12"/>
      <c r="AZ74" s="12"/>
      <c r="BA74" s="12"/>
      <c r="BB74" s="12"/>
      <c r="BC74" s="12"/>
      <c r="BD74" s="12"/>
      <c r="BE74" s="12"/>
      <c r="BF74" s="12"/>
      <c r="BG74" s="12"/>
      <c r="BH74" s="12"/>
      <c r="BI74" s="12"/>
      <c r="BJ74" s="12"/>
      <c r="BK74" s="12"/>
      <c r="BL74" s="12"/>
      <c r="BM74" s="12"/>
      <c r="BN74" s="12"/>
      <c r="BO74" s="12"/>
      <c r="BP74" s="12"/>
      <c r="BQ74" s="12"/>
      <c r="BR74" s="12"/>
      <c r="BS74" s="12"/>
      <c r="BT74" s="12"/>
      <c r="BU74" s="12"/>
      <c r="BV74" s="12"/>
      <c r="BW74" s="12"/>
      <c r="BX74" s="12"/>
      <c r="BY74" s="12"/>
      <c r="BZ74" s="12"/>
      <c r="CA74" s="12"/>
      <c r="CB74" s="12"/>
      <c r="CC74" s="12"/>
      <c r="CD74" s="12"/>
      <c r="CE74" s="12"/>
      <c r="CF74" s="12"/>
      <c r="CG74" s="12"/>
      <c r="CH74" s="12"/>
      <c r="CI74" s="12"/>
      <c r="CJ74" s="12"/>
      <c r="CK74" s="12"/>
      <c r="CL74" s="12"/>
      <c r="CM74" s="12"/>
      <c r="CN74" s="12"/>
      <c r="CO74" s="12"/>
      <c r="CP74" s="12"/>
      <c r="CQ74" s="12"/>
      <c r="CR74" s="12"/>
      <c r="CS74" s="12"/>
      <c r="CT74" s="12"/>
      <c r="CU74" s="12"/>
      <c r="CV74" s="12"/>
      <c r="CW74" s="12"/>
      <c r="CX74" s="12"/>
      <c r="CY74" s="12"/>
      <c r="CZ74" s="12"/>
      <c r="DA74" s="12"/>
      <c r="DB74" s="12"/>
      <c r="DC74" s="12"/>
      <c r="DD74" s="12"/>
      <c r="DE74" s="12"/>
      <c r="DF74" s="12"/>
      <c r="DG74" s="12"/>
      <c r="DH74" s="12"/>
      <c r="DI74" s="12"/>
      <c r="DJ74" s="12"/>
      <c r="DK74" s="12"/>
      <c r="DL74" s="12"/>
      <c r="DM74" s="12"/>
      <c r="DN74" s="12"/>
      <c r="DO74" s="12"/>
      <c r="DP74" s="12"/>
      <c r="DQ74" s="12"/>
      <c r="DR74" s="12"/>
      <c r="DS74" s="12"/>
      <c r="DT74" s="12"/>
      <c r="DU74" s="12"/>
      <c r="DV74" s="12"/>
      <c r="DW74" s="12"/>
      <c r="DX74" s="12"/>
      <c r="DY74" s="12"/>
      <c r="DZ74" s="12"/>
      <c r="EA74" s="12"/>
      <c r="EB74" s="12"/>
      <c r="EC74" s="12"/>
      <c r="ED74" s="12"/>
      <c r="EE74" s="12"/>
      <c r="EF74" s="12"/>
      <c r="EG74" s="12"/>
      <c r="EH74" s="12"/>
      <c r="EI74" s="12"/>
      <c r="EJ74" s="12"/>
      <c r="EK74" s="12"/>
      <c r="EL74" s="12"/>
      <c r="EM74" s="12"/>
      <c r="EN74" s="12"/>
      <c r="EO74" s="12"/>
      <c r="EP74" s="12"/>
      <c r="EQ74" s="12"/>
      <c r="ER74" s="12"/>
      <c r="ES74" s="12"/>
      <c r="ET74" s="12"/>
      <c r="EU74" s="12"/>
      <c r="EV74" s="12"/>
      <c r="EW74" s="12"/>
      <c r="EX74" s="12"/>
      <c r="EY74" s="12"/>
      <c r="EZ74" s="12"/>
      <c r="FA74" s="12"/>
      <c r="FB74" s="12"/>
      <c r="FC74" s="12"/>
      <c r="FD74" s="12"/>
      <c r="FE74" s="12"/>
      <c r="FF74" s="12"/>
      <c r="FG74" s="12"/>
      <c r="FH74" s="12"/>
      <c r="FI74" s="12"/>
      <c r="FJ74" s="12"/>
      <c r="FK74" s="12"/>
      <c r="FL74" s="12"/>
      <c r="FM74" s="12"/>
      <c r="FN74" s="12"/>
      <c r="FO74" s="12"/>
      <c r="FP74" s="12"/>
      <c r="FQ74" s="12"/>
      <c r="FR74" s="12"/>
      <c r="FS74" s="12"/>
      <c r="FT74" s="12"/>
      <c r="FU74" s="12"/>
      <c r="FV74" s="12"/>
      <c r="FW74" s="12"/>
      <c r="FX74" s="12"/>
      <c r="FY74" s="12"/>
      <c r="FZ74" s="12"/>
      <c r="GA74" s="12"/>
      <c r="GB74" s="12"/>
      <c r="GC74" s="12"/>
      <c r="GD74" s="12"/>
      <c r="GE74" s="12"/>
      <c r="GF74" s="12"/>
      <c r="GG74" s="12"/>
      <c r="GH74" s="12"/>
      <c r="GI74" s="12"/>
      <c r="GJ74" s="12"/>
      <c r="GK74" s="12"/>
      <c r="GL74" s="12"/>
      <c r="GM74" s="12"/>
      <c r="GN74" s="12"/>
      <c r="GO74" s="12"/>
      <c r="GP74" s="12"/>
      <c r="GQ74" s="12"/>
      <c r="GR74" s="12"/>
      <c r="GS74" s="12"/>
      <c r="GT74" s="12"/>
      <c r="GU74" s="12"/>
      <c r="GV74" s="12"/>
      <c r="GW74" s="12"/>
      <c r="GX74" s="12"/>
      <c r="GY74" s="12"/>
      <c r="GZ74" s="12"/>
      <c r="HA74" s="12"/>
      <c r="HB74" s="12"/>
    </row>
    <row r="75" spans="1:210" ht="12.75" customHeight="1">
      <c r="A75" s="12"/>
      <c r="B75" s="12"/>
      <c r="C75" s="12"/>
      <c r="D75" s="12"/>
      <c r="E75" s="12"/>
      <c r="F75" s="12"/>
      <c r="G75" s="12"/>
      <c r="H75" s="12"/>
      <c r="I75" s="12"/>
      <c r="J75" s="12"/>
      <c r="K75" s="12"/>
      <c r="L75" s="12"/>
      <c r="M75" s="12"/>
      <c r="N75" s="12"/>
      <c r="O75" s="12"/>
      <c r="P75" s="12"/>
      <c r="Q75" s="12"/>
      <c r="R75" s="12"/>
      <c r="S75" s="12"/>
      <c r="T75" s="12"/>
      <c r="U75" s="12"/>
      <c r="V75" s="12"/>
      <c r="W75" s="15"/>
      <c r="X75" s="15"/>
      <c r="Y75" s="15"/>
      <c r="Z75" s="15"/>
      <c r="AA75" s="15"/>
      <c r="AB75" s="15"/>
      <c r="AC75" s="15"/>
      <c r="AD75" s="12"/>
      <c r="AE75" s="12"/>
      <c r="AF75" s="12"/>
      <c r="AG75" s="12"/>
      <c r="AH75" s="12"/>
      <c r="AI75" s="12"/>
      <c r="AJ75" s="12"/>
      <c r="AK75" s="12"/>
      <c r="AL75" s="12"/>
      <c r="AM75" s="12"/>
      <c r="AN75" s="12"/>
      <c r="AO75" s="12"/>
      <c r="AP75" s="12"/>
      <c r="AQ75" s="12"/>
      <c r="AR75" s="12"/>
      <c r="AS75" s="12"/>
      <c r="AT75" s="12"/>
      <c r="AU75" s="12"/>
      <c r="AV75" s="12"/>
      <c r="AW75" s="12"/>
      <c r="AX75" s="12"/>
      <c r="AY75" s="12"/>
      <c r="AZ75" s="12"/>
      <c r="BA75" s="12"/>
      <c r="BB75" s="12"/>
      <c r="BC75" s="12"/>
      <c r="BD75" s="12"/>
      <c r="BE75" s="12"/>
      <c r="BF75" s="12"/>
      <c r="BG75" s="12"/>
      <c r="BH75" s="12"/>
      <c r="BI75" s="12"/>
      <c r="BJ75" s="12"/>
      <c r="BK75" s="12"/>
      <c r="BL75" s="12"/>
      <c r="BM75" s="12"/>
      <c r="BN75" s="12"/>
      <c r="BO75" s="12"/>
      <c r="BP75" s="12"/>
      <c r="BQ75" s="12"/>
      <c r="BR75" s="12"/>
      <c r="BS75" s="12"/>
      <c r="BT75" s="12"/>
      <c r="BU75" s="12"/>
      <c r="BV75" s="12"/>
      <c r="BW75" s="12"/>
      <c r="BX75" s="12"/>
      <c r="BY75" s="12"/>
      <c r="BZ75" s="12"/>
      <c r="CA75" s="12"/>
      <c r="CB75" s="12"/>
      <c r="CC75" s="12"/>
      <c r="CD75" s="12"/>
      <c r="CE75" s="12"/>
      <c r="CF75" s="12"/>
      <c r="CG75" s="12"/>
      <c r="CH75" s="12"/>
      <c r="CI75" s="12"/>
      <c r="CJ75" s="12"/>
      <c r="CK75" s="12"/>
      <c r="CL75" s="12"/>
      <c r="CM75" s="12"/>
      <c r="CN75" s="12"/>
      <c r="CO75" s="12"/>
      <c r="CP75" s="12"/>
      <c r="CQ75" s="12"/>
      <c r="CR75" s="12"/>
      <c r="CS75" s="12"/>
      <c r="CT75" s="12"/>
      <c r="CU75" s="12"/>
      <c r="CV75" s="12"/>
      <c r="CW75" s="12"/>
      <c r="CX75" s="12"/>
      <c r="CY75" s="12"/>
      <c r="CZ75" s="12"/>
      <c r="DA75" s="12"/>
      <c r="DB75" s="12"/>
      <c r="DC75" s="12"/>
      <c r="DD75" s="12"/>
      <c r="DE75" s="12"/>
      <c r="DF75" s="12"/>
      <c r="DG75" s="12"/>
      <c r="DH75" s="12"/>
      <c r="DI75" s="12"/>
      <c r="DJ75" s="12"/>
      <c r="DK75" s="12"/>
      <c r="DL75" s="12"/>
      <c r="DM75" s="12"/>
      <c r="DN75" s="12"/>
      <c r="DO75" s="12"/>
      <c r="DP75" s="12"/>
      <c r="DQ75" s="12"/>
      <c r="DR75" s="12"/>
      <c r="DS75" s="12"/>
      <c r="DT75" s="12"/>
      <c r="DU75" s="12"/>
      <c r="DV75" s="12"/>
      <c r="DW75" s="12"/>
      <c r="DX75" s="12"/>
      <c r="DY75" s="12"/>
      <c r="DZ75" s="12"/>
      <c r="EA75" s="12"/>
      <c r="EB75" s="12"/>
      <c r="EC75" s="12"/>
      <c r="ED75" s="12"/>
      <c r="EE75" s="12"/>
      <c r="EF75" s="12"/>
      <c r="EG75" s="12"/>
      <c r="EH75" s="12"/>
      <c r="EI75" s="12"/>
      <c r="EJ75" s="12"/>
      <c r="EK75" s="12"/>
      <c r="EL75" s="12"/>
      <c r="EM75" s="12"/>
      <c r="EN75" s="12"/>
      <c r="EO75" s="12"/>
      <c r="EP75" s="12"/>
      <c r="EQ75" s="12"/>
      <c r="ER75" s="12"/>
      <c r="ES75" s="12"/>
      <c r="ET75" s="12"/>
      <c r="EU75" s="12"/>
      <c r="EV75" s="12"/>
      <c r="EW75" s="12"/>
      <c r="EX75" s="12"/>
      <c r="EY75" s="12"/>
      <c r="EZ75" s="12"/>
      <c r="FA75" s="12"/>
      <c r="FB75" s="12"/>
      <c r="FC75" s="12"/>
      <c r="FD75" s="12"/>
      <c r="FE75" s="12"/>
      <c r="FF75" s="12"/>
      <c r="FG75" s="12"/>
      <c r="FH75" s="12"/>
      <c r="FI75" s="12"/>
      <c r="FJ75" s="12"/>
      <c r="FK75" s="12"/>
      <c r="FL75" s="12"/>
      <c r="FM75" s="12"/>
      <c r="FN75" s="12"/>
      <c r="FO75" s="12"/>
      <c r="FP75" s="12"/>
      <c r="FQ75" s="12"/>
      <c r="FR75" s="12"/>
      <c r="FS75" s="12"/>
      <c r="FT75" s="12"/>
      <c r="FU75" s="12"/>
      <c r="FV75" s="12"/>
      <c r="FW75" s="12"/>
      <c r="FX75" s="12"/>
      <c r="FY75" s="12"/>
      <c r="FZ75" s="12"/>
      <c r="GA75" s="12"/>
      <c r="GB75" s="12"/>
      <c r="GC75" s="12"/>
      <c r="GD75" s="12"/>
      <c r="GE75" s="12"/>
      <c r="GF75" s="12"/>
      <c r="GG75" s="12"/>
      <c r="GH75" s="12"/>
      <c r="GI75" s="12"/>
      <c r="GJ75" s="12"/>
      <c r="GK75" s="12"/>
      <c r="GL75" s="12"/>
      <c r="GM75" s="12"/>
      <c r="GN75" s="12"/>
      <c r="GO75" s="12"/>
      <c r="GP75" s="12"/>
      <c r="GQ75" s="12"/>
      <c r="GR75" s="12"/>
      <c r="GS75" s="12"/>
      <c r="GT75" s="12"/>
      <c r="GU75" s="12"/>
      <c r="GV75" s="12"/>
      <c r="GW75" s="12"/>
      <c r="GX75" s="12"/>
      <c r="GY75" s="12"/>
      <c r="GZ75" s="12"/>
      <c r="HA75" s="12"/>
      <c r="HB75" s="12"/>
    </row>
    <row r="76" spans="1:210" ht="12.75" customHeight="1">
      <c r="A76" s="12"/>
      <c r="B76" s="12"/>
      <c r="C76" s="12"/>
      <c r="D76" s="12"/>
      <c r="E76" s="12"/>
      <c r="F76" s="12"/>
      <c r="G76" s="12"/>
      <c r="H76" s="12"/>
      <c r="I76" s="12"/>
      <c r="J76" s="12"/>
      <c r="K76" s="12"/>
      <c r="L76" s="12"/>
      <c r="M76" s="12"/>
      <c r="N76" s="12"/>
      <c r="O76" s="12"/>
      <c r="P76" s="12"/>
      <c r="Q76" s="12"/>
      <c r="R76" s="12"/>
      <c r="S76" s="12"/>
      <c r="T76" s="12"/>
      <c r="U76" s="12"/>
      <c r="V76" s="12"/>
      <c r="W76" s="15"/>
      <c r="X76" s="15"/>
      <c r="Y76" s="15"/>
      <c r="Z76" s="15"/>
      <c r="AA76" s="15"/>
      <c r="AB76" s="15"/>
      <c r="AC76" s="15"/>
      <c r="AD76" s="12"/>
      <c r="AE76" s="12"/>
      <c r="AF76" s="12"/>
      <c r="AG76" s="12"/>
      <c r="AH76" s="12"/>
      <c r="AI76" s="12"/>
      <c r="AJ76" s="12"/>
      <c r="AK76" s="12"/>
      <c r="AL76" s="12"/>
      <c r="AM76" s="12"/>
      <c r="AN76" s="12"/>
      <c r="AO76" s="12"/>
      <c r="AP76" s="12"/>
      <c r="AQ76" s="12"/>
      <c r="AR76" s="12"/>
      <c r="AS76" s="12"/>
      <c r="AT76" s="12"/>
      <c r="AU76" s="12"/>
      <c r="AV76" s="12"/>
      <c r="AW76" s="12"/>
      <c r="AX76" s="12"/>
      <c r="AY76" s="12"/>
      <c r="AZ76" s="12"/>
      <c r="BA76" s="12"/>
      <c r="BB76" s="12"/>
      <c r="BC76" s="12"/>
      <c r="BD76" s="12"/>
      <c r="BE76" s="12"/>
      <c r="BF76" s="12"/>
      <c r="BG76" s="12"/>
      <c r="BH76" s="12"/>
      <c r="BI76" s="12"/>
      <c r="BJ76" s="12"/>
      <c r="BK76" s="12"/>
      <c r="BL76" s="12"/>
      <c r="BM76" s="12"/>
      <c r="BN76" s="12"/>
      <c r="BO76" s="12"/>
      <c r="BP76" s="12"/>
      <c r="BQ76" s="12"/>
      <c r="BR76" s="12"/>
      <c r="BS76" s="12"/>
      <c r="BT76" s="12"/>
      <c r="BU76" s="12"/>
      <c r="BV76" s="12"/>
      <c r="BW76" s="12"/>
      <c r="BX76" s="12"/>
      <c r="BY76" s="12"/>
      <c r="BZ76" s="12"/>
      <c r="CA76" s="12"/>
      <c r="CB76" s="12"/>
      <c r="CC76" s="12"/>
      <c r="CD76" s="12"/>
      <c r="CE76" s="12"/>
      <c r="CF76" s="12"/>
      <c r="CG76" s="12"/>
      <c r="CH76" s="12"/>
      <c r="CI76" s="12"/>
      <c r="CJ76" s="12"/>
      <c r="CK76" s="12"/>
      <c r="CL76" s="12"/>
      <c r="CM76" s="12"/>
      <c r="CN76" s="12"/>
      <c r="CO76" s="12"/>
      <c r="CP76" s="12"/>
      <c r="CQ76" s="12"/>
      <c r="CR76" s="12"/>
      <c r="CS76" s="12"/>
      <c r="CT76" s="12"/>
      <c r="CU76" s="12"/>
      <c r="CV76" s="12"/>
      <c r="CW76" s="12"/>
      <c r="CX76" s="12"/>
      <c r="CY76" s="12"/>
      <c r="CZ76" s="12"/>
      <c r="DA76" s="12"/>
      <c r="DB76" s="12"/>
      <c r="DC76" s="12"/>
      <c r="DD76" s="12"/>
      <c r="DE76" s="12"/>
      <c r="DF76" s="12"/>
      <c r="DG76" s="12"/>
      <c r="DH76" s="12"/>
      <c r="DI76" s="12"/>
      <c r="DJ76" s="12"/>
      <c r="DK76" s="12"/>
      <c r="DL76" s="12"/>
      <c r="DM76" s="12"/>
      <c r="DN76" s="12"/>
      <c r="DO76" s="12"/>
      <c r="DP76" s="12"/>
      <c r="DQ76" s="12"/>
      <c r="DR76" s="12"/>
      <c r="DS76" s="12"/>
      <c r="DT76" s="12"/>
      <c r="DU76" s="12"/>
      <c r="DV76" s="12"/>
      <c r="DW76" s="12"/>
      <c r="DX76" s="12"/>
      <c r="DY76" s="12"/>
      <c r="DZ76" s="12"/>
      <c r="EA76" s="12"/>
      <c r="EB76" s="12"/>
      <c r="EC76" s="12"/>
      <c r="ED76" s="12"/>
      <c r="EE76" s="12"/>
      <c r="EF76" s="12"/>
      <c r="EG76" s="12"/>
      <c r="EH76" s="12"/>
      <c r="EI76" s="12"/>
      <c r="EJ76" s="12"/>
      <c r="EK76" s="12"/>
      <c r="EL76" s="12"/>
      <c r="EM76" s="12"/>
      <c r="EN76" s="12"/>
      <c r="EO76" s="12"/>
      <c r="EP76" s="12"/>
      <c r="EQ76" s="12"/>
      <c r="ER76" s="12"/>
      <c r="ES76" s="12"/>
      <c r="ET76" s="12"/>
      <c r="EU76" s="12"/>
      <c r="EV76" s="12"/>
      <c r="EW76" s="12"/>
      <c r="EX76" s="12"/>
      <c r="EY76" s="12"/>
      <c r="EZ76" s="12"/>
      <c r="FA76" s="12"/>
      <c r="FB76" s="12"/>
      <c r="FC76" s="12"/>
      <c r="FD76" s="12"/>
      <c r="FE76" s="12"/>
      <c r="FF76" s="12"/>
      <c r="FG76" s="12"/>
      <c r="FH76" s="12"/>
      <c r="FI76" s="12"/>
      <c r="FJ76" s="12"/>
      <c r="FK76" s="12"/>
      <c r="FL76" s="12"/>
      <c r="FM76" s="12"/>
      <c r="FN76" s="12"/>
      <c r="FO76" s="12"/>
      <c r="FP76" s="12"/>
      <c r="FQ76" s="12"/>
      <c r="FR76" s="12"/>
      <c r="FS76" s="12"/>
      <c r="FT76" s="12"/>
      <c r="FU76" s="12"/>
      <c r="FV76" s="12"/>
      <c r="FW76" s="12"/>
      <c r="FX76" s="12"/>
      <c r="FY76" s="12"/>
      <c r="FZ76" s="12"/>
      <c r="GA76" s="12"/>
      <c r="GB76" s="12"/>
      <c r="GC76" s="12"/>
      <c r="GD76" s="12"/>
      <c r="GE76" s="12"/>
      <c r="GF76" s="12"/>
      <c r="GG76" s="12"/>
      <c r="GH76" s="12"/>
      <c r="GI76" s="12"/>
      <c r="GJ76" s="12"/>
      <c r="GK76" s="12"/>
      <c r="GL76" s="12"/>
      <c r="GM76" s="12"/>
      <c r="GN76" s="12"/>
      <c r="GO76" s="12"/>
      <c r="GP76" s="12"/>
      <c r="GQ76" s="12"/>
      <c r="GR76" s="12"/>
      <c r="GS76" s="12"/>
      <c r="GT76" s="12"/>
      <c r="GU76" s="12"/>
      <c r="GV76" s="12"/>
      <c r="GW76" s="12"/>
      <c r="GX76" s="12"/>
      <c r="GY76" s="12"/>
      <c r="GZ76" s="12"/>
      <c r="HA76" s="12"/>
      <c r="HB76" s="12"/>
    </row>
    <row r="77" spans="1:210" ht="12.75" customHeight="1">
      <c r="A77" s="12"/>
      <c r="B77" s="12"/>
      <c r="C77" s="12"/>
      <c r="D77" s="12"/>
      <c r="E77" s="12"/>
      <c r="F77" s="12"/>
      <c r="G77" s="12"/>
      <c r="H77" s="12"/>
      <c r="I77" s="12"/>
      <c r="J77" s="12"/>
      <c r="K77" s="12"/>
      <c r="L77" s="12"/>
      <c r="M77" s="12"/>
      <c r="N77" s="12"/>
      <c r="O77" s="12"/>
      <c r="P77" s="12"/>
      <c r="Q77" s="12"/>
      <c r="R77" s="12"/>
      <c r="S77" s="12"/>
      <c r="T77" s="12"/>
      <c r="U77" s="12"/>
      <c r="V77" s="12"/>
      <c r="W77" s="15"/>
      <c r="X77" s="15"/>
      <c r="Y77" s="15"/>
      <c r="Z77" s="15"/>
      <c r="AA77" s="15"/>
      <c r="AB77" s="15"/>
      <c r="AC77" s="15"/>
      <c r="AD77" s="12"/>
      <c r="AE77" s="12"/>
      <c r="AF77" s="12"/>
      <c r="AG77" s="12"/>
      <c r="AH77" s="12"/>
      <c r="AI77" s="12"/>
      <c r="AJ77" s="12"/>
      <c r="AK77" s="12"/>
      <c r="AL77" s="12"/>
      <c r="AM77" s="12"/>
      <c r="AN77" s="12"/>
      <c r="AO77" s="12"/>
      <c r="AP77" s="12"/>
      <c r="AQ77" s="12"/>
      <c r="AR77" s="12"/>
      <c r="AS77" s="12"/>
      <c r="AT77" s="12"/>
      <c r="AU77" s="12"/>
      <c r="AV77" s="12"/>
      <c r="AW77" s="12"/>
      <c r="AX77" s="12"/>
      <c r="AY77" s="12"/>
      <c r="AZ77" s="12"/>
      <c r="BA77" s="12"/>
      <c r="BB77" s="12"/>
      <c r="BC77" s="12"/>
      <c r="BD77" s="12"/>
      <c r="BE77" s="12"/>
      <c r="BF77" s="12"/>
      <c r="BG77" s="12"/>
      <c r="BH77" s="12"/>
      <c r="BI77" s="12"/>
      <c r="BJ77" s="12"/>
      <c r="BK77" s="12"/>
      <c r="BL77" s="12"/>
      <c r="BM77" s="12"/>
      <c r="BN77" s="12"/>
      <c r="BO77" s="12"/>
      <c r="BP77" s="12"/>
      <c r="BQ77" s="12"/>
      <c r="BR77" s="12"/>
      <c r="BS77" s="12"/>
      <c r="BT77" s="12"/>
      <c r="BU77" s="12"/>
      <c r="BV77" s="12"/>
      <c r="BW77" s="12"/>
      <c r="BX77" s="12"/>
      <c r="BY77" s="12"/>
      <c r="BZ77" s="12"/>
      <c r="CA77" s="12"/>
      <c r="CB77" s="12"/>
      <c r="CC77" s="12"/>
      <c r="CD77" s="12"/>
      <c r="CE77" s="12"/>
      <c r="CF77" s="12"/>
      <c r="CG77" s="12"/>
      <c r="CH77" s="12"/>
      <c r="CI77" s="12"/>
      <c r="CJ77" s="12"/>
      <c r="CK77" s="12"/>
      <c r="CL77" s="12"/>
      <c r="CM77" s="12"/>
      <c r="CN77" s="12"/>
      <c r="CO77" s="12"/>
      <c r="CP77" s="12"/>
      <c r="CQ77" s="12"/>
      <c r="CR77" s="12"/>
      <c r="CS77" s="12"/>
      <c r="CT77" s="12"/>
      <c r="CU77" s="12"/>
      <c r="CV77" s="12"/>
      <c r="CW77" s="12"/>
      <c r="CX77" s="12"/>
      <c r="CY77" s="12"/>
      <c r="CZ77" s="12"/>
      <c r="DA77" s="12"/>
      <c r="DB77" s="12"/>
      <c r="DC77" s="12"/>
      <c r="DD77" s="12"/>
      <c r="DE77" s="12"/>
      <c r="DF77" s="12"/>
      <c r="DG77" s="12"/>
      <c r="DH77" s="12"/>
      <c r="DI77" s="12"/>
      <c r="DJ77" s="12"/>
      <c r="DK77" s="12"/>
      <c r="DL77" s="12"/>
      <c r="DM77" s="12"/>
      <c r="DN77" s="12"/>
      <c r="DO77" s="12"/>
      <c r="DP77" s="12"/>
      <c r="DQ77" s="12"/>
      <c r="DR77" s="12"/>
      <c r="DS77" s="12"/>
      <c r="DT77" s="12"/>
      <c r="DU77" s="12"/>
      <c r="DV77" s="12"/>
      <c r="DW77" s="12"/>
      <c r="DX77" s="12"/>
      <c r="DY77" s="12"/>
      <c r="DZ77" s="12"/>
      <c r="EA77" s="12"/>
      <c r="EB77" s="12"/>
      <c r="EC77" s="12"/>
      <c r="ED77" s="12"/>
      <c r="EE77" s="12"/>
      <c r="EF77" s="12"/>
      <c r="EG77" s="12"/>
      <c r="EH77" s="12"/>
      <c r="EI77" s="12"/>
      <c r="EJ77" s="12"/>
      <c r="EK77" s="12"/>
      <c r="EL77" s="12"/>
      <c r="EM77" s="12"/>
      <c r="EN77" s="12"/>
      <c r="EO77" s="12"/>
      <c r="EP77" s="12"/>
      <c r="EQ77" s="12"/>
      <c r="ER77" s="12"/>
      <c r="ES77" s="12"/>
      <c r="ET77" s="12"/>
      <c r="EU77" s="12"/>
      <c r="EV77" s="12"/>
      <c r="EW77" s="12"/>
      <c r="EX77" s="12"/>
      <c r="EY77" s="12"/>
      <c r="EZ77" s="12"/>
      <c r="FA77" s="12"/>
      <c r="FB77" s="12"/>
      <c r="FC77" s="12"/>
      <c r="FD77" s="12"/>
      <c r="FE77" s="12"/>
      <c r="FF77" s="12"/>
      <c r="FG77" s="12"/>
      <c r="FH77" s="12"/>
      <c r="FI77" s="12"/>
      <c r="FJ77" s="12"/>
      <c r="FK77" s="12"/>
      <c r="FL77" s="12"/>
      <c r="FM77" s="12"/>
      <c r="FN77" s="12"/>
      <c r="FO77" s="12"/>
      <c r="FP77" s="12"/>
      <c r="FQ77" s="12"/>
      <c r="FR77" s="12"/>
      <c r="FS77" s="12"/>
      <c r="FT77" s="12"/>
      <c r="FU77" s="12"/>
      <c r="FV77" s="12"/>
      <c r="FW77" s="12"/>
      <c r="FX77" s="12"/>
      <c r="FY77" s="12"/>
      <c r="FZ77" s="12"/>
      <c r="GA77" s="12"/>
      <c r="GB77" s="12"/>
      <c r="GC77" s="12"/>
      <c r="GD77" s="12"/>
      <c r="GE77" s="12"/>
      <c r="GF77" s="12"/>
      <c r="GG77" s="12"/>
      <c r="GH77" s="12"/>
      <c r="GI77" s="12"/>
      <c r="GJ77" s="12"/>
      <c r="GK77" s="12"/>
      <c r="GL77" s="12"/>
      <c r="GM77" s="12"/>
      <c r="GN77" s="12"/>
      <c r="GO77" s="12"/>
      <c r="GP77" s="12"/>
      <c r="GQ77" s="12"/>
      <c r="GR77" s="12"/>
      <c r="GS77" s="12"/>
      <c r="GT77" s="12"/>
      <c r="GU77" s="12"/>
      <c r="GV77" s="12"/>
      <c r="GW77" s="12"/>
      <c r="GX77" s="12"/>
      <c r="GY77" s="12"/>
      <c r="GZ77" s="12"/>
      <c r="HA77" s="12"/>
      <c r="HB77" s="12"/>
    </row>
    <row r="78" spans="1:210" ht="12.75" customHeight="1">
      <c r="A78" s="12"/>
      <c r="B78" s="12"/>
      <c r="C78" s="12"/>
      <c r="D78" s="12"/>
      <c r="E78" s="12"/>
      <c r="F78" s="12"/>
      <c r="G78" s="12"/>
      <c r="H78" s="12"/>
      <c r="I78" s="12"/>
      <c r="J78" s="12"/>
      <c r="K78" s="12"/>
      <c r="L78" s="12"/>
      <c r="M78" s="12"/>
      <c r="N78" s="12"/>
      <c r="O78" s="12"/>
      <c r="P78" s="12"/>
      <c r="Q78" s="12"/>
      <c r="R78" s="12"/>
      <c r="S78" s="12"/>
      <c r="T78" s="12"/>
      <c r="U78" s="12"/>
      <c r="V78" s="12"/>
      <c r="W78" s="15"/>
      <c r="X78" s="15"/>
      <c r="Y78" s="15"/>
      <c r="Z78" s="15"/>
      <c r="AA78" s="15"/>
      <c r="AB78" s="15"/>
      <c r="AC78" s="15"/>
      <c r="AD78" s="12"/>
      <c r="AE78" s="12"/>
      <c r="AF78" s="12"/>
      <c r="AG78" s="12"/>
      <c r="AH78" s="12"/>
      <c r="AI78" s="12"/>
      <c r="AJ78" s="12"/>
      <c r="AK78" s="12"/>
      <c r="AL78" s="12"/>
      <c r="AM78" s="12"/>
      <c r="AN78" s="12"/>
      <c r="AO78" s="12"/>
      <c r="AP78" s="12"/>
      <c r="AQ78" s="12"/>
      <c r="AR78" s="12"/>
      <c r="AS78" s="12"/>
      <c r="AT78" s="12"/>
      <c r="AU78" s="12"/>
      <c r="AV78" s="12"/>
      <c r="AW78" s="12"/>
      <c r="AX78" s="12"/>
      <c r="AY78" s="12"/>
      <c r="AZ78" s="12"/>
      <c r="BA78" s="12"/>
      <c r="BB78" s="12"/>
      <c r="BC78" s="12"/>
      <c r="BD78" s="12"/>
      <c r="BE78" s="12"/>
      <c r="BF78" s="12"/>
      <c r="BG78" s="12"/>
      <c r="BH78" s="12"/>
      <c r="BI78" s="12"/>
      <c r="BJ78" s="12"/>
      <c r="BK78" s="12"/>
      <c r="BL78" s="12"/>
      <c r="BM78" s="12"/>
      <c r="BN78" s="12"/>
      <c r="BO78" s="12"/>
      <c r="BP78" s="12"/>
      <c r="BQ78" s="12"/>
      <c r="BR78" s="12"/>
      <c r="BS78" s="12"/>
      <c r="BT78" s="12"/>
      <c r="BU78" s="12"/>
      <c r="BV78" s="12"/>
      <c r="BW78" s="12"/>
      <c r="BX78" s="12"/>
      <c r="BY78" s="12"/>
      <c r="BZ78" s="12"/>
      <c r="CA78" s="12"/>
      <c r="CB78" s="12"/>
      <c r="CC78" s="12"/>
      <c r="CD78" s="12"/>
      <c r="CE78" s="12"/>
      <c r="CF78" s="12"/>
      <c r="CG78" s="12"/>
      <c r="CH78" s="12"/>
      <c r="CI78" s="12"/>
      <c r="CJ78" s="12"/>
      <c r="CK78" s="12"/>
      <c r="CL78" s="12"/>
      <c r="CM78" s="12"/>
      <c r="CN78" s="12"/>
      <c r="CO78" s="12"/>
      <c r="CP78" s="12"/>
      <c r="CQ78" s="12"/>
      <c r="CR78" s="12"/>
      <c r="CS78" s="12"/>
      <c r="CT78" s="12"/>
      <c r="CU78" s="12"/>
      <c r="CV78" s="12"/>
      <c r="CW78" s="12"/>
      <c r="CX78" s="12"/>
      <c r="CY78" s="12"/>
      <c r="CZ78" s="12"/>
      <c r="DA78" s="12"/>
      <c r="DB78" s="12"/>
      <c r="DC78" s="12"/>
      <c r="DD78" s="12"/>
      <c r="DE78" s="12"/>
      <c r="DF78" s="12"/>
      <c r="DG78" s="12"/>
      <c r="DH78" s="12"/>
      <c r="DI78" s="12"/>
      <c r="DJ78" s="12"/>
      <c r="DK78" s="12"/>
      <c r="DL78" s="12"/>
      <c r="DM78" s="12"/>
      <c r="DN78" s="12"/>
      <c r="DO78" s="12"/>
      <c r="DP78" s="12"/>
      <c r="DQ78" s="12"/>
      <c r="DR78" s="12"/>
      <c r="DS78" s="12"/>
      <c r="DT78" s="12"/>
      <c r="DU78" s="12"/>
      <c r="DV78" s="12"/>
      <c r="DW78" s="12"/>
      <c r="DX78" s="12"/>
      <c r="DY78" s="12"/>
      <c r="DZ78" s="12"/>
      <c r="EA78" s="12"/>
      <c r="EB78" s="12"/>
      <c r="EC78" s="12"/>
      <c r="ED78" s="12"/>
      <c r="EE78" s="12"/>
      <c r="EF78" s="12"/>
      <c r="EG78" s="12"/>
      <c r="EH78" s="12"/>
      <c r="EI78" s="12"/>
      <c r="EJ78" s="12"/>
      <c r="EK78" s="12"/>
      <c r="EL78" s="12"/>
      <c r="EM78" s="12"/>
      <c r="EN78" s="12"/>
      <c r="EO78" s="12"/>
      <c r="EP78" s="12"/>
      <c r="EQ78" s="12"/>
      <c r="ER78" s="12"/>
      <c r="ES78" s="12"/>
      <c r="ET78" s="12"/>
      <c r="EU78" s="12"/>
      <c r="EV78" s="12"/>
      <c r="EW78" s="12"/>
      <c r="EX78" s="12"/>
      <c r="EY78" s="12"/>
      <c r="EZ78" s="12"/>
      <c r="FA78" s="12"/>
      <c r="FB78" s="12"/>
      <c r="FC78" s="12"/>
      <c r="FD78" s="12"/>
      <c r="FE78" s="12"/>
      <c r="FF78" s="12"/>
      <c r="FG78" s="12"/>
      <c r="FH78" s="12"/>
      <c r="FI78" s="12"/>
      <c r="FJ78" s="12"/>
      <c r="FK78" s="12"/>
      <c r="FL78" s="12"/>
      <c r="FM78" s="12"/>
      <c r="FN78" s="12"/>
      <c r="FO78" s="12"/>
      <c r="FP78" s="12"/>
      <c r="FQ78" s="12"/>
      <c r="FR78" s="12"/>
      <c r="FS78" s="12"/>
      <c r="FT78" s="12"/>
      <c r="FU78" s="12"/>
      <c r="FV78" s="12"/>
      <c r="FW78" s="12"/>
      <c r="FX78" s="12"/>
      <c r="FY78" s="12"/>
      <c r="FZ78" s="12"/>
      <c r="GA78" s="12"/>
      <c r="GB78" s="12"/>
      <c r="GC78" s="12"/>
      <c r="GD78" s="12"/>
      <c r="GE78" s="12"/>
      <c r="GF78" s="12"/>
      <c r="GG78" s="12"/>
      <c r="GH78" s="12"/>
      <c r="GI78" s="12"/>
      <c r="GJ78" s="12"/>
      <c r="GK78" s="12"/>
      <c r="GL78" s="12"/>
      <c r="GM78" s="12"/>
      <c r="GN78" s="12"/>
      <c r="GO78" s="12"/>
      <c r="GP78" s="12"/>
      <c r="GQ78" s="12"/>
      <c r="GR78" s="12"/>
      <c r="GS78" s="12"/>
      <c r="GT78" s="12"/>
      <c r="GU78" s="12"/>
      <c r="GV78" s="12"/>
      <c r="GW78" s="12"/>
      <c r="GX78" s="12"/>
      <c r="GY78" s="12"/>
      <c r="GZ78" s="12"/>
      <c r="HA78" s="12"/>
      <c r="HB78" s="12"/>
    </row>
    <row r="79" spans="1:210" ht="12.75" customHeight="1">
      <c r="A79" s="12"/>
      <c r="B79" s="12"/>
      <c r="C79" s="12"/>
      <c r="D79" s="12"/>
      <c r="E79" s="12"/>
      <c r="F79" s="12"/>
      <c r="G79" s="12"/>
      <c r="H79" s="12"/>
      <c r="J79" s="12"/>
      <c r="K79" s="12"/>
      <c r="L79" s="12"/>
      <c r="M79" s="12"/>
      <c r="N79" s="12"/>
      <c r="O79" s="12"/>
      <c r="P79" s="12"/>
      <c r="Q79" s="12"/>
      <c r="R79" s="12"/>
      <c r="S79" s="12"/>
      <c r="T79" s="12"/>
      <c r="U79" s="12"/>
      <c r="V79" s="12"/>
      <c r="W79" s="15"/>
      <c r="X79" s="15"/>
      <c r="Y79" s="15"/>
      <c r="Z79" s="15"/>
      <c r="AA79" s="15"/>
      <c r="AB79" s="15"/>
      <c r="AC79" s="15"/>
      <c r="AD79" s="12"/>
      <c r="AE79" s="12"/>
      <c r="AF79" s="12"/>
      <c r="AG79" s="12"/>
      <c r="AH79" s="12"/>
      <c r="AI79" s="12"/>
      <c r="AJ79" s="12"/>
      <c r="AK79" s="12"/>
      <c r="AL79" s="12"/>
      <c r="AM79" s="12"/>
      <c r="AN79" s="12"/>
      <c r="AO79" s="12"/>
      <c r="AP79" s="12"/>
      <c r="AQ79" s="12"/>
      <c r="AR79" s="12"/>
      <c r="AS79" s="12"/>
      <c r="AT79" s="12"/>
      <c r="AU79" s="12"/>
      <c r="AV79" s="12"/>
      <c r="AW79" s="12"/>
      <c r="AX79" s="12"/>
      <c r="AY79" s="12"/>
      <c r="AZ79" s="12"/>
      <c r="BA79" s="12"/>
      <c r="BB79" s="12"/>
      <c r="BC79" s="12"/>
      <c r="BD79" s="12"/>
      <c r="BE79" s="12"/>
      <c r="BF79" s="12"/>
      <c r="BG79" s="12"/>
      <c r="BH79" s="12"/>
      <c r="BI79" s="12"/>
      <c r="BJ79" s="12"/>
      <c r="BK79" s="12"/>
      <c r="BL79" s="12"/>
      <c r="BM79" s="12"/>
      <c r="BN79" s="12"/>
      <c r="BO79" s="12"/>
      <c r="BP79" s="12"/>
      <c r="BQ79" s="12"/>
      <c r="BR79" s="12"/>
      <c r="BS79" s="12"/>
      <c r="BT79" s="12"/>
      <c r="BU79" s="12"/>
      <c r="BV79" s="12"/>
      <c r="BW79" s="12"/>
      <c r="BX79" s="12"/>
      <c r="BY79" s="12"/>
      <c r="BZ79" s="12"/>
      <c r="CA79" s="12"/>
      <c r="CB79" s="12"/>
      <c r="CC79" s="12"/>
      <c r="CD79" s="12"/>
      <c r="CE79" s="12"/>
      <c r="CF79" s="12"/>
      <c r="CG79" s="12"/>
      <c r="CH79" s="12"/>
      <c r="CI79" s="12"/>
      <c r="CJ79" s="12"/>
      <c r="CK79" s="12"/>
      <c r="CL79" s="12"/>
      <c r="CM79" s="12"/>
      <c r="CN79" s="12"/>
      <c r="CO79" s="12"/>
      <c r="CP79" s="12"/>
      <c r="CQ79" s="12"/>
      <c r="CR79" s="12"/>
      <c r="CS79" s="12"/>
      <c r="CT79" s="12"/>
      <c r="CU79" s="12"/>
      <c r="CV79" s="12"/>
      <c r="CW79" s="12"/>
      <c r="CX79" s="12"/>
      <c r="CY79" s="12"/>
      <c r="CZ79" s="12"/>
      <c r="DA79" s="12"/>
      <c r="DB79" s="12"/>
      <c r="DC79" s="12"/>
      <c r="DD79" s="12"/>
      <c r="DE79" s="12"/>
      <c r="DF79" s="12"/>
      <c r="DG79" s="12"/>
      <c r="DH79" s="12"/>
      <c r="DI79" s="12"/>
      <c r="DJ79" s="12"/>
      <c r="DK79" s="12"/>
      <c r="DL79" s="12"/>
      <c r="DM79" s="12"/>
      <c r="DN79" s="12"/>
      <c r="DO79" s="12"/>
      <c r="DP79" s="12"/>
      <c r="DQ79" s="12"/>
      <c r="DR79" s="12"/>
      <c r="DS79" s="12"/>
      <c r="DT79" s="12"/>
      <c r="DU79" s="12"/>
      <c r="DV79" s="12"/>
      <c r="DW79" s="12"/>
      <c r="DX79" s="12"/>
      <c r="DY79" s="12"/>
      <c r="DZ79" s="12"/>
      <c r="EA79" s="12"/>
      <c r="EB79" s="12"/>
      <c r="EC79" s="12"/>
      <c r="ED79" s="12"/>
      <c r="EE79" s="12"/>
      <c r="EF79" s="12"/>
      <c r="EG79" s="12"/>
      <c r="EH79" s="12"/>
      <c r="EI79" s="12"/>
      <c r="EJ79" s="12"/>
      <c r="EK79" s="12"/>
      <c r="EL79" s="12"/>
      <c r="EM79" s="12"/>
      <c r="EN79" s="12"/>
      <c r="EO79" s="12"/>
      <c r="EP79" s="12"/>
      <c r="EQ79" s="12"/>
      <c r="ER79" s="12"/>
      <c r="ES79" s="12"/>
      <c r="ET79" s="12"/>
      <c r="EU79" s="12"/>
      <c r="EV79" s="12"/>
      <c r="EW79" s="12"/>
      <c r="EX79" s="12"/>
      <c r="EY79" s="12"/>
      <c r="EZ79" s="12"/>
      <c r="FA79" s="12"/>
      <c r="FB79" s="12"/>
      <c r="FC79" s="12"/>
      <c r="FD79" s="12"/>
      <c r="FE79" s="12"/>
      <c r="FF79" s="12"/>
      <c r="FG79" s="12"/>
      <c r="FH79" s="12"/>
      <c r="FI79" s="12"/>
      <c r="FJ79" s="12"/>
      <c r="FK79" s="12"/>
      <c r="FL79" s="12"/>
      <c r="FM79" s="12"/>
      <c r="FN79" s="12"/>
      <c r="FO79" s="12"/>
      <c r="FP79" s="12"/>
      <c r="FQ79" s="12"/>
      <c r="FR79" s="12"/>
      <c r="FS79" s="12"/>
      <c r="FT79" s="12"/>
      <c r="FU79" s="12"/>
      <c r="FV79" s="12"/>
      <c r="FW79" s="12"/>
      <c r="FX79" s="12"/>
      <c r="FY79" s="12"/>
      <c r="FZ79" s="12"/>
      <c r="GA79" s="12"/>
      <c r="GB79" s="12"/>
      <c r="GC79" s="12"/>
      <c r="GD79" s="12"/>
      <c r="GE79" s="12"/>
      <c r="GF79" s="12"/>
      <c r="GG79" s="12"/>
      <c r="GH79" s="12"/>
      <c r="GI79" s="12"/>
      <c r="GJ79" s="12"/>
      <c r="GK79" s="12"/>
      <c r="GL79" s="12"/>
      <c r="GM79" s="12"/>
      <c r="GN79" s="12"/>
      <c r="GO79" s="12"/>
      <c r="GP79" s="12"/>
      <c r="GQ79" s="12"/>
      <c r="GR79" s="12"/>
      <c r="GS79" s="12"/>
      <c r="GT79" s="12"/>
      <c r="GU79" s="12"/>
      <c r="GV79" s="12"/>
      <c r="GW79" s="12"/>
      <c r="GX79" s="12"/>
      <c r="GY79" s="12"/>
      <c r="GZ79" s="12"/>
      <c r="HA79" s="12"/>
      <c r="HB79" s="12"/>
    </row>
    <row r="80" spans="1:210" ht="12.75" customHeight="1">
      <c r="A80" s="12"/>
      <c r="B80" s="12"/>
      <c r="C80" s="12"/>
      <c r="D80" s="12"/>
      <c r="E80" s="12"/>
      <c r="F80" s="12"/>
      <c r="G80" s="12"/>
      <c r="H80" s="12"/>
      <c r="I80" s="12"/>
      <c r="J80" s="12"/>
      <c r="K80" s="12"/>
      <c r="L80" s="12"/>
      <c r="M80" s="12"/>
      <c r="N80" s="12"/>
      <c r="O80" s="12"/>
      <c r="P80" s="12"/>
      <c r="Q80" s="12"/>
      <c r="R80" s="12"/>
      <c r="S80" s="12"/>
      <c r="T80" s="12"/>
      <c r="U80" s="12"/>
      <c r="V80" s="12"/>
      <c r="W80" s="15"/>
      <c r="X80" s="15"/>
      <c r="Y80" s="15"/>
      <c r="Z80" s="15"/>
      <c r="AA80" s="15"/>
      <c r="AB80" s="15"/>
      <c r="AC80" s="15"/>
      <c r="AD80" s="12"/>
      <c r="AE80" s="12"/>
      <c r="AF80" s="12"/>
      <c r="AG80" s="12"/>
      <c r="AH80" s="12"/>
      <c r="AI80" s="12"/>
      <c r="AJ80" s="12"/>
      <c r="AK80" s="12"/>
      <c r="AL80" s="12"/>
      <c r="AM80" s="12"/>
      <c r="AN80" s="12"/>
      <c r="AO80" s="12"/>
      <c r="AP80" s="12"/>
      <c r="AQ80" s="12"/>
      <c r="AR80" s="12"/>
      <c r="AS80" s="12"/>
      <c r="AT80" s="12"/>
      <c r="AU80" s="12"/>
      <c r="AV80" s="12"/>
      <c r="AW80" s="12"/>
      <c r="AX80" s="12"/>
      <c r="AY80" s="12"/>
      <c r="AZ80" s="12"/>
      <c r="BA80" s="12"/>
      <c r="BB80" s="12"/>
      <c r="BC80" s="12"/>
      <c r="BD80" s="12"/>
      <c r="BE80" s="12"/>
      <c r="BF80" s="12"/>
      <c r="BG80" s="12"/>
      <c r="BH80" s="12"/>
      <c r="BI80" s="12"/>
      <c r="BJ80" s="12"/>
      <c r="BK80" s="12"/>
      <c r="BL80" s="12"/>
      <c r="BM80" s="12"/>
      <c r="BN80" s="12"/>
      <c r="BO80" s="12"/>
      <c r="BP80" s="12"/>
      <c r="BQ80" s="12"/>
      <c r="BR80" s="12"/>
      <c r="BS80" s="12"/>
      <c r="BT80" s="12"/>
      <c r="BU80" s="12"/>
      <c r="BV80" s="12"/>
      <c r="BW80" s="12"/>
      <c r="BX80" s="12"/>
      <c r="BY80" s="12"/>
      <c r="BZ80" s="12"/>
      <c r="CA80" s="12"/>
      <c r="CB80" s="12"/>
      <c r="CC80" s="12"/>
      <c r="CD80" s="12"/>
      <c r="CE80" s="12"/>
      <c r="CF80" s="12"/>
      <c r="CG80" s="12"/>
      <c r="CH80" s="12"/>
      <c r="CI80" s="12"/>
      <c r="CJ80" s="12"/>
      <c r="CK80" s="12"/>
      <c r="CL80" s="12"/>
      <c r="CM80" s="12"/>
      <c r="CN80" s="12"/>
      <c r="CO80" s="12"/>
      <c r="CP80" s="12"/>
      <c r="CQ80" s="12"/>
      <c r="CR80" s="12"/>
      <c r="CS80" s="12"/>
      <c r="CT80" s="12"/>
      <c r="CU80" s="12"/>
      <c r="CV80" s="12"/>
      <c r="CW80" s="12"/>
      <c r="CX80" s="12"/>
      <c r="CY80" s="12"/>
      <c r="CZ80" s="12"/>
      <c r="DA80" s="12"/>
      <c r="DB80" s="12"/>
      <c r="DC80" s="12"/>
      <c r="DD80" s="12"/>
      <c r="DE80" s="12"/>
      <c r="DF80" s="12"/>
      <c r="DG80" s="12"/>
      <c r="DH80" s="12"/>
      <c r="DI80" s="12"/>
      <c r="DJ80" s="12"/>
      <c r="DK80" s="12"/>
      <c r="DL80" s="12"/>
      <c r="DM80" s="12"/>
      <c r="DN80" s="12"/>
      <c r="DO80" s="12"/>
      <c r="DP80" s="12"/>
      <c r="DQ80" s="12"/>
      <c r="DR80" s="12"/>
      <c r="DS80" s="12"/>
      <c r="DT80" s="12"/>
      <c r="DU80" s="12"/>
      <c r="DV80" s="12"/>
      <c r="DW80" s="12"/>
      <c r="DX80" s="12"/>
      <c r="DY80" s="12"/>
      <c r="DZ80" s="12"/>
      <c r="EA80" s="12"/>
      <c r="EB80" s="12"/>
      <c r="EC80" s="12"/>
      <c r="ED80" s="12"/>
      <c r="EE80" s="12"/>
      <c r="EF80" s="12"/>
      <c r="EG80" s="12"/>
      <c r="EH80" s="12"/>
      <c r="EI80" s="12"/>
      <c r="EJ80" s="12"/>
      <c r="EK80" s="12"/>
      <c r="EL80" s="12"/>
      <c r="EM80" s="12"/>
      <c r="EN80" s="12"/>
      <c r="EO80" s="12"/>
      <c r="EP80" s="12"/>
      <c r="EQ80" s="12"/>
      <c r="ER80" s="12"/>
      <c r="ES80" s="12"/>
      <c r="ET80" s="12"/>
      <c r="EU80" s="12"/>
      <c r="EV80" s="12"/>
      <c r="EW80" s="12"/>
      <c r="EX80" s="12"/>
      <c r="EY80" s="12"/>
      <c r="EZ80" s="12"/>
      <c r="FA80" s="12"/>
      <c r="FB80" s="12"/>
      <c r="FC80" s="12"/>
      <c r="FD80" s="12"/>
      <c r="FE80" s="12"/>
      <c r="FF80" s="12"/>
      <c r="FG80" s="12"/>
      <c r="FH80" s="12"/>
      <c r="FI80" s="12"/>
      <c r="FJ80" s="12"/>
      <c r="FK80" s="12"/>
      <c r="FL80" s="12"/>
      <c r="FM80" s="12"/>
      <c r="FN80" s="12"/>
      <c r="FO80" s="12"/>
      <c r="FP80" s="12"/>
      <c r="FQ80" s="12"/>
      <c r="FR80" s="12"/>
      <c r="FS80" s="12"/>
      <c r="FT80" s="12"/>
      <c r="FU80" s="12"/>
      <c r="FV80" s="12"/>
      <c r="FW80" s="12"/>
      <c r="FX80" s="12"/>
      <c r="FY80" s="12"/>
      <c r="FZ80" s="12"/>
      <c r="GA80" s="12"/>
      <c r="GB80" s="12"/>
      <c r="GC80" s="12"/>
      <c r="GD80" s="12"/>
      <c r="GE80" s="12"/>
      <c r="GF80" s="12"/>
      <c r="GG80" s="12"/>
      <c r="GH80" s="12"/>
      <c r="GI80" s="12"/>
      <c r="GJ80" s="12"/>
      <c r="GK80" s="12"/>
      <c r="GL80" s="12"/>
      <c r="GM80" s="12"/>
      <c r="GN80" s="12"/>
      <c r="GO80" s="12"/>
      <c r="GP80" s="12"/>
      <c r="GQ80" s="12"/>
      <c r="GR80" s="12"/>
      <c r="GS80" s="12"/>
      <c r="GT80" s="12"/>
      <c r="GU80" s="12"/>
      <c r="GV80" s="12"/>
      <c r="GW80" s="12"/>
      <c r="GX80" s="12"/>
      <c r="GY80" s="12"/>
      <c r="GZ80" s="12"/>
      <c r="HA80" s="12"/>
      <c r="HB80" s="12"/>
    </row>
    <row r="81" spans="1:210" ht="9.9499999999999993" customHeight="1">
      <c r="A81" s="12"/>
      <c r="B81" s="12"/>
      <c r="C81" s="12"/>
      <c r="D81" s="12"/>
      <c r="E81" s="12"/>
      <c r="F81" s="12"/>
      <c r="G81" s="12"/>
      <c r="H81" s="12"/>
      <c r="I81" s="12"/>
      <c r="J81" s="12"/>
      <c r="K81" s="12"/>
      <c r="L81" s="12"/>
      <c r="M81" s="12"/>
      <c r="N81" s="12"/>
      <c r="O81" s="12"/>
      <c r="P81" s="12"/>
      <c r="Q81" s="12"/>
      <c r="R81" s="12"/>
      <c r="S81" s="12"/>
      <c r="T81" s="12"/>
      <c r="U81" s="12"/>
      <c r="V81" s="12"/>
      <c r="W81" s="15"/>
      <c r="X81" s="15"/>
      <c r="Y81" s="15"/>
      <c r="Z81" s="15"/>
      <c r="AA81" s="15"/>
      <c r="AB81" s="15"/>
      <c r="AC81" s="15"/>
      <c r="AD81" s="12"/>
      <c r="AE81" s="12"/>
      <c r="AF81" s="12"/>
      <c r="AG81" s="12"/>
      <c r="AH81" s="12"/>
      <c r="AI81" s="12"/>
      <c r="AJ81" s="12"/>
      <c r="AK81" s="12"/>
      <c r="AL81" s="12"/>
      <c r="AM81" s="12"/>
      <c r="AN81" s="12"/>
      <c r="AO81" s="12"/>
      <c r="AP81" s="12"/>
      <c r="AQ81" s="12"/>
      <c r="AR81" s="12"/>
      <c r="AS81" s="12"/>
      <c r="AT81" s="12"/>
      <c r="AU81" s="12"/>
      <c r="AV81" s="12"/>
      <c r="AW81" s="12"/>
      <c r="AX81" s="12"/>
      <c r="AY81" s="12"/>
      <c r="AZ81" s="12"/>
      <c r="BA81" s="12"/>
      <c r="BB81" s="12"/>
      <c r="BC81" s="12"/>
      <c r="BD81" s="12"/>
      <c r="BE81" s="12"/>
      <c r="BF81" s="12"/>
      <c r="BG81" s="12"/>
      <c r="BH81" s="12"/>
      <c r="BI81" s="12"/>
      <c r="BJ81" s="12"/>
      <c r="BK81" s="12"/>
      <c r="BL81" s="12"/>
      <c r="BM81" s="12"/>
      <c r="BN81" s="12"/>
      <c r="BO81" s="12"/>
      <c r="BP81" s="12"/>
      <c r="BQ81" s="12"/>
      <c r="BR81" s="12"/>
      <c r="BS81" s="12"/>
      <c r="BT81" s="12"/>
      <c r="BU81" s="12"/>
      <c r="BV81" s="12"/>
      <c r="BW81" s="12"/>
      <c r="BX81" s="12"/>
      <c r="BY81" s="12"/>
      <c r="BZ81" s="12"/>
      <c r="CA81" s="12"/>
      <c r="CB81" s="12"/>
      <c r="CC81" s="12"/>
      <c r="CD81" s="12"/>
      <c r="CE81" s="12"/>
      <c r="CF81" s="12"/>
      <c r="CG81" s="12"/>
      <c r="CH81" s="12"/>
      <c r="CI81" s="12"/>
      <c r="CJ81" s="12"/>
      <c r="CK81" s="12"/>
      <c r="CL81" s="12"/>
      <c r="CM81" s="12"/>
      <c r="CN81" s="12"/>
      <c r="CO81" s="12"/>
      <c r="CP81" s="12"/>
      <c r="CQ81" s="12"/>
      <c r="CR81" s="12"/>
      <c r="CS81" s="12"/>
      <c r="CT81" s="12"/>
      <c r="CU81" s="12"/>
      <c r="CV81" s="12"/>
      <c r="CW81" s="12"/>
      <c r="CX81" s="12"/>
      <c r="CY81" s="12"/>
      <c r="CZ81" s="12"/>
      <c r="DA81" s="12"/>
      <c r="DB81" s="12"/>
      <c r="DC81" s="12"/>
      <c r="DD81" s="12"/>
      <c r="DE81" s="12"/>
      <c r="DF81" s="12"/>
      <c r="DG81" s="12"/>
      <c r="DH81" s="12"/>
      <c r="DI81" s="12"/>
      <c r="DJ81" s="12"/>
      <c r="DK81" s="12"/>
      <c r="DL81" s="12"/>
      <c r="DM81" s="12"/>
      <c r="DN81" s="12"/>
      <c r="DO81" s="12"/>
      <c r="DP81" s="12"/>
      <c r="DQ81" s="12"/>
      <c r="DR81" s="12"/>
      <c r="DS81" s="12"/>
      <c r="DT81" s="12"/>
      <c r="DU81" s="12"/>
      <c r="DV81" s="12"/>
      <c r="DW81" s="12"/>
      <c r="DX81" s="12"/>
      <c r="DY81" s="12"/>
      <c r="DZ81" s="12"/>
      <c r="EA81" s="12"/>
      <c r="EB81" s="12"/>
      <c r="EC81" s="12"/>
      <c r="ED81" s="12"/>
      <c r="EE81" s="12"/>
      <c r="EF81" s="12"/>
      <c r="EG81" s="12"/>
      <c r="EH81" s="12"/>
      <c r="EI81" s="12"/>
      <c r="EJ81" s="12"/>
      <c r="EK81" s="12"/>
      <c r="EL81" s="12"/>
      <c r="EM81" s="12"/>
      <c r="EN81" s="12"/>
      <c r="EO81" s="12"/>
      <c r="EP81" s="12"/>
      <c r="EQ81" s="12"/>
      <c r="ER81" s="12"/>
      <c r="ES81" s="12"/>
      <c r="ET81" s="12"/>
      <c r="EU81" s="12"/>
      <c r="EV81" s="12"/>
      <c r="EW81" s="12"/>
      <c r="EX81" s="12"/>
      <c r="EY81" s="12"/>
      <c r="EZ81" s="12"/>
      <c r="FA81" s="12"/>
      <c r="FB81" s="12"/>
      <c r="FC81" s="12"/>
      <c r="FD81" s="12"/>
      <c r="FE81" s="12"/>
      <c r="FF81" s="12"/>
      <c r="FG81" s="12"/>
      <c r="FH81" s="12"/>
      <c r="FI81" s="12"/>
      <c r="FJ81" s="12"/>
      <c r="FK81" s="12"/>
      <c r="FL81" s="12"/>
      <c r="FM81" s="12"/>
      <c r="FN81" s="12"/>
      <c r="FO81" s="12"/>
      <c r="FP81" s="12"/>
      <c r="FQ81" s="12"/>
      <c r="FR81" s="12"/>
      <c r="FS81" s="12"/>
      <c r="FT81" s="12"/>
      <c r="FU81" s="12"/>
      <c r="FV81" s="12"/>
      <c r="FW81" s="12"/>
      <c r="FX81" s="12"/>
      <c r="FY81" s="12"/>
      <c r="FZ81" s="12"/>
      <c r="GA81" s="12"/>
      <c r="GB81" s="12"/>
      <c r="GC81" s="12"/>
      <c r="GD81" s="12"/>
      <c r="GE81" s="12"/>
      <c r="GF81" s="12"/>
      <c r="GG81" s="12"/>
      <c r="GH81" s="12"/>
      <c r="GI81" s="12"/>
      <c r="GJ81" s="12"/>
      <c r="GK81" s="12"/>
      <c r="GL81" s="12"/>
      <c r="GM81" s="12"/>
      <c r="GN81" s="12"/>
      <c r="GO81" s="12"/>
      <c r="GP81" s="12"/>
      <c r="GQ81" s="12"/>
      <c r="GR81" s="12"/>
      <c r="GS81" s="12"/>
      <c r="GT81" s="12"/>
      <c r="GU81" s="12"/>
      <c r="GV81" s="12"/>
      <c r="GW81" s="12"/>
      <c r="GX81" s="12"/>
      <c r="GY81" s="12"/>
      <c r="GZ81" s="12"/>
      <c r="HA81" s="12"/>
      <c r="HB81" s="12"/>
    </row>
    <row r="82" spans="1:210" ht="9.9499999999999993" customHeight="1">
      <c r="A82" s="12"/>
      <c r="B82" s="12"/>
      <c r="C82" s="12"/>
      <c r="D82" s="12"/>
      <c r="E82" s="12"/>
      <c r="F82" s="12"/>
      <c r="G82" s="12"/>
      <c r="H82" s="12"/>
      <c r="I82" s="12"/>
      <c r="J82" s="12"/>
      <c r="K82" s="12"/>
      <c r="L82" s="12"/>
      <c r="M82" s="12"/>
      <c r="N82" s="12"/>
      <c r="O82" s="12"/>
      <c r="P82" s="12"/>
      <c r="Q82" s="12"/>
      <c r="R82" s="12"/>
      <c r="S82" s="12"/>
      <c r="T82" s="12"/>
      <c r="U82" s="12"/>
      <c r="V82" s="12"/>
      <c r="W82" s="15"/>
      <c r="X82" s="15"/>
      <c r="Y82" s="15"/>
      <c r="Z82" s="15"/>
      <c r="AA82" s="15"/>
      <c r="AB82" s="15"/>
      <c r="AC82" s="15"/>
      <c r="AD82" s="12"/>
      <c r="AE82" s="12"/>
      <c r="AF82" s="12"/>
      <c r="AG82" s="12"/>
      <c r="AH82" s="12"/>
      <c r="AI82" s="12"/>
      <c r="AJ82" s="12"/>
      <c r="AK82" s="12"/>
      <c r="AL82" s="12"/>
      <c r="AM82" s="12"/>
      <c r="AN82" s="12"/>
      <c r="AO82" s="12"/>
      <c r="AP82" s="12"/>
      <c r="AQ82" s="12"/>
      <c r="AR82" s="12"/>
      <c r="AS82" s="12"/>
      <c r="AT82" s="12"/>
      <c r="AU82" s="12"/>
      <c r="AV82" s="12"/>
      <c r="AW82" s="12"/>
      <c r="AX82" s="12"/>
      <c r="AY82" s="12"/>
      <c r="AZ82" s="12"/>
      <c r="BA82" s="12"/>
      <c r="BB82" s="12"/>
      <c r="BC82" s="12"/>
      <c r="BD82" s="12"/>
      <c r="BE82" s="12"/>
      <c r="BF82" s="12"/>
      <c r="BG82" s="12"/>
      <c r="BH82" s="12"/>
      <c r="BI82" s="12"/>
      <c r="BJ82" s="12"/>
      <c r="BK82" s="12"/>
      <c r="BL82" s="12"/>
      <c r="BM82" s="12"/>
      <c r="BN82" s="12"/>
      <c r="BO82" s="12"/>
      <c r="BP82" s="12"/>
      <c r="BQ82" s="12"/>
      <c r="BR82" s="12"/>
      <c r="BS82" s="12"/>
      <c r="BT82" s="12"/>
      <c r="BU82" s="12"/>
      <c r="BV82" s="12"/>
      <c r="BW82" s="12"/>
      <c r="BX82" s="12"/>
      <c r="BY82" s="12"/>
      <c r="BZ82" s="12"/>
      <c r="CA82" s="12"/>
      <c r="CB82" s="12"/>
      <c r="CC82" s="12"/>
      <c r="CD82" s="12"/>
      <c r="CE82" s="12"/>
      <c r="CF82" s="12"/>
      <c r="CG82" s="12"/>
      <c r="CH82" s="12"/>
      <c r="CI82" s="12"/>
      <c r="CJ82" s="12"/>
      <c r="CK82" s="12"/>
      <c r="CL82" s="12"/>
      <c r="CM82" s="12"/>
      <c r="CN82" s="12"/>
      <c r="CO82" s="12"/>
      <c r="CP82" s="12"/>
      <c r="CQ82" s="12"/>
      <c r="CR82" s="12"/>
      <c r="CS82" s="12"/>
      <c r="CT82" s="12"/>
      <c r="CU82" s="12"/>
      <c r="CV82" s="12"/>
      <c r="CW82" s="12"/>
      <c r="CX82" s="12"/>
      <c r="CY82" s="12"/>
      <c r="CZ82" s="12"/>
      <c r="DA82" s="12"/>
      <c r="DB82" s="12"/>
      <c r="DC82" s="12"/>
      <c r="DD82" s="12"/>
      <c r="DE82" s="12"/>
      <c r="DF82" s="12"/>
      <c r="DG82" s="12"/>
      <c r="DH82" s="12"/>
      <c r="DI82" s="12"/>
      <c r="DJ82" s="12"/>
      <c r="DK82" s="12"/>
      <c r="DL82" s="12"/>
      <c r="DM82" s="12"/>
      <c r="DN82" s="12"/>
      <c r="DO82" s="12"/>
      <c r="DP82" s="12"/>
      <c r="DQ82" s="12"/>
      <c r="DR82" s="12"/>
      <c r="DS82" s="12"/>
      <c r="DT82" s="12"/>
      <c r="DU82" s="12"/>
      <c r="DV82" s="12"/>
      <c r="DW82" s="12"/>
      <c r="DX82" s="12"/>
      <c r="DY82" s="12"/>
      <c r="DZ82" s="12"/>
      <c r="EA82" s="12"/>
      <c r="EB82" s="12"/>
      <c r="EC82" s="12"/>
      <c r="ED82" s="12"/>
      <c r="EE82" s="12"/>
      <c r="EF82" s="12"/>
      <c r="EG82" s="12"/>
      <c r="EH82" s="12"/>
      <c r="EI82" s="12"/>
      <c r="EJ82" s="12"/>
      <c r="EK82" s="12"/>
      <c r="EL82" s="12"/>
      <c r="EM82" s="12"/>
      <c r="EN82" s="12"/>
      <c r="EO82" s="12"/>
      <c r="EP82" s="12"/>
      <c r="EQ82" s="12"/>
      <c r="ER82" s="12"/>
      <c r="ES82" s="12"/>
      <c r="ET82" s="12"/>
      <c r="EU82" s="12"/>
      <c r="EV82" s="12"/>
      <c r="EW82" s="12"/>
      <c r="EX82" s="12"/>
      <c r="EY82" s="12"/>
      <c r="EZ82" s="12"/>
      <c r="FA82" s="12"/>
      <c r="FB82" s="12"/>
      <c r="FC82" s="12"/>
      <c r="FD82" s="12"/>
      <c r="FE82" s="12"/>
      <c r="FF82" s="12"/>
      <c r="FG82" s="12"/>
      <c r="FH82" s="12"/>
      <c r="FI82" s="12"/>
      <c r="FJ82" s="12"/>
      <c r="FK82" s="12"/>
      <c r="FL82" s="12"/>
      <c r="FM82" s="12"/>
      <c r="FN82" s="12"/>
      <c r="FO82" s="12"/>
      <c r="FP82" s="12"/>
      <c r="FQ82" s="12"/>
      <c r="FR82" s="12"/>
      <c r="FS82" s="12"/>
      <c r="FT82" s="12"/>
      <c r="FU82" s="12"/>
      <c r="FV82" s="12"/>
      <c r="FW82" s="12"/>
      <c r="FX82" s="12"/>
      <c r="FY82" s="12"/>
      <c r="FZ82" s="12"/>
      <c r="GA82" s="12"/>
      <c r="GB82" s="12"/>
      <c r="GC82" s="12"/>
      <c r="GD82" s="12"/>
      <c r="GE82" s="12"/>
      <c r="GF82" s="12"/>
      <c r="GG82" s="12"/>
      <c r="GH82" s="12"/>
      <c r="GI82" s="12"/>
      <c r="GJ82" s="12"/>
      <c r="GK82" s="12"/>
      <c r="GL82" s="12"/>
      <c r="GM82" s="12"/>
      <c r="GN82" s="12"/>
      <c r="GO82" s="12"/>
      <c r="GP82" s="12"/>
      <c r="GQ82" s="12"/>
      <c r="GR82" s="12"/>
      <c r="GS82" s="12"/>
      <c r="GT82" s="19"/>
      <c r="GU82" s="19"/>
      <c r="GV82" s="19"/>
      <c r="GW82" s="19"/>
      <c r="GX82" s="19"/>
      <c r="GY82" s="19"/>
      <c r="GZ82" s="19"/>
      <c r="HA82" s="19"/>
      <c r="HB82" s="19"/>
    </row>
    <row r="83" spans="1:210">
      <c r="A83" s="12"/>
      <c r="B83" s="12"/>
      <c r="C83" s="12"/>
      <c r="D83" s="12"/>
      <c r="E83" s="12"/>
      <c r="F83" s="12"/>
      <c r="G83" s="12"/>
      <c r="H83" s="12"/>
      <c r="I83" s="12"/>
      <c r="J83" s="12"/>
      <c r="K83" s="12"/>
      <c r="L83" s="12"/>
      <c r="M83" s="12"/>
      <c r="N83" s="12"/>
      <c r="O83" s="12"/>
      <c r="P83" s="12"/>
      <c r="Q83" s="12"/>
      <c r="R83" s="12"/>
      <c r="S83" s="12"/>
      <c r="T83" s="12"/>
      <c r="U83" s="12"/>
      <c r="V83" s="12"/>
      <c r="W83" s="15"/>
      <c r="X83" s="15"/>
      <c r="Y83" s="15"/>
      <c r="Z83" s="15"/>
      <c r="AA83" s="15"/>
      <c r="AB83" s="15"/>
      <c r="AC83" s="15"/>
      <c r="AD83" s="12"/>
      <c r="AE83" s="12"/>
      <c r="AF83" s="12"/>
      <c r="AG83" s="12"/>
      <c r="AH83" s="12"/>
      <c r="AI83" s="12"/>
      <c r="AJ83" s="12"/>
      <c r="AK83" s="12"/>
      <c r="AL83" s="12"/>
      <c r="AM83" s="12"/>
      <c r="AN83" s="12"/>
      <c r="AO83" s="12"/>
      <c r="AP83" s="12"/>
      <c r="AQ83" s="12"/>
      <c r="AR83" s="12"/>
      <c r="AS83" s="12"/>
      <c r="AT83" s="12"/>
      <c r="AU83" s="12"/>
      <c r="AV83" s="12"/>
      <c r="AW83" s="12"/>
      <c r="AX83" s="12"/>
      <c r="AY83" s="12"/>
      <c r="AZ83" s="12"/>
      <c r="BA83" s="12"/>
      <c r="BB83" s="12"/>
      <c r="BC83" s="12"/>
      <c r="BD83" s="12"/>
      <c r="BE83" s="12"/>
      <c r="BF83" s="12"/>
      <c r="BG83" s="12"/>
      <c r="BH83" s="12"/>
      <c r="BI83" s="12"/>
      <c r="BJ83" s="12"/>
      <c r="BK83" s="12"/>
      <c r="BL83" s="12"/>
      <c r="BM83" s="12"/>
      <c r="BN83" s="12"/>
      <c r="BO83" s="12"/>
      <c r="BP83" s="12"/>
      <c r="BQ83" s="12"/>
      <c r="BR83" s="12"/>
      <c r="BS83" s="12"/>
      <c r="BT83" s="12"/>
      <c r="BU83" s="12"/>
      <c r="BV83" s="12"/>
      <c r="BW83" s="12"/>
      <c r="BX83" s="12"/>
      <c r="BY83" s="12"/>
      <c r="BZ83" s="12"/>
      <c r="CA83" s="12"/>
      <c r="CB83" s="12"/>
      <c r="CC83" s="12"/>
      <c r="CD83" s="12"/>
      <c r="CE83" s="12"/>
      <c r="CF83" s="12"/>
      <c r="CG83" s="12"/>
      <c r="CH83" s="12"/>
      <c r="CI83" s="12"/>
      <c r="CJ83" s="12"/>
      <c r="CK83" s="12"/>
      <c r="CL83" s="12"/>
      <c r="CM83" s="12"/>
      <c r="CN83" s="12"/>
      <c r="CO83" s="12"/>
      <c r="CP83" s="12"/>
      <c r="CQ83" s="12"/>
      <c r="CR83" s="12"/>
      <c r="CS83" s="12"/>
      <c r="CT83" s="12"/>
      <c r="CU83" s="12"/>
      <c r="CV83" s="12"/>
      <c r="CW83" s="12"/>
      <c r="CX83" s="12"/>
      <c r="CY83" s="12"/>
      <c r="CZ83" s="12"/>
      <c r="DA83" s="12"/>
      <c r="DB83" s="12"/>
      <c r="DC83" s="12"/>
      <c r="DD83" s="12"/>
      <c r="DE83" s="12"/>
      <c r="DF83" s="12"/>
      <c r="DG83" s="12"/>
      <c r="DH83" s="12"/>
      <c r="DI83" s="12"/>
      <c r="DJ83" s="12"/>
      <c r="DK83" s="12"/>
      <c r="DL83" s="12"/>
      <c r="DM83" s="12"/>
      <c r="DN83" s="12"/>
      <c r="DO83" s="12"/>
      <c r="DP83" s="12"/>
      <c r="DQ83" s="12"/>
      <c r="DR83" s="12"/>
      <c r="DS83" s="12"/>
      <c r="DT83" s="12"/>
      <c r="DU83" s="12"/>
      <c r="DV83" s="12"/>
      <c r="DW83" s="12"/>
      <c r="DX83" s="12"/>
      <c r="DY83" s="12"/>
      <c r="DZ83" s="12"/>
      <c r="EA83" s="12"/>
      <c r="EB83" s="12"/>
      <c r="EC83" s="12"/>
      <c r="ED83" s="12"/>
      <c r="EE83" s="12"/>
      <c r="EF83" s="12"/>
      <c r="EG83" s="12"/>
      <c r="EH83" s="12"/>
      <c r="EI83" s="12"/>
      <c r="EJ83" s="12"/>
      <c r="EK83" s="12"/>
      <c r="EL83" s="12"/>
      <c r="EM83" s="12"/>
      <c r="EN83" s="12"/>
      <c r="EO83" s="12"/>
      <c r="EP83" s="12"/>
      <c r="EQ83" s="12"/>
      <c r="ER83" s="12"/>
      <c r="ES83" s="12"/>
      <c r="ET83" s="12"/>
      <c r="EU83" s="12"/>
      <c r="EV83" s="12"/>
      <c r="EW83" s="12"/>
      <c r="EX83" s="12"/>
      <c r="EY83" s="12"/>
      <c r="EZ83" s="12"/>
      <c r="FA83" s="12"/>
      <c r="FB83" s="12"/>
      <c r="FC83" s="12"/>
      <c r="FD83" s="12"/>
      <c r="FE83" s="12"/>
      <c r="FF83" s="12"/>
      <c r="FG83" s="12"/>
      <c r="FH83" s="12"/>
      <c r="FI83" s="12"/>
      <c r="FJ83" s="12"/>
      <c r="FK83" s="12"/>
      <c r="FL83" s="12"/>
      <c r="FM83" s="12"/>
      <c r="FN83" s="12"/>
      <c r="FO83" s="12"/>
      <c r="FP83" s="12"/>
      <c r="FQ83" s="12"/>
      <c r="FR83" s="12"/>
      <c r="FS83" s="12"/>
      <c r="FT83" s="12"/>
      <c r="FU83" s="12"/>
      <c r="FV83" s="12"/>
      <c r="FW83" s="12"/>
      <c r="FX83" s="12"/>
      <c r="FY83" s="12"/>
      <c r="FZ83" s="12"/>
      <c r="GA83" s="12"/>
      <c r="GB83" s="12"/>
      <c r="GC83" s="12"/>
      <c r="GD83" s="12"/>
      <c r="GE83" s="12"/>
      <c r="GF83" s="12"/>
      <c r="GG83" s="12"/>
      <c r="GH83" s="12"/>
      <c r="GI83" s="12"/>
      <c r="GJ83" s="12"/>
      <c r="GK83" s="12"/>
      <c r="GL83" s="12"/>
      <c r="GM83" s="12"/>
      <c r="GN83" s="12"/>
      <c r="GO83" s="12"/>
      <c r="GP83" s="12"/>
      <c r="GQ83" s="12"/>
      <c r="GR83" s="19"/>
      <c r="GS83" s="19"/>
      <c r="GT83" s="19"/>
      <c r="GU83" s="19"/>
      <c r="GV83" s="19"/>
      <c r="GW83" s="19"/>
      <c r="GX83" s="19"/>
      <c r="GY83" s="19"/>
      <c r="GZ83" s="19"/>
      <c r="HA83" s="19"/>
      <c r="HB83" s="19"/>
    </row>
    <row r="84" spans="1:210">
      <c r="A84" s="12"/>
      <c r="B84" s="12"/>
      <c r="C84" s="12"/>
      <c r="D84" s="12"/>
      <c r="E84" s="12"/>
      <c r="F84" s="12"/>
      <c r="G84" s="12"/>
      <c r="H84" s="12"/>
      <c r="I84" s="12"/>
      <c r="J84" s="12"/>
      <c r="K84" s="12"/>
      <c r="L84" s="12"/>
      <c r="M84" s="12"/>
      <c r="N84" s="12"/>
      <c r="O84" s="12"/>
      <c r="P84" s="12"/>
      <c r="Q84" s="12"/>
      <c r="R84" s="12"/>
      <c r="S84" s="12"/>
      <c r="T84" s="12"/>
      <c r="U84" s="12"/>
      <c r="V84" s="12"/>
      <c r="W84" s="15"/>
      <c r="X84" s="15"/>
      <c r="Y84" s="15"/>
      <c r="Z84" s="15"/>
      <c r="AA84" s="15"/>
      <c r="AB84" s="15"/>
      <c r="AC84" s="15"/>
      <c r="AD84" s="12"/>
      <c r="AE84" s="12"/>
      <c r="AF84" s="12"/>
      <c r="AG84" s="12"/>
      <c r="AH84" s="12"/>
      <c r="AI84" s="12"/>
      <c r="AJ84" s="12"/>
      <c r="AK84" s="12"/>
      <c r="AL84" s="12"/>
      <c r="AM84" s="12"/>
      <c r="AN84" s="12"/>
      <c r="AO84" s="12"/>
      <c r="AP84" s="12"/>
      <c r="AQ84" s="12"/>
      <c r="AR84" s="12"/>
      <c r="AS84" s="12"/>
      <c r="AT84" s="12"/>
      <c r="AU84" s="12"/>
      <c r="AV84" s="12"/>
      <c r="AW84" s="12"/>
      <c r="AX84" s="12"/>
      <c r="AY84" s="12"/>
      <c r="AZ84" s="12"/>
      <c r="BA84" s="12"/>
      <c r="BB84" s="12"/>
      <c r="BC84" s="12"/>
      <c r="BD84" s="12"/>
      <c r="BE84" s="12"/>
      <c r="BF84" s="12"/>
      <c r="BG84" s="12"/>
      <c r="BH84" s="12"/>
      <c r="BI84" s="12"/>
      <c r="BJ84" s="12"/>
      <c r="BK84" s="12"/>
      <c r="BL84" s="12"/>
      <c r="BM84" s="12"/>
      <c r="BN84" s="12"/>
      <c r="BO84" s="12"/>
      <c r="BP84" s="12"/>
      <c r="BQ84" s="12"/>
      <c r="BR84" s="12"/>
      <c r="BS84" s="12"/>
      <c r="BT84" s="12"/>
      <c r="BU84" s="12"/>
      <c r="BV84" s="12"/>
      <c r="BW84" s="12"/>
      <c r="BX84" s="12"/>
      <c r="BY84" s="12"/>
      <c r="BZ84" s="12"/>
      <c r="CA84" s="12"/>
      <c r="CB84" s="12"/>
      <c r="CC84" s="12"/>
      <c r="CD84" s="12"/>
      <c r="CE84" s="12"/>
      <c r="CF84" s="12"/>
      <c r="CG84" s="12"/>
      <c r="CH84" s="12"/>
      <c r="CI84" s="12"/>
      <c r="CJ84" s="12"/>
      <c r="CK84" s="12"/>
      <c r="CL84" s="12"/>
      <c r="CM84" s="12"/>
      <c r="CN84" s="12"/>
      <c r="CO84" s="12"/>
      <c r="CP84" s="12"/>
      <c r="CQ84" s="12"/>
      <c r="CR84" s="12"/>
      <c r="CS84" s="12"/>
      <c r="CT84" s="12"/>
      <c r="CU84" s="12"/>
      <c r="CV84" s="12"/>
      <c r="CW84" s="12"/>
      <c r="CX84" s="12"/>
      <c r="CY84" s="12"/>
      <c r="CZ84" s="12"/>
      <c r="DA84" s="12"/>
      <c r="DB84" s="12"/>
      <c r="DC84" s="12"/>
      <c r="DD84" s="12"/>
      <c r="DE84" s="12"/>
      <c r="DF84" s="12"/>
      <c r="DG84" s="12"/>
      <c r="DH84" s="12"/>
      <c r="DI84" s="12"/>
      <c r="DJ84" s="12"/>
      <c r="DK84" s="12"/>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c r="EY84" s="12"/>
      <c r="EZ84" s="12"/>
      <c r="FA84" s="12"/>
      <c r="FB84" s="12"/>
      <c r="FC84" s="12"/>
      <c r="FD84" s="12"/>
      <c r="FE84" s="12"/>
      <c r="FF84" s="12"/>
      <c r="FG84" s="12"/>
      <c r="FH84" s="12"/>
      <c r="FI84" s="12"/>
      <c r="FJ84" s="12"/>
      <c r="FK84" s="12"/>
      <c r="FL84" s="12"/>
      <c r="FM84" s="12"/>
      <c r="FN84" s="12"/>
      <c r="FO84" s="12"/>
      <c r="FP84" s="12"/>
      <c r="FQ84" s="12"/>
      <c r="FR84" s="12"/>
      <c r="FS84" s="12"/>
      <c r="FT84" s="12"/>
      <c r="FU84" s="12"/>
      <c r="FV84" s="12"/>
      <c r="FW84" s="12"/>
      <c r="FX84" s="12"/>
      <c r="FY84" s="12"/>
      <c r="FZ84" s="12"/>
      <c r="GA84" s="12"/>
      <c r="GB84" s="12"/>
      <c r="GC84" s="12"/>
      <c r="GD84" s="12"/>
      <c r="GE84" s="12"/>
      <c r="GF84" s="12"/>
      <c r="GG84" s="12"/>
      <c r="GH84" s="12"/>
      <c r="GI84" s="12"/>
      <c r="GJ84" s="12"/>
      <c r="GK84" s="12"/>
      <c r="GL84" s="12"/>
      <c r="GM84" s="12"/>
      <c r="GN84" s="12"/>
      <c r="GO84" s="12"/>
      <c r="GP84" s="12"/>
      <c r="GQ84" s="12"/>
      <c r="GR84" s="19"/>
      <c r="GS84" s="19"/>
      <c r="GT84" s="19"/>
      <c r="GU84" s="19"/>
      <c r="GV84" s="19"/>
      <c r="GW84" s="19"/>
      <c r="GX84" s="19"/>
      <c r="GY84" s="19"/>
      <c r="GZ84" s="19"/>
      <c r="HA84" s="19"/>
      <c r="HB84" s="19"/>
    </row>
    <row r="85" spans="1:210">
      <c r="A85" s="12"/>
      <c r="B85" s="12"/>
      <c r="C85" s="12"/>
      <c r="D85" s="12"/>
      <c r="E85" s="12"/>
      <c r="F85" s="12"/>
      <c r="G85" s="12"/>
      <c r="H85" s="12"/>
      <c r="I85" s="12"/>
      <c r="J85" s="12"/>
      <c r="K85" s="12"/>
      <c r="L85" s="12"/>
      <c r="M85" s="12"/>
      <c r="N85" s="12"/>
      <c r="O85" s="12"/>
      <c r="P85" s="12"/>
      <c r="Q85" s="12"/>
      <c r="R85" s="12"/>
      <c r="S85" s="12"/>
      <c r="T85" s="12"/>
      <c r="U85" s="12"/>
      <c r="V85" s="12"/>
      <c r="W85" s="15"/>
      <c r="X85" s="15"/>
      <c r="Y85" s="15"/>
      <c r="Z85" s="15"/>
      <c r="AA85" s="15"/>
      <c r="AB85" s="15"/>
      <c r="AC85" s="15"/>
      <c r="AD85" s="12"/>
      <c r="AE85" s="12"/>
      <c r="AF85" s="12"/>
      <c r="AG85" s="12"/>
      <c r="AH85" s="12"/>
      <c r="AI85" s="12"/>
      <c r="AJ85" s="12"/>
      <c r="AK85" s="12"/>
      <c r="AL85" s="12"/>
      <c r="AM85" s="12"/>
      <c r="AN85" s="12"/>
      <c r="AO85" s="12"/>
      <c r="AP85" s="12"/>
      <c r="AQ85" s="12"/>
      <c r="AR85" s="12"/>
      <c r="AS85" s="12"/>
      <c r="AT85" s="12"/>
      <c r="AU85" s="12"/>
      <c r="AV85" s="12"/>
      <c r="AW85" s="12"/>
      <c r="AX85" s="12"/>
      <c r="AY85" s="12"/>
      <c r="AZ85" s="12"/>
      <c r="BA85" s="12"/>
      <c r="BB85" s="12"/>
      <c r="BC85" s="12"/>
      <c r="BD85" s="12"/>
      <c r="BE85" s="12"/>
      <c r="BF85" s="12"/>
      <c r="BG85" s="12"/>
      <c r="BH85" s="12"/>
      <c r="BI85" s="12"/>
      <c r="BJ85" s="12"/>
      <c r="BK85" s="12"/>
      <c r="BL85" s="12"/>
      <c r="BM85" s="12"/>
      <c r="BN85" s="12"/>
      <c r="BO85" s="12"/>
      <c r="BP85" s="12"/>
      <c r="BQ85" s="12"/>
      <c r="BR85" s="12"/>
      <c r="BS85" s="12"/>
      <c r="BT85" s="12"/>
      <c r="BU85" s="12"/>
      <c r="BV85" s="12"/>
      <c r="BW85" s="12"/>
      <c r="BX85" s="12"/>
      <c r="BY85" s="12"/>
      <c r="BZ85" s="12"/>
      <c r="CA85" s="12"/>
      <c r="CB85" s="12"/>
      <c r="CC85" s="12"/>
      <c r="CD85" s="12"/>
      <c r="CE85" s="12"/>
      <c r="CF85" s="12"/>
      <c r="CG85" s="12"/>
      <c r="CH85" s="12"/>
      <c r="CI85" s="12"/>
      <c r="CJ85" s="12"/>
      <c r="CK85" s="12"/>
      <c r="CL85" s="12"/>
      <c r="CM85" s="12"/>
      <c r="CN85" s="12"/>
      <c r="CO85" s="12"/>
      <c r="CP85" s="12"/>
      <c r="CQ85" s="12"/>
      <c r="CR85" s="12"/>
      <c r="CS85" s="12"/>
      <c r="CT85" s="12"/>
      <c r="CU85" s="12"/>
      <c r="CV85" s="12"/>
      <c r="CW85" s="12"/>
      <c r="CX85" s="12"/>
      <c r="CY85" s="12"/>
      <c r="CZ85" s="12"/>
      <c r="DA85" s="12"/>
      <c r="DB85" s="12"/>
      <c r="DC85" s="12"/>
      <c r="DD85" s="12"/>
      <c r="DE85" s="12"/>
      <c r="DF85" s="12"/>
      <c r="DG85" s="12"/>
      <c r="DH85" s="12"/>
      <c r="DI85" s="12"/>
      <c r="DJ85" s="12"/>
      <c r="DK85" s="12"/>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c r="EY85" s="12"/>
      <c r="EZ85" s="12"/>
      <c r="FA85" s="12"/>
      <c r="FB85" s="12"/>
      <c r="FC85" s="12"/>
      <c r="FD85" s="12"/>
      <c r="FE85" s="12"/>
      <c r="FF85" s="12"/>
      <c r="FG85" s="12"/>
      <c r="FH85" s="12"/>
      <c r="FI85" s="12"/>
      <c r="FJ85" s="12"/>
      <c r="FK85" s="12"/>
      <c r="FL85" s="12"/>
      <c r="FM85" s="12"/>
      <c r="FN85" s="12"/>
      <c r="FO85" s="12"/>
      <c r="FP85" s="12"/>
      <c r="FQ85" s="12"/>
      <c r="FR85" s="12"/>
      <c r="FS85" s="12"/>
      <c r="FT85" s="12"/>
      <c r="FU85" s="12"/>
      <c r="FV85" s="12"/>
      <c r="FW85" s="12"/>
      <c r="FX85" s="12"/>
      <c r="FY85" s="12"/>
      <c r="FZ85" s="12"/>
      <c r="GA85" s="12"/>
      <c r="GB85" s="12"/>
      <c r="GC85" s="12"/>
      <c r="GD85" s="12"/>
      <c r="GE85" s="12"/>
      <c r="GF85" s="12"/>
      <c r="GG85" s="12"/>
      <c r="GH85" s="12"/>
      <c r="GI85" s="12"/>
      <c r="GJ85" s="12"/>
      <c r="GK85" s="12"/>
      <c r="GL85" s="12"/>
      <c r="GM85" s="12"/>
      <c r="GN85" s="12"/>
      <c r="GO85" s="12"/>
      <c r="GP85" s="12"/>
      <c r="GQ85" s="12"/>
      <c r="GR85" s="12"/>
      <c r="GS85" s="12"/>
      <c r="GT85" s="19"/>
      <c r="GU85" s="19"/>
      <c r="GV85" s="19"/>
      <c r="GW85" s="19"/>
      <c r="GX85" s="19"/>
      <c r="GY85" s="19"/>
      <c r="GZ85" s="19"/>
      <c r="HA85" s="12"/>
      <c r="HB85" s="12"/>
    </row>
    <row r="86" spans="1:210">
      <c r="B86" s="12"/>
      <c r="C86" s="12"/>
      <c r="D86" s="12"/>
      <c r="E86" s="12"/>
      <c r="F86" s="12"/>
      <c r="G86" s="12"/>
      <c r="H86" s="12"/>
      <c r="I86" s="12"/>
      <c r="J86" s="12"/>
      <c r="K86" s="12"/>
      <c r="L86" s="12"/>
      <c r="M86" s="12"/>
      <c r="N86" s="12"/>
      <c r="O86" s="12"/>
      <c r="P86" s="12"/>
      <c r="Q86" s="12"/>
      <c r="R86" s="12"/>
      <c r="S86" s="12"/>
      <c r="T86" s="12"/>
      <c r="U86" s="12"/>
      <c r="V86" s="12"/>
      <c r="W86" s="15"/>
      <c r="X86" s="15"/>
      <c r="Y86" s="15"/>
      <c r="Z86" s="15"/>
      <c r="AA86" s="15"/>
      <c r="AB86" s="15"/>
      <c r="AC86" s="15"/>
      <c r="AD86" s="12"/>
      <c r="AE86" s="12"/>
      <c r="AF86" s="12"/>
      <c r="AG86" s="12"/>
      <c r="AH86" s="12"/>
      <c r="AI86" s="12"/>
      <c r="AJ86" s="12"/>
      <c r="AK86" s="12"/>
      <c r="AL86" s="12"/>
      <c r="AM86" s="12"/>
      <c r="AN86" s="12"/>
      <c r="AO86" s="12"/>
      <c r="AP86" s="12"/>
      <c r="AQ86" s="12"/>
      <c r="AR86" s="12"/>
      <c r="AS86" s="12"/>
      <c r="AT86" s="12"/>
      <c r="AU86" s="12"/>
      <c r="AV86" s="12"/>
      <c r="AW86" s="12"/>
      <c r="AX86" s="12"/>
      <c r="AY86" s="12"/>
      <c r="AZ86" s="12"/>
      <c r="BA86" s="12"/>
      <c r="BB86" s="12"/>
      <c r="BC86" s="12"/>
      <c r="BD86" s="12"/>
      <c r="BE86" s="12"/>
      <c r="BF86" s="12"/>
      <c r="BG86" s="12"/>
      <c r="BH86" s="12"/>
      <c r="BI86" s="12"/>
      <c r="BJ86" s="12"/>
      <c r="BK86" s="12"/>
      <c r="BL86" s="12"/>
      <c r="BM86" s="12"/>
      <c r="BN86" s="12"/>
      <c r="BO86" s="12"/>
      <c r="BP86" s="12"/>
      <c r="BQ86" s="12"/>
      <c r="BR86" s="12"/>
      <c r="BS86" s="12"/>
      <c r="BT86" s="12"/>
      <c r="BU86" s="12"/>
      <c r="BV86" s="12"/>
      <c r="BW86" s="12"/>
      <c r="BX86" s="12"/>
      <c r="BY86" s="12"/>
      <c r="BZ86" s="12"/>
      <c r="CA86" s="12"/>
      <c r="CB86" s="12"/>
      <c r="CC86" s="12"/>
      <c r="CD86" s="12"/>
      <c r="CE86" s="12"/>
      <c r="CF86" s="12"/>
      <c r="CG86" s="12"/>
      <c r="CH86" s="12"/>
      <c r="CI86" s="12"/>
      <c r="CJ86" s="12"/>
      <c r="CK86" s="12"/>
      <c r="CL86" s="12"/>
      <c r="CM86" s="12"/>
      <c r="CN86" s="12"/>
      <c r="CO86" s="12"/>
      <c r="CP86" s="12"/>
      <c r="CQ86" s="12"/>
      <c r="CR86" s="12"/>
      <c r="CS86" s="12"/>
      <c r="CT86" s="12"/>
      <c r="CU86" s="12"/>
      <c r="CV86" s="12"/>
      <c r="CW86" s="12"/>
      <c r="CX86" s="12"/>
      <c r="CY86" s="12"/>
      <c r="CZ86" s="12"/>
      <c r="DA86" s="12"/>
      <c r="DB86" s="12"/>
      <c r="DC86" s="12"/>
      <c r="DD86" s="12"/>
      <c r="DE86" s="12"/>
      <c r="DF86" s="12"/>
      <c r="DG86" s="12"/>
      <c r="DH86" s="12"/>
      <c r="DI86" s="12"/>
      <c r="DJ86" s="12"/>
      <c r="DK86" s="12"/>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c r="EY86" s="12"/>
      <c r="EZ86" s="12"/>
      <c r="FA86" s="12"/>
      <c r="FB86" s="12"/>
      <c r="FC86" s="12"/>
      <c r="FD86" s="12"/>
      <c r="FE86" s="12"/>
      <c r="FF86" s="12"/>
      <c r="FG86" s="12"/>
      <c r="FH86" s="12"/>
      <c r="FI86" s="12"/>
      <c r="FJ86" s="12"/>
      <c r="FK86" s="12"/>
      <c r="FL86" s="12"/>
      <c r="FM86" s="12"/>
      <c r="FN86" s="12"/>
      <c r="FO86" s="12"/>
      <c r="FP86" s="12"/>
      <c r="FQ86" s="12"/>
      <c r="FR86" s="12"/>
      <c r="FS86" s="12"/>
      <c r="FT86" s="12"/>
      <c r="FU86" s="12"/>
      <c r="FV86" s="12"/>
      <c r="FW86" s="12"/>
      <c r="FX86" s="12"/>
      <c r="FY86" s="12"/>
      <c r="FZ86" s="12"/>
      <c r="GA86" s="12"/>
      <c r="GB86" s="12"/>
      <c r="GC86" s="12"/>
      <c r="GD86" s="12"/>
      <c r="GE86" s="12"/>
      <c r="GF86" s="12"/>
      <c r="GG86" s="12"/>
      <c r="GH86" s="12"/>
      <c r="GI86" s="12"/>
      <c r="GJ86" s="12"/>
      <c r="GK86" s="12"/>
      <c r="GL86" s="12"/>
      <c r="GM86" s="12"/>
      <c r="GN86" s="12"/>
      <c r="GO86" s="12"/>
      <c r="GP86" s="12"/>
      <c r="GQ86" s="12"/>
      <c r="GR86" s="12"/>
      <c r="GS86" s="12"/>
      <c r="GT86" s="19"/>
      <c r="GU86" s="19"/>
      <c r="GV86" s="19"/>
      <c r="GW86" s="19"/>
      <c r="GX86" s="19"/>
      <c r="GY86" s="19"/>
      <c r="GZ86" s="19"/>
      <c r="HA86" s="12"/>
      <c r="HB86" s="12"/>
    </row>
    <row r="87" spans="1:210">
      <c r="B87" s="12"/>
      <c r="C87" s="12"/>
      <c r="D87" s="12"/>
      <c r="E87" s="12"/>
      <c r="F87" s="12"/>
      <c r="G87" s="12"/>
      <c r="H87" s="12"/>
      <c r="I87" s="12"/>
      <c r="J87" s="12"/>
      <c r="K87" s="12"/>
      <c r="L87" s="12"/>
      <c r="M87" s="12"/>
      <c r="N87" s="12"/>
      <c r="O87" s="12"/>
      <c r="P87" s="12"/>
      <c r="Q87" s="12"/>
      <c r="R87" s="12"/>
      <c r="S87" s="12"/>
      <c r="T87" s="12"/>
      <c r="U87" s="12"/>
      <c r="V87" s="12"/>
      <c r="W87" s="15"/>
      <c r="X87" s="15"/>
      <c r="Y87" s="15"/>
      <c r="Z87" s="15"/>
      <c r="AA87" s="15"/>
      <c r="AB87" s="15"/>
      <c r="AC87" s="15"/>
      <c r="AD87" s="12"/>
      <c r="AE87" s="12"/>
      <c r="AF87" s="12"/>
      <c r="AG87" s="12"/>
      <c r="AH87" s="12"/>
      <c r="AI87" s="12"/>
      <c r="AJ87" s="12"/>
      <c r="AK87" s="12"/>
      <c r="AL87" s="12"/>
      <c r="AM87" s="12"/>
      <c r="AN87" s="12"/>
      <c r="AO87" s="12"/>
      <c r="AP87" s="12"/>
      <c r="AQ87" s="12"/>
      <c r="AR87" s="12"/>
      <c r="AS87" s="12"/>
      <c r="AT87" s="12"/>
      <c r="AU87" s="12"/>
      <c r="AV87" s="12"/>
      <c r="AW87" s="12"/>
      <c r="AX87" s="12"/>
      <c r="AY87" s="12"/>
      <c r="AZ87" s="12"/>
      <c r="BA87" s="12"/>
      <c r="BB87" s="12"/>
      <c r="BC87" s="12"/>
      <c r="BD87" s="12"/>
      <c r="BE87" s="12"/>
      <c r="BF87" s="12"/>
      <c r="BG87" s="12"/>
      <c r="BH87" s="12"/>
      <c r="BI87" s="12"/>
      <c r="BJ87" s="12"/>
      <c r="BK87" s="12"/>
      <c r="BL87" s="12"/>
      <c r="BM87" s="12"/>
      <c r="BN87" s="12"/>
      <c r="BO87" s="12"/>
      <c r="BP87" s="12"/>
      <c r="BQ87" s="12"/>
      <c r="BR87" s="12"/>
      <c r="BS87" s="12"/>
      <c r="BT87" s="12"/>
      <c r="BU87" s="12"/>
      <c r="BV87" s="12"/>
      <c r="BW87" s="12"/>
      <c r="BX87" s="12"/>
      <c r="BY87" s="12"/>
      <c r="BZ87" s="12"/>
      <c r="CA87" s="12"/>
      <c r="CB87" s="12"/>
      <c r="CC87" s="12"/>
      <c r="CD87" s="12"/>
      <c r="CE87" s="12"/>
      <c r="CF87" s="12"/>
      <c r="CG87" s="12"/>
      <c r="CH87" s="12"/>
      <c r="CI87" s="12"/>
      <c r="CJ87" s="12"/>
      <c r="CK87" s="12"/>
      <c r="CL87" s="12"/>
      <c r="CM87" s="12"/>
      <c r="CN87" s="12"/>
      <c r="CO87" s="12"/>
      <c r="CP87" s="12"/>
      <c r="CQ87" s="12"/>
      <c r="CR87" s="12"/>
      <c r="CS87" s="12"/>
      <c r="CT87" s="12"/>
      <c r="CU87" s="12"/>
      <c r="CV87" s="12"/>
      <c r="CW87" s="12"/>
      <c r="CX87" s="12"/>
      <c r="CY87" s="12"/>
      <c r="CZ87" s="12"/>
      <c r="DA87" s="12"/>
      <c r="DB87" s="12"/>
      <c r="DC87" s="12"/>
      <c r="DD87" s="12"/>
      <c r="DE87" s="12"/>
      <c r="DF87" s="12"/>
      <c r="DG87" s="12"/>
      <c r="DH87" s="12"/>
      <c r="DI87" s="12"/>
      <c r="DJ87" s="12"/>
      <c r="DK87" s="12"/>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c r="EY87" s="12"/>
      <c r="EZ87" s="12"/>
      <c r="FA87" s="12"/>
      <c r="FB87" s="12"/>
      <c r="FC87" s="12"/>
      <c r="FD87" s="12"/>
      <c r="FE87" s="12"/>
      <c r="FF87" s="12"/>
      <c r="FG87" s="12"/>
      <c r="FH87" s="12"/>
      <c r="FI87" s="12"/>
      <c r="FJ87" s="12"/>
      <c r="FK87" s="12"/>
      <c r="FL87" s="12"/>
      <c r="FM87" s="12"/>
      <c r="FN87" s="12"/>
      <c r="FO87" s="12"/>
      <c r="FP87" s="12"/>
      <c r="FQ87" s="12"/>
      <c r="FR87" s="12"/>
      <c r="FS87" s="12"/>
      <c r="FT87" s="12"/>
      <c r="FU87" s="12"/>
      <c r="FV87" s="12"/>
      <c r="FW87" s="12"/>
      <c r="FX87" s="12"/>
      <c r="FY87" s="12"/>
      <c r="FZ87" s="12"/>
      <c r="GA87" s="12"/>
      <c r="GB87" s="12"/>
      <c r="GC87" s="12"/>
      <c r="GD87" s="12"/>
      <c r="GE87" s="12"/>
      <c r="GF87" s="12"/>
      <c r="GG87" s="12"/>
      <c r="GH87" s="12"/>
      <c r="GI87" s="12"/>
      <c r="GJ87" s="12"/>
      <c r="GK87" s="12"/>
      <c r="GL87" s="12"/>
      <c r="GM87" s="12"/>
      <c r="GN87" s="12"/>
      <c r="GO87" s="12"/>
      <c r="GP87" s="12"/>
      <c r="GQ87" s="12"/>
      <c r="GR87" s="12"/>
      <c r="GS87" s="12"/>
      <c r="GT87" s="19"/>
      <c r="GU87" s="19"/>
      <c r="GV87" s="19"/>
      <c r="GW87" s="19"/>
      <c r="GX87" s="19"/>
      <c r="GY87" s="19"/>
      <c r="GZ87" s="19"/>
      <c r="HA87" s="12"/>
      <c r="HB87" s="12"/>
    </row>
    <row r="88" spans="1:210">
      <c r="B88" s="12"/>
      <c r="C88" s="12"/>
      <c r="D88" s="12"/>
      <c r="E88" s="12"/>
      <c r="F88" s="12"/>
      <c r="G88" s="12"/>
      <c r="H88" s="12"/>
      <c r="I88" s="12"/>
      <c r="J88" s="12"/>
      <c r="K88" s="12"/>
      <c r="L88" s="12"/>
      <c r="M88" s="12"/>
      <c r="N88" s="12"/>
      <c r="O88" s="12"/>
      <c r="P88" s="12"/>
      <c r="Q88" s="12"/>
      <c r="R88" s="12"/>
      <c r="S88" s="12"/>
      <c r="T88" s="12"/>
      <c r="U88" s="12"/>
      <c r="V88" s="12"/>
      <c r="W88" s="15"/>
      <c r="X88" s="15"/>
      <c r="Y88" s="15"/>
      <c r="Z88" s="15"/>
      <c r="AA88" s="15"/>
      <c r="AB88" s="15"/>
      <c r="AC88" s="15"/>
      <c r="AD88" s="12"/>
      <c r="AE88" s="12"/>
    </row>
    <row r="89" spans="1:210">
      <c r="B89" s="12"/>
      <c r="C89" s="12"/>
      <c r="D89" s="12"/>
      <c r="E89" s="12"/>
      <c r="F89" s="12"/>
      <c r="G89" s="12"/>
      <c r="H89" s="12"/>
      <c r="I89" s="12"/>
    </row>
    <row r="90" spans="1:210">
      <c r="B90" s="12"/>
      <c r="C90" s="12"/>
      <c r="D90" s="12"/>
      <c r="E90" s="12"/>
      <c r="F90" s="12"/>
      <c r="G90" s="12"/>
      <c r="H90" s="12"/>
      <c r="I90" s="12"/>
    </row>
    <row r="91" spans="1:210">
      <c r="B91" s="12"/>
      <c r="C91" s="12"/>
      <c r="D91" s="12"/>
      <c r="E91" s="12"/>
      <c r="F91" s="12"/>
      <c r="G91" s="12"/>
      <c r="H91" s="12"/>
      <c r="I91" s="12"/>
    </row>
    <row r="92" spans="1:210">
      <c r="B92" s="18"/>
      <c r="C92" s="18"/>
      <c r="D92" s="18"/>
      <c r="E92" s="18"/>
      <c r="F92" s="18"/>
      <c r="G92" s="18"/>
      <c r="H92" s="18"/>
      <c r="I92" s="18"/>
    </row>
  </sheetData>
  <phoneticPr fontId="9" type="noConversion"/>
  <pageMargins left="0.5" right="0.5" top="0.5" bottom="0.55000000000000004" header="0.5" footer="0.5"/>
  <pageSetup scale="88" orientation="landscape" horizontalDpi="1200" verticalDpi="300" r:id="rId1"/>
  <headerFooter alignWithMargins="0">
    <oddFooter>&amp;LSREB Fact Book 1996/1997&amp;CUpdate&amp;R&amp;D</oddFooter>
  </headerFooter>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5</vt:i4>
      </vt:variant>
    </vt:vector>
  </HeadingPairs>
  <TitlesOfParts>
    <vt:vector size="24" baseType="lpstr">
      <vt:lpstr>TABLE 96 (95)</vt:lpstr>
      <vt:lpstr>TABLE 97 (96)</vt:lpstr>
      <vt:lpstr>Total E&amp;G-4yr</vt:lpstr>
      <vt:lpstr>Total E&amp;G-2Yr</vt:lpstr>
      <vt:lpstr>Tuition-4Yr</vt:lpstr>
      <vt:lpstr>Local Appropriations-4Yr</vt:lpstr>
      <vt:lpstr>State Appropriations-4Yr</vt:lpstr>
      <vt:lpstr>Fed Contracts Grnts-4Yr</vt:lpstr>
      <vt:lpstr>Other Contract Grnts-4Yr</vt:lpstr>
      <vt:lpstr>Investment Income-4Yr</vt:lpstr>
      <vt:lpstr>All Other E&amp;G-4Yr</vt:lpstr>
      <vt:lpstr>Tuition-2Yr</vt:lpstr>
      <vt:lpstr>State Appropriations-2Yr</vt:lpstr>
      <vt:lpstr>Local Appropriations-2Yr</vt:lpstr>
      <vt:lpstr>Fed Contracts Grnts-2Yr</vt:lpstr>
      <vt:lpstr>Other Contracts Grnts-2Yr</vt:lpstr>
      <vt:lpstr>Investment Income-2Yr</vt:lpstr>
      <vt:lpstr>All Other E&amp;G-2Yr</vt:lpstr>
      <vt:lpstr>Sheet1</vt:lpstr>
      <vt:lpstr>DATA</vt:lpstr>
      <vt:lpstr>'TABLE 96 (95)'!Print_Area</vt:lpstr>
      <vt:lpstr>'TABLE 97 (96)'!Print_Area</vt:lpstr>
      <vt:lpstr>T_78</vt:lpstr>
      <vt:lpstr>T_79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Susan Lounsbury</dc:creator>
  <cp:lastModifiedBy>Christiana Datubo-Brown</cp:lastModifiedBy>
  <cp:lastPrinted>2015-04-03T19:57:41Z</cp:lastPrinted>
  <dcterms:created xsi:type="dcterms:W3CDTF">1999-03-17T16:07:50Z</dcterms:created>
  <dcterms:modified xsi:type="dcterms:W3CDTF">2017-05-03T18:37:04Z</dcterms:modified>
</cp:coreProperties>
</file>