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827"/>
  <workbookPr codeName="ThisWorkbook" defaultThemeVersion="124226"/>
  <mc:AlternateContent xmlns:mc="http://schemas.openxmlformats.org/markup-compatibility/2006">
    <mc:Choice Requires="x15">
      <x15ac:absPath xmlns:x15ac="http://schemas.microsoft.com/office/spreadsheetml/2010/11/ac" url="O:\FactBooks\1_Population\"/>
    </mc:Choice>
  </mc:AlternateContent>
  <bookViews>
    <workbookView xWindow="14385" yWindow="45" windowWidth="14430" windowHeight="12795" activeTab="1" xr2:uid="{00000000-000D-0000-FFFF-FFFF00000000}"/>
  </bookViews>
  <sheets>
    <sheet name="TABLE 8" sheetId="2" r:id="rId1"/>
    <sheet name="Public Minority Rep" sheetId="8" r:id="rId2"/>
    <sheet name="Public PreK-12 Enrollment" sheetId="1" r:id="rId3"/>
    <sheet name="Private Enrollment" sheetId="15" r:id="rId4"/>
    <sheet name="Enrollment Totals-calculated" sheetId="16" r:id="rId5"/>
    <sheet name="NCES Public Free-Reduced Lunch " sheetId="18" r:id="rId6"/>
  </sheets>
  <externalReferences>
    <externalReference r:id="rId7"/>
  </externalReferences>
  <definedNames>
    <definedName name="_Fill" localSheetId="3" hidden="1">[1]TAB37!#REF!</definedName>
    <definedName name="_Fill" hidden="1">[1]TAB37!#REF!</definedName>
    <definedName name="_xlnm._FilterDatabase" localSheetId="1" hidden="1">'Public Minority Rep'!$B$5:$CV$5</definedName>
    <definedName name="_xlnm._FilterDatabase" localSheetId="2" hidden="1">'Public PreK-12 Enrollment'!$A$3:$BE$3</definedName>
    <definedName name="_Key1" localSheetId="3" hidden="1">'Public PreK-12 Enrollment'!#REF!</definedName>
    <definedName name="_Key1" hidden="1">'Public PreK-12 Enrollment'!#REF!</definedName>
    <definedName name="_Order1" hidden="1">255</definedName>
    <definedName name="_Sort" hidden="1">'Public PreK-12 Enrollment'!$B$14:$BA$29</definedName>
    <definedName name="_xlnm.Print_Area" localSheetId="0">'TABLE 8'!$A$1:$O$74</definedName>
  </definedNames>
  <calcPr calcId="171027"/>
</workbook>
</file>

<file path=xl/calcChain.xml><?xml version="1.0" encoding="utf-8"?>
<calcChain xmlns="http://schemas.openxmlformats.org/spreadsheetml/2006/main">
  <c r="GS9" i="8" l="1"/>
  <c r="GJ9" i="8"/>
  <c r="GJ7" i="8"/>
  <c r="GI13" i="8"/>
  <c r="GI11" i="8"/>
  <c r="GI9" i="8"/>
  <c r="GI7" i="8"/>
  <c r="AI4" i="18" l="1"/>
  <c r="O68" i="2" l="1"/>
  <c r="O67" i="2"/>
  <c r="O66" i="2"/>
  <c r="O65" i="2"/>
  <c r="O64" i="2"/>
  <c r="O63" i="2"/>
  <c r="O62" i="2"/>
  <c r="O61" i="2"/>
  <c r="O60" i="2"/>
  <c r="O59" i="2"/>
  <c r="O56" i="2"/>
  <c r="O55" i="2"/>
  <c r="O54" i="2"/>
  <c r="O53" i="2"/>
  <c r="O52" i="2"/>
  <c r="O51" i="2"/>
  <c r="O50" i="2"/>
  <c r="O49" i="2"/>
  <c r="O48" i="2"/>
  <c r="O47" i="2"/>
  <c r="O46" i="2"/>
  <c r="O45" i="2"/>
  <c r="O42" i="2"/>
  <c r="O41" i="2"/>
  <c r="O40" i="2"/>
  <c r="O39" i="2"/>
  <c r="O38" i="2"/>
  <c r="O37" i="2"/>
  <c r="O36" i="2"/>
  <c r="O35" i="2"/>
  <c r="O34" i="2"/>
  <c r="O33" i="2"/>
  <c r="O32" i="2"/>
  <c r="O30" i="2"/>
  <c r="O26" i="2"/>
  <c r="O25" i="2"/>
  <c r="O24" i="2"/>
  <c r="O23" i="2"/>
  <c r="O22" i="2"/>
  <c r="O21" i="2"/>
  <c r="O20" i="2"/>
  <c r="O19" i="2"/>
  <c r="O18" i="2"/>
  <c r="O17" i="2"/>
  <c r="O16" i="2"/>
  <c r="O15" i="2"/>
  <c r="O14" i="2"/>
  <c r="O13" i="2"/>
  <c r="O12" i="2"/>
  <c r="N68" i="2"/>
  <c r="N67" i="2"/>
  <c r="N66" i="2"/>
  <c r="N65" i="2"/>
  <c r="N64" i="2"/>
  <c r="N62" i="2"/>
  <c r="N61" i="2"/>
  <c r="N60" i="2"/>
  <c r="N59" i="2"/>
  <c r="N56" i="2"/>
  <c r="N55" i="2"/>
  <c r="N54" i="2"/>
  <c r="N53" i="2"/>
  <c r="N52" i="2"/>
  <c r="N51" i="2"/>
  <c r="N50" i="2"/>
  <c r="N49" i="2"/>
  <c r="N48" i="2"/>
  <c r="N47" i="2"/>
  <c r="N46" i="2"/>
  <c r="N45" i="2"/>
  <c r="N42" i="2"/>
  <c r="N41" i="2"/>
  <c r="N40" i="2"/>
  <c r="N39" i="2"/>
  <c r="N38" i="2"/>
  <c r="N37" i="2"/>
  <c r="N36" i="2"/>
  <c r="N35" i="2"/>
  <c r="N34" i="2"/>
  <c r="N33" i="2"/>
  <c r="N32" i="2"/>
  <c r="N31" i="2"/>
  <c r="N30" i="2"/>
  <c r="N27" i="2"/>
  <c r="N26" i="2"/>
  <c r="N25" i="2"/>
  <c r="N23" i="2"/>
  <c r="N22" i="2"/>
  <c r="N21" i="2"/>
  <c r="N20" i="2"/>
  <c r="N19" i="2"/>
  <c r="N18" i="2"/>
  <c r="N16" i="2"/>
  <c r="N15" i="2"/>
  <c r="N14" i="2"/>
  <c r="N13" i="2"/>
  <c r="N12" i="2"/>
  <c r="M68" i="2"/>
  <c r="M67" i="2"/>
  <c r="M66" i="2"/>
  <c r="M65" i="2"/>
  <c r="M64" i="2"/>
  <c r="M63" i="2"/>
  <c r="M62" i="2"/>
  <c r="M61" i="2"/>
  <c r="M60" i="2"/>
  <c r="M59" i="2"/>
  <c r="M57" i="2"/>
  <c r="M56" i="2"/>
  <c r="M55" i="2"/>
  <c r="M54" i="2"/>
  <c r="M53" i="2"/>
  <c r="M52" i="2"/>
  <c r="M51" i="2"/>
  <c r="M50" i="2"/>
  <c r="M49" i="2"/>
  <c r="M48" i="2"/>
  <c r="M47" i="2"/>
  <c r="M46" i="2"/>
  <c r="M45" i="2"/>
  <c r="M43" i="2"/>
  <c r="M42" i="2"/>
  <c r="M41" i="2"/>
  <c r="M40" i="2"/>
  <c r="M39" i="2"/>
  <c r="M38" i="2"/>
  <c r="M37" i="2"/>
  <c r="M36" i="2"/>
  <c r="M35" i="2"/>
  <c r="M34" i="2"/>
  <c r="M33" i="2"/>
  <c r="M32" i="2"/>
  <c r="M31" i="2"/>
  <c r="M30" i="2"/>
  <c r="M28" i="2"/>
  <c r="M27" i="2"/>
  <c r="M26" i="2"/>
  <c r="M25" i="2"/>
  <c r="M24" i="2"/>
  <c r="M23" i="2"/>
  <c r="M22" i="2"/>
  <c r="M21" i="2"/>
  <c r="M20" i="2"/>
  <c r="M19" i="2"/>
  <c r="M18" i="2"/>
  <c r="M17" i="2"/>
  <c r="M16" i="2"/>
  <c r="M15" i="2"/>
  <c r="M14" i="2"/>
  <c r="M13" i="2"/>
  <c r="M12" i="2"/>
  <c r="M10" i="2"/>
  <c r="M9" i="2"/>
  <c r="L68" i="2"/>
  <c r="L67" i="2"/>
  <c r="L66" i="2"/>
  <c r="L65" i="2"/>
  <c r="L64" i="2"/>
  <c r="L63" i="2"/>
  <c r="L62" i="2"/>
  <c r="L61" i="2"/>
  <c r="L60" i="2"/>
  <c r="L59" i="2"/>
  <c r="L57" i="2"/>
  <c r="L56" i="2"/>
  <c r="L55" i="2"/>
  <c r="L54" i="2"/>
  <c r="L53" i="2"/>
  <c r="L52" i="2"/>
  <c r="L51" i="2"/>
  <c r="L50" i="2"/>
  <c r="L49" i="2"/>
  <c r="L48" i="2"/>
  <c r="L47" i="2"/>
  <c r="L46" i="2"/>
  <c r="L45" i="2"/>
  <c r="L43" i="2"/>
  <c r="L42" i="2"/>
  <c r="L41" i="2"/>
  <c r="L40" i="2"/>
  <c r="L39" i="2"/>
  <c r="L38" i="2"/>
  <c r="L37" i="2"/>
  <c r="L36" i="2"/>
  <c r="L35" i="2"/>
  <c r="L34" i="2"/>
  <c r="L33" i="2"/>
  <c r="L32" i="2"/>
  <c r="L31" i="2"/>
  <c r="L30" i="2"/>
  <c r="L28" i="2"/>
  <c r="L27" i="2"/>
  <c r="L26" i="2"/>
  <c r="L25" i="2"/>
  <c r="L24" i="2"/>
  <c r="L23" i="2"/>
  <c r="L22" i="2"/>
  <c r="L21" i="2"/>
  <c r="L20" i="2"/>
  <c r="L19" i="2"/>
  <c r="L18" i="2"/>
  <c r="L17" i="2"/>
  <c r="L16" i="2"/>
  <c r="L15" i="2"/>
  <c r="L14" i="2"/>
  <c r="L13" i="2"/>
  <c r="L12" i="2"/>
  <c r="L10" i="2"/>
  <c r="L9" i="2"/>
  <c r="AJ4" i="18"/>
  <c r="AI5" i="18"/>
  <c r="AJ5" i="18"/>
  <c r="AI7" i="18"/>
  <c r="AJ7" i="18"/>
  <c r="AI8" i="18"/>
  <c r="AJ8" i="18"/>
  <c r="AI9" i="18"/>
  <c r="AJ9" i="18"/>
  <c r="F4" i="18"/>
  <c r="AT4" i="18"/>
  <c r="AT5" i="18"/>
  <c r="AT7" i="18"/>
  <c r="AT8" i="18"/>
  <c r="AT9" i="18"/>
  <c r="AT11" i="18"/>
  <c r="AT12" i="18"/>
  <c r="AT13" i="18"/>
  <c r="AT14" i="18"/>
  <c r="AT15" i="18"/>
  <c r="AT16" i="18"/>
  <c r="AT17" i="18"/>
  <c r="AT18" i="18"/>
  <c r="AT19" i="18"/>
  <c r="AT20" i="18"/>
  <c r="AT21" i="18"/>
  <c r="AT22" i="18"/>
  <c r="AT23" i="18"/>
  <c r="AT24" i="18"/>
  <c r="AT25" i="18"/>
  <c r="AT28" i="18"/>
  <c r="AT30" i="18"/>
  <c r="AT31" i="18"/>
  <c r="AT32" i="18"/>
  <c r="AT33" i="18"/>
  <c r="AT34" i="18"/>
  <c r="AT35" i="18"/>
  <c r="AT36" i="18"/>
  <c r="AT37" i="18"/>
  <c r="AT38" i="18"/>
  <c r="AT39" i="18"/>
  <c r="AT40" i="18"/>
  <c r="AT42" i="18"/>
  <c r="AT43" i="18"/>
  <c r="AT44" i="18"/>
  <c r="AT45" i="18"/>
  <c r="AT46" i="18"/>
  <c r="AT47" i="18"/>
  <c r="AT48" i="18"/>
  <c r="AT49" i="18"/>
  <c r="AT50" i="18"/>
  <c r="AT51" i="18"/>
  <c r="AT52" i="18"/>
  <c r="AT53" i="18"/>
  <c r="AT55" i="18"/>
  <c r="AT56" i="18"/>
  <c r="AT57" i="18"/>
  <c r="AT58" i="18"/>
  <c r="AT59" i="18"/>
  <c r="AT60" i="18"/>
  <c r="AT61" i="18"/>
  <c r="AT62" i="18"/>
  <c r="AT63" i="18"/>
  <c r="AT64" i="18"/>
  <c r="P4" i="18"/>
  <c r="P5" i="18"/>
  <c r="P7" i="18"/>
  <c r="P8" i="18"/>
  <c r="P9" i="18"/>
  <c r="AE5" i="18"/>
  <c r="AE4" i="18" s="1"/>
  <c r="AE7" i="18"/>
  <c r="AE8" i="18"/>
  <c r="AE9" i="18"/>
  <c r="J68" i="2" l="1"/>
  <c r="J67" i="2"/>
  <c r="J66" i="2"/>
  <c r="J65" i="2"/>
  <c r="J64" i="2"/>
  <c r="J63" i="2"/>
  <c r="J62" i="2"/>
  <c r="J61" i="2"/>
  <c r="J60" i="2"/>
  <c r="J59" i="2"/>
  <c r="J56" i="2"/>
  <c r="J55" i="2"/>
  <c r="J54" i="2"/>
  <c r="J53" i="2"/>
  <c r="J52" i="2"/>
  <c r="J51" i="2"/>
  <c r="J50" i="2"/>
  <c r="J49" i="2"/>
  <c r="J48" i="2"/>
  <c r="J47" i="2"/>
  <c r="J46" i="2"/>
  <c r="J45" i="2"/>
  <c r="J42" i="2"/>
  <c r="J41" i="2"/>
  <c r="J40" i="2"/>
  <c r="J39" i="2"/>
  <c r="J38" i="2"/>
  <c r="J37" i="2"/>
  <c r="J36" i="2"/>
  <c r="J35" i="2"/>
  <c r="J34" i="2"/>
  <c r="J33" i="2"/>
  <c r="J32" i="2"/>
  <c r="J31" i="2"/>
  <c r="J30" i="2"/>
  <c r="J27" i="2"/>
  <c r="J26" i="2"/>
  <c r="J25" i="2"/>
  <c r="J24" i="2"/>
  <c r="J23" i="2"/>
  <c r="J22" i="2"/>
  <c r="J21" i="2"/>
  <c r="J20" i="2"/>
  <c r="J19" i="2"/>
  <c r="J18" i="2"/>
  <c r="J17" i="2"/>
  <c r="J16" i="2"/>
  <c r="J15" i="2"/>
  <c r="J14" i="2"/>
  <c r="J13" i="2"/>
  <c r="J12" i="2"/>
  <c r="I68" i="2"/>
  <c r="I67" i="2"/>
  <c r="I66" i="2"/>
  <c r="I65" i="2"/>
  <c r="I64" i="2"/>
  <c r="I63" i="2"/>
  <c r="I62" i="2"/>
  <c r="I61" i="2"/>
  <c r="I60" i="2"/>
  <c r="I59" i="2"/>
  <c r="I56" i="2"/>
  <c r="I55" i="2"/>
  <c r="I54" i="2"/>
  <c r="I53" i="2"/>
  <c r="I52" i="2"/>
  <c r="I51" i="2"/>
  <c r="I50" i="2"/>
  <c r="I49" i="2"/>
  <c r="I48" i="2"/>
  <c r="I47" i="2"/>
  <c r="I46" i="2"/>
  <c r="I45" i="2"/>
  <c r="I42" i="2"/>
  <c r="I41" i="2"/>
  <c r="I40" i="2"/>
  <c r="I39" i="2"/>
  <c r="I38" i="2"/>
  <c r="I37" i="2"/>
  <c r="I36" i="2"/>
  <c r="I35" i="2"/>
  <c r="I34" i="2"/>
  <c r="I33" i="2"/>
  <c r="I32" i="2"/>
  <c r="I31" i="2"/>
  <c r="I30" i="2"/>
  <c r="I27" i="2"/>
  <c r="I26" i="2"/>
  <c r="I25" i="2"/>
  <c r="I24" i="2"/>
  <c r="I23" i="2"/>
  <c r="I22" i="2"/>
  <c r="I20" i="2"/>
  <c r="I19" i="2"/>
  <c r="I18" i="2"/>
  <c r="I17" i="2"/>
  <c r="I16" i="2"/>
  <c r="I15" i="2"/>
  <c r="I14" i="2"/>
  <c r="I13" i="2"/>
  <c r="I12" i="2"/>
  <c r="H68" i="2"/>
  <c r="H67" i="2"/>
  <c r="H66" i="2"/>
  <c r="H65" i="2"/>
  <c r="H64" i="2"/>
  <c r="H63" i="2"/>
  <c r="H62" i="2"/>
  <c r="H61" i="2"/>
  <c r="H60" i="2"/>
  <c r="H59" i="2"/>
  <c r="H57" i="2"/>
  <c r="H56" i="2"/>
  <c r="H55" i="2"/>
  <c r="H54" i="2"/>
  <c r="H53" i="2"/>
  <c r="H52" i="2"/>
  <c r="H51" i="2"/>
  <c r="H50" i="2"/>
  <c r="H49" i="2"/>
  <c r="H48" i="2"/>
  <c r="H47" i="2"/>
  <c r="H46" i="2"/>
  <c r="H45" i="2"/>
  <c r="H43" i="2"/>
  <c r="H42" i="2"/>
  <c r="H41" i="2"/>
  <c r="H40" i="2"/>
  <c r="H39" i="2"/>
  <c r="H38" i="2"/>
  <c r="H37" i="2"/>
  <c r="H36" i="2"/>
  <c r="H35" i="2"/>
  <c r="H34" i="2"/>
  <c r="H33" i="2"/>
  <c r="H32" i="2"/>
  <c r="H31" i="2"/>
  <c r="H30" i="2"/>
  <c r="H28" i="2"/>
  <c r="H27" i="2"/>
  <c r="H26" i="2"/>
  <c r="H25" i="2"/>
  <c r="H24" i="2"/>
  <c r="H23" i="2"/>
  <c r="H22" i="2"/>
  <c r="H21" i="2"/>
  <c r="H20" i="2"/>
  <c r="H19" i="2"/>
  <c r="H18" i="2"/>
  <c r="H17" i="2"/>
  <c r="H16" i="2"/>
  <c r="H15" i="2"/>
  <c r="H14" i="2"/>
  <c r="H13" i="2"/>
  <c r="H12" i="2"/>
  <c r="H10" i="2"/>
  <c r="H9" i="2"/>
  <c r="G68" i="2"/>
  <c r="G67" i="2"/>
  <c r="G66" i="2"/>
  <c r="G65" i="2"/>
  <c r="G64" i="2"/>
  <c r="G63" i="2"/>
  <c r="G62" i="2"/>
  <c r="G61" i="2"/>
  <c r="G60" i="2"/>
  <c r="G59" i="2"/>
  <c r="G56" i="2"/>
  <c r="G55" i="2"/>
  <c r="G54" i="2"/>
  <c r="G53" i="2"/>
  <c r="G52" i="2"/>
  <c r="G51" i="2"/>
  <c r="G50" i="2"/>
  <c r="G49" i="2"/>
  <c r="G48" i="2"/>
  <c r="G47" i="2"/>
  <c r="G46" i="2"/>
  <c r="G45" i="2"/>
  <c r="G42" i="2"/>
  <c r="G41" i="2"/>
  <c r="G40" i="2"/>
  <c r="G39" i="2"/>
  <c r="G38" i="2"/>
  <c r="G37" i="2"/>
  <c r="G36" i="2"/>
  <c r="G35" i="2"/>
  <c r="G34" i="2"/>
  <c r="G33" i="2"/>
  <c r="G32" i="2"/>
  <c r="G31" i="2"/>
  <c r="G30" i="2"/>
  <c r="G27" i="2"/>
  <c r="G26" i="2"/>
  <c r="G25" i="2"/>
  <c r="G24" i="2"/>
  <c r="G23" i="2"/>
  <c r="G22" i="2"/>
  <c r="G21" i="2"/>
  <c r="G20" i="2"/>
  <c r="G19" i="2"/>
  <c r="G18" i="2"/>
  <c r="G17" i="2"/>
  <c r="G16" i="2"/>
  <c r="G15" i="2"/>
  <c r="G14" i="2"/>
  <c r="G13" i="2"/>
  <c r="G12" i="2"/>
  <c r="F68" i="2"/>
  <c r="F67" i="2"/>
  <c r="F66" i="2"/>
  <c r="F65" i="2"/>
  <c r="F64" i="2"/>
  <c r="F63" i="2"/>
  <c r="F62" i="2"/>
  <c r="F61" i="2"/>
  <c r="F60" i="2"/>
  <c r="F59" i="2"/>
  <c r="F56" i="2"/>
  <c r="F55" i="2"/>
  <c r="F54" i="2"/>
  <c r="F53" i="2"/>
  <c r="F52" i="2"/>
  <c r="F51" i="2"/>
  <c r="F50" i="2"/>
  <c r="F49" i="2"/>
  <c r="F48" i="2"/>
  <c r="F47" i="2"/>
  <c r="F46" i="2"/>
  <c r="F45" i="2"/>
  <c r="F42" i="2"/>
  <c r="F41" i="2"/>
  <c r="F40" i="2"/>
  <c r="F39" i="2"/>
  <c r="F38" i="2"/>
  <c r="F37" i="2"/>
  <c r="F36" i="2"/>
  <c r="F35" i="2"/>
  <c r="F34" i="2"/>
  <c r="F33" i="2"/>
  <c r="F32" i="2"/>
  <c r="F31" i="2"/>
  <c r="F30" i="2"/>
  <c r="F27" i="2"/>
  <c r="F26" i="2"/>
  <c r="F25" i="2"/>
  <c r="F24" i="2"/>
  <c r="F23" i="2"/>
  <c r="F22" i="2"/>
  <c r="F21" i="2"/>
  <c r="F20" i="2"/>
  <c r="F19" i="2"/>
  <c r="F18" i="2"/>
  <c r="F17" i="2"/>
  <c r="F16" i="2"/>
  <c r="F15" i="2"/>
  <c r="F14" i="2"/>
  <c r="F13" i="2"/>
  <c r="F12" i="2"/>
  <c r="E68" i="2"/>
  <c r="E67" i="2"/>
  <c r="E66" i="2"/>
  <c r="E65" i="2"/>
  <c r="E64" i="2"/>
  <c r="E63" i="2"/>
  <c r="E62" i="2"/>
  <c r="E61" i="2"/>
  <c r="E60" i="2"/>
  <c r="E59" i="2"/>
  <c r="E56" i="2"/>
  <c r="E55" i="2"/>
  <c r="E54" i="2"/>
  <c r="E53" i="2"/>
  <c r="E52" i="2"/>
  <c r="E51" i="2"/>
  <c r="E50" i="2"/>
  <c r="E49" i="2"/>
  <c r="E48" i="2"/>
  <c r="E47" i="2"/>
  <c r="E46" i="2"/>
  <c r="E45" i="2"/>
  <c r="E42" i="2"/>
  <c r="E41" i="2"/>
  <c r="E40" i="2"/>
  <c r="E39" i="2"/>
  <c r="E38" i="2"/>
  <c r="E37" i="2"/>
  <c r="E36" i="2"/>
  <c r="E35" i="2"/>
  <c r="E34" i="2"/>
  <c r="E33" i="2"/>
  <c r="E32" i="2"/>
  <c r="E31" i="2"/>
  <c r="E30" i="2"/>
  <c r="E27" i="2"/>
  <c r="E26" i="2"/>
  <c r="E25" i="2"/>
  <c r="E24" i="2"/>
  <c r="E23" i="2"/>
  <c r="E22" i="2"/>
  <c r="E21" i="2"/>
  <c r="E20" i="2"/>
  <c r="E19" i="2"/>
  <c r="E18" i="2"/>
  <c r="E17" i="2"/>
  <c r="E16" i="2"/>
  <c r="E15" i="2"/>
  <c r="E14" i="2"/>
  <c r="E13" i="2"/>
  <c r="E12" i="2"/>
  <c r="D68" i="2"/>
  <c r="D67" i="2"/>
  <c r="D66" i="2"/>
  <c r="D65" i="2"/>
  <c r="D64" i="2"/>
  <c r="D63" i="2"/>
  <c r="D62" i="2"/>
  <c r="D61" i="2"/>
  <c r="D60" i="2"/>
  <c r="D59" i="2"/>
  <c r="D56" i="2"/>
  <c r="D55" i="2"/>
  <c r="D54" i="2"/>
  <c r="D53" i="2"/>
  <c r="D52" i="2"/>
  <c r="D51" i="2"/>
  <c r="D50" i="2"/>
  <c r="D49" i="2"/>
  <c r="D48" i="2"/>
  <c r="D47" i="2"/>
  <c r="D46" i="2"/>
  <c r="D45"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C68" i="2"/>
  <c r="C67" i="2"/>
  <c r="C66" i="2"/>
  <c r="C65" i="2"/>
  <c r="C64" i="2"/>
  <c r="C63" i="2"/>
  <c r="C62" i="2"/>
  <c r="C61" i="2"/>
  <c r="C60" i="2"/>
  <c r="C59" i="2"/>
  <c r="C56" i="2"/>
  <c r="C55" i="2"/>
  <c r="C54" i="2"/>
  <c r="C53" i="2"/>
  <c r="C52" i="2"/>
  <c r="C51" i="2"/>
  <c r="C50" i="2"/>
  <c r="C49" i="2"/>
  <c r="C48" i="2"/>
  <c r="C47" i="2"/>
  <c r="C46" i="2"/>
  <c r="C45" i="2"/>
  <c r="C42" i="2"/>
  <c r="C41" i="2"/>
  <c r="C40" i="2"/>
  <c r="C39" i="2"/>
  <c r="C38" i="2"/>
  <c r="C37" i="2"/>
  <c r="C36" i="2"/>
  <c r="C35" i="2"/>
  <c r="C34" i="2"/>
  <c r="C33" i="2"/>
  <c r="C32" i="2"/>
  <c r="C31" i="2"/>
  <c r="C30" i="2"/>
  <c r="C27" i="2"/>
  <c r="C26" i="2"/>
  <c r="C25" i="2"/>
  <c r="C24" i="2"/>
  <c r="C23" i="2"/>
  <c r="C22" i="2"/>
  <c r="C21" i="2"/>
  <c r="C20" i="2"/>
  <c r="C19" i="2"/>
  <c r="C18" i="2"/>
  <c r="C17" i="2"/>
  <c r="C16" i="2"/>
  <c r="C15" i="2"/>
  <c r="C14" i="2"/>
  <c r="C13" i="2"/>
  <c r="C12" i="2"/>
  <c r="AU5" i="1" l="1"/>
  <c r="AU7" i="1"/>
  <c r="AU9" i="1"/>
  <c r="AU11" i="1"/>
  <c r="AU4" i="1" l="1"/>
  <c r="AU12" i="1" s="1"/>
  <c r="C58" i="2" s="1"/>
  <c r="C10" i="2"/>
  <c r="C57" i="2"/>
  <c r="C43" i="2"/>
  <c r="C28" i="2"/>
  <c r="AU8" i="1" l="1"/>
  <c r="C29" i="2" s="1"/>
  <c r="AU10" i="1"/>
  <c r="C44" i="2" s="1"/>
  <c r="AU6" i="1"/>
  <c r="C11" i="2" s="1"/>
  <c r="C9" i="2"/>
  <c r="GX69" i="8"/>
  <c r="GX68" i="8"/>
  <c r="GX67" i="8"/>
  <c r="GX66" i="8"/>
  <c r="GX65" i="8"/>
  <c r="GX64" i="8"/>
  <c r="GX63" i="8"/>
  <c r="GX62" i="8"/>
  <c r="GX61" i="8"/>
  <c r="GX60" i="8"/>
  <c r="GX58" i="8"/>
  <c r="GX57" i="8"/>
  <c r="GX56" i="8"/>
  <c r="GX55" i="8"/>
  <c r="GX54" i="8"/>
  <c r="GX53" i="8"/>
  <c r="GX52" i="8"/>
  <c r="GX51" i="8"/>
  <c r="GX50" i="8"/>
  <c r="GX49" i="8"/>
  <c r="GX48" i="8"/>
  <c r="GX47" i="8"/>
  <c r="GX45" i="8"/>
  <c r="GX44" i="8"/>
  <c r="GX43" i="8"/>
  <c r="GX42" i="8"/>
  <c r="GX41" i="8"/>
  <c r="GX40" i="8"/>
  <c r="GX39" i="8"/>
  <c r="GX38" i="8"/>
  <c r="GX37" i="8"/>
  <c r="GX36" i="8"/>
  <c r="GX34" i="8"/>
  <c r="GX33" i="8"/>
  <c r="GX31" i="8"/>
  <c r="GX30" i="8"/>
  <c r="GX29" i="8"/>
  <c r="GX28" i="8"/>
  <c r="GX27" i="8"/>
  <c r="GX26" i="8"/>
  <c r="GX24" i="8"/>
  <c r="GX23" i="8"/>
  <c r="GX22" i="8"/>
  <c r="GX21" i="8"/>
  <c r="GX20" i="8"/>
  <c r="GX19" i="8"/>
  <c r="GX18" i="8"/>
  <c r="GX17" i="8"/>
  <c r="GX16" i="8"/>
  <c r="GW69" i="8"/>
  <c r="GV69" i="8"/>
  <c r="GU69" i="8"/>
  <c r="GT69" i="8"/>
  <c r="GS69" i="8"/>
  <c r="GR69" i="8"/>
  <c r="GQ69" i="8"/>
  <c r="GW68" i="8"/>
  <c r="GV68" i="8"/>
  <c r="GU68" i="8"/>
  <c r="GT68" i="8"/>
  <c r="GS68" i="8"/>
  <c r="GR68" i="8"/>
  <c r="GQ68" i="8"/>
  <c r="GW67" i="8"/>
  <c r="GV67" i="8"/>
  <c r="GU67" i="8"/>
  <c r="GT67" i="8"/>
  <c r="GS67" i="8"/>
  <c r="GR67" i="8"/>
  <c r="GQ67" i="8"/>
  <c r="GW66" i="8"/>
  <c r="GV66" i="8"/>
  <c r="GU66" i="8"/>
  <c r="GT66" i="8"/>
  <c r="GS66" i="8"/>
  <c r="GR66" i="8"/>
  <c r="GQ66" i="8"/>
  <c r="GW65" i="8"/>
  <c r="GV65" i="8"/>
  <c r="GU65" i="8"/>
  <c r="GT65" i="8"/>
  <c r="GS65" i="8"/>
  <c r="GR65" i="8"/>
  <c r="GQ65" i="8"/>
  <c r="GW64" i="8"/>
  <c r="GV64" i="8"/>
  <c r="GU64" i="8"/>
  <c r="GT64" i="8"/>
  <c r="GS64" i="8"/>
  <c r="GR64" i="8"/>
  <c r="GQ64" i="8"/>
  <c r="GW63" i="8"/>
  <c r="GV63" i="8"/>
  <c r="GU63" i="8"/>
  <c r="GT63" i="8"/>
  <c r="GS63" i="8"/>
  <c r="GR63" i="8"/>
  <c r="GQ63" i="8"/>
  <c r="GW62" i="8"/>
  <c r="GV62" i="8"/>
  <c r="GU62" i="8"/>
  <c r="GT62" i="8"/>
  <c r="GS62" i="8"/>
  <c r="GR62" i="8"/>
  <c r="GQ62" i="8"/>
  <c r="GW61" i="8"/>
  <c r="GV61" i="8"/>
  <c r="GU61" i="8"/>
  <c r="GT61" i="8"/>
  <c r="GS61" i="8"/>
  <c r="GR61" i="8"/>
  <c r="GQ61" i="8"/>
  <c r="GW60" i="8"/>
  <c r="GV60" i="8"/>
  <c r="GU60" i="8"/>
  <c r="GT60" i="8"/>
  <c r="GS60" i="8"/>
  <c r="GR60" i="8"/>
  <c r="GQ60" i="8"/>
  <c r="GW58" i="8"/>
  <c r="GV58" i="8"/>
  <c r="GU58" i="8"/>
  <c r="GT58" i="8"/>
  <c r="GS58" i="8"/>
  <c r="GR58" i="8"/>
  <c r="GQ58" i="8"/>
  <c r="GW57" i="8"/>
  <c r="GV57" i="8"/>
  <c r="GU57" i="8"/>
  <c r="GT57" i="8"/>
  <c r="GS57" i="8"/>
  <c r="GR57" i="8"/>
  <c r="GQ57" i="8"/>
  <c r="GW56" i="8"/>
  <c r="GV56" i="8"/>
  <c r="GU56" i="8"/>
  <c r="GT56" i="8"/>
  <c r="GS56" i="8"/>
  <c r="GR56" i="8"/>
  <c r="GQ56" i="8"/>
  <c r="GW55" i="8"/>
  <c r="GV55" i="8"/>
  <c r="GU55" i="8"/>
  <c r="GT55" i="8"/>
  <c r="GS55" i="8"/>
  <c r="GR55" i="8"/>
  <c r="GQ55" i="8"/>
  <c r="GW54" i="8"/>
  <c r="GV54" i="8"/>
  <c r="GU54" i="8"/>
  <c r="GT54" i="8"/>
  <c r="GS54" i="8"/>
  <c r="GR54" i="8"/>
  <c r="GQ54" i="8"/>
  <c r="GW53" i="8"/>
  <c r="GV53" i="8"/>
  <c r="GU53" i="8"/>
  <c r="GT53" i="8"/>
  <c r="GS53" i="8"/>
  <c r="GR53" i="8"/>
  <c r="GQ53" i="8"/>
  <c r="GW52" i="8"/>
  <c r="GV52" i="8"/>
  <c r="GU52" i="8"/>
  <c r="GT52" i="8"/>
  <c r="GS52" i="8"/>
  <c r="GR52" i="8"/>
  <c r="GQ52" i="8"/>
  <c r="GW51" i="8"/>
  <c r="GV51" i="8"/>
  <c r="GU51" i="8"/>
  <c r="GT51" i="8"/>
  <c r="GS51" i="8"/>
  <c r="GR51" i="8"/>
  <c r="GQ51" i="8"/>
  <c r="GW50" i="8"/>
  <c r="GV50" i="8"/>
  <c r="GU50" i="8"/>
  <c r="GT50" i="8"/>
  <c r="GS50" i="8"/>
  <c r="GR50" i="8"/>
  <c r="GQ50" i="8"/>
  <c r="GW49" i="8"/>
  <c r="GV49" i="8"/>
  <c r="GU49" i="8"/>
  <c r="GT49" i="8"/>
  <c r="GS49" i="8"/>
  <c r="GR49" i="8"/>
  <c r="GQ49" i="8"/>
  <c r="GW48" i="8"/>
  <c r="GV48" i="8"/>
  <c r="GU48" i="8"/>
  <c r="GT48" i="8"/>
  <c r="GS48" i="8"/>
  <c r="GR48" i="8"/>
  <c r="GQ48" i="8"/>
  <c r="GW47" i="8"/>
  <c r="GV47" i="8"/>
  <c r="GU47" i="8"/>
  <c r="GT47" i="8"/>
  <c r="GS47" i="8"/>
  <c r="GR47" i="8"/>
  <c r="GQ47" i="8"/>
  <c r="GW45" i="8"/>
  <c r="GV45" i="8"/>
  <c r="GU45" i="8"/>
  <c r="GT45" i="8"/>
  <c r="GS45" i="8"/>
  <c r="GR45" i="8"/>
  <c r="GQ45" i="8"/>
  <c r="GW44" i="8"/>
  <c r="GV44" i="8"/>
  <c r="GU44" i="8"/>
  <c r="GT44" i="8"/>
  <c r="GS44" i="8"/>
  <c r="GR44" i="8"/>
  <c r="GQ44" i="8"/>
  <c r="GW43" i="8"/>
  <c r="GV43" i="8"/>
  <c r="GU43" i="8"/>
  <c r="GT43" i="8"/>
  <c r="GS43" i="8"/>
  <c r="GR43" i="8"/>
  <c r="GQ43" i="8"/>
  <c r="GW42" i="8"/>
  <c r="GV42" i="8"/>
  <c r="GU42" i="8"/>
  <c r="GT42" i="8"/>
  <c r="GS42" i="8"/>
  <c r="GR42" i="8"/>
  <c r="GQ42" i="8"/>
  <c r="GW41" i="8"/>
  <c r="GV41" i="8"/>
  <c r="GU41" i="8"/>
  <c r="GT41" i="8"/>
  <c r="GS41" i="8"/>
  <c r="GR41" i="8"/>
  <c r="GQ41" i="8"/>
  <c r="GW40" i="8"/>
  <c r="GV40" i="8"/>
  <c r="GU40" i="8"/>
  <c r="GT40" i="8"/>
  <c r="GS40" i="8"/>
  <c r="GR40" i="8"/>
  <c r="GQ40" i="8"/>
  <c r="GW39" i="8"/>
  <c r="GV39" i="8"/>
  <c r="GU39" i="8"/>
  <c r="GT39" i="8"/>
  <c r="GS39" i="8"/>
  <c r="GR39" i="8"/>
  <c r="GQ39" i="8"/>
  <c r="GW38" i="8"/>
  <c r="GV38" i="8"/>
  <c r="GU38" i="8"/>
  <c r="GT38" i="8"/>
  <c r="GS38" i="8"/>
  <c r="GR38" i="8"/>
  <c r="GQ38" i="8"/>
  <c r="GW37" i="8"/>
  <c r="GV37" i="8"/>
  <c r="GU37" i="8"/>
  <c r="GT37" i="8"/>
  <c r="GS37" i="8"/>
  <c r="GR37" i="8"/>
  <c r="GQ37" i="8"/>
  <c r="GW36" i="8"/>
  <c r="GV36" i="8"/>
  <c r="GU36" i="8"/>
  <c r="GT36" i="8"/>
  <c r="GS36" i="8"/>
  <c r="GR36" i="8"/>
  <c r="GQ36" i="8"/>
  <c r="GW34" i="8"/>
  <c r="GV34" i="8"/>
  <c r="GU34" i="8"/>
  <c r="GT34" i="8"/>
  <c r="GS34" i="8"/>
  <c r="GR34" i="8"/>
  <c r="GQ34" i="8"/>
  <c r="GW33" i="8"/>
  <c r="GV33" i="8"/>
  <c r="GU33" i="8"/>
  <c r="GT33" i="8"/>
  <c r="GS33" i="8"/>
  <c r="GR33" i="8"/>
  <c r="GQ33" i="8"/>
  <c r="GW31" i="8"/>
  <c r="GV31" i="8"/>
  <c r="GU31" i="8"/>
  <c r="GT31" i="8"/>
  <c r="GS31" i="8"/>
  <c r="GR31" i="8"/>
  <c r="GQ31" i="8"/>
  <c r="GW30" i="8"/>
  <c r="GV30" i="8"/>
  <c r="GU30" i="8"/>
  <c r="GT30" i="8"/>
  <c r="GS30" i="8"/>
  <c r="GR30" i="8"/>
  <c r="GQ30" i="8"/>
  <c r="GW29" i="8"/>
  <c r="GV29" i="8"/>
  <c r="GU29" i="8"/>
  <c r="GT29" i="8"/>
  <c r="GS29" i="8"/>
  <c r="GR29" i="8"/>
  <c r="GQ29" i="8"/>
  <c r="GW28" i="8"/>
  <c r="GV28" i="8"/>
  <c r="GU28" i="8"/>
  <c r="GT28" i="8"/>
  <c r="GS28" i="8"/>
  <c r="GR28" i="8"/>
  <c r="GQ28" i="8"/>
  <c r="GW27" i="8"/>
  <c r="GV27" i="8"/>
  <c r="GU27" i="8"/>
  <c r="GT27" i="8"/>
  <c r="GS27" i="8"/>
  <c r="GR27" i="8"/>
  <c r="GQ27" i="8"/>
  <c r="GW26" i="8"/>
  <c r="GV26" i="8"/>
  <c r="GU26" i="8"/>
  <c r="GT26" i="8"/>
  <c r="GS26" i="8"/>
  <c r="GR26" i="8"/>
  <c r="GQ26" i="8"/>
  <c r="GW24" i="8"/>
  <c r="GV24" i="8"/>
  <c r="GU24" i="8"/>
  <c r="GT24" i="8"/>
  <c r="GS24" i="8"/>
  <c r="GR24" i="8"/>
  <c r="GQ24" i="8"/>
  <c r="GW23" i="8"/>
  <c r="GV23" i="8"/>
  <c r="GU23" i="8"/>
  <c r="GT23" i="8"/>
  <c r="GS23" i="8"/>
  <c r="GR23" i="8"/>
  <c r="GQ23" i="8"/>
  <c r="GW22" i="8"/>
  <c r="GV22" i="8"/>
  <c r="GU22" i="8"/>
  <c r="GT22" i="8"/>
  <c r="GS22" i="8"/>
  <c r="GR22" i="8"/>
  <c r="GQ22" i="8"/>
  <c r="GW21" i="8"/>
  <c r="GV21" i="8"/>
  <c r="GU21" i="8"/>
  <c r="GT21" i="8"/>
  <c r="GS21" i="8"/>
  <c r="GR21" i="8"/>
  <c r="GQ21" i="8"/>
  <c r="GW20" i="8"/>
  <c r="GV20" i="8"/>
  <c r="GU20" i="8"/>
  <c r="GT20" i="8"/>
  <c r="GS20" i="8"/>
  <c r="GR20" i="8"/>
  <c r="GQ20" i="8"/>
  <c r="GW19" i="8"/>
  <c r="GV19" i="8"/>
  <c r="GU19" i="8"/>
  <c r="GT19" i="8"/>
  <c r="GS19" i="8"/>
  <c r="GR19" i="8"/>
  <c r="GQ19" i="8"/>
  <c r="GW18" i="8"/>
  <c r="GV18" i="8"/>
  <c r="GU18" i="8"/>
  <c r="GT18" i="8"/>
  <c r="GS18" i="8"/>
  <c r="GR18" i="8"/>
  <c r="GQ18" i="8"/>
  <c r="GW17" i="8"/>
  <c r="GV17" i="8"/>
  <c r="GU17" i="8"/>
  <c r="GT17" i="8"/>
  <c r="GS17" i="8"/>
  <c r="GR17" i="8"/>
  <c r="GQ17" i="8"/>
  <c r="GW16" i="8"/>
  <c r="GV16" i="8"/>
  <c r="GU16" i="8"/>
  <c r="GT16" i="8"/>
  <c r="GS16" i="8"/>
  <c r="GR16" i="8"/>
  <c r="GQ16" i="8"/>
  <c r="GW13" i="8"/>
  <c r="GV13" i="8"/>
  <c r="GU13" i="8"/>
  <c r="GT13" i="8"/>
  <c r="GS13" i="8"/>
  <c r="GR13" i="8"/>
  <c r="GX13" i="8" s="1"/>
  <c r="I57" i="2" s="1"/>
  <c r="GQ13" i="8"/>
  <c r="GW11" i="8"/>
  <c r="GV11" i="8"/>
  <c r="GU11" i="8"/>
  <c r="GT11" i="8"/>
  <c r="GS11" i="8"/>
  <c r="GR11" i="8"/>
  <c r="GX11" i="8" s="1"/>
  <c r="I43" i="2" s="1"/>
  <c r="GQ11" i="8"/>
  <c r="GT9" i="8"/>
  <c r="GR9" i="8"/>
  <c r="GQ9" i="8"/>
  <c r="GT7" i="8"/>
  <c r="GS7" i="8"/>
  <c r="GR7" i="8"/>
  <c r="GQ7" i="8"/>
  <c r="GP13" i="8"/>
  <c r="GP14" i="8" s="1"/>
  <c r="GO13" i="8"/>
  <c r="GO14" i="8" s="1"/>
  <c r="GN13" i="8"/>
  <c r="GM13" i="8"/>
  <c r="GL13" i="8"/>
  <c r="GK13" i="8"/>
  <c r="GJ13" i="8"/>
  <c r="GI14" i="8"/>
  <c r="GP11" i="8"/>
  <c r="GP12" i="8" s="1"/>
  <c r="GO11" i="8"/>
  <c r="GO12" i="8" s="1"/>
  <c r="GN11" i="8"/>
  <c r="GM11" i="8"/>
  <c r="GL11" i="8"/>
  <c r="GK11" i="8"/>
  <c r="GJ11" i="8"/>
  <c r="GI12" i="8"/>
  <c r="GP9" i="8"/>
  <c r="GP10" i="8" s="1"/>
  <c r="GO9" i="8"/>
  <c r="GO10" i="8" s="1"/>
  <c r="GN9" i="8"/>
  <c r="GU9" i="8" s="1"/>
  <c r="GM9" i="8"/>
  <c r="GL9" i="8"/>
  <c r="GK9" i="8"/>
  <c r="GI10" i="8"/>
  <c r="GP7" i="8"/>
  <c r="GP8" i="8" s="1"/>
  <c r="GO7" i="8"/>
  <c r="GO8" i="8" s="1"/>
  <c r="GN7" i="8"/>
  <c r="GU7" i="8" s="1"/>
  <c r="GM7" i="8"/>
  <c r="GL7" i="8"/>
  <c r="GK7" i="8"/>
  <c r="GI8" i="8"/>
  <c r="GJ6" i="8"/>
  <c r="GQ6" i="8" s="1"/>
  <c r="GK6" i="8"/>
  <c r="GR6" i="8" s="1"/>
  <c r="GL6" i="8"/>
  <c r="GS6" i="8" s="1"/>
  <c r="GM6" i="8"/>
  <c r="GT6" i="8" s="1"/>
  <c r="GN6" i="8"/>
  <c r="GU6" i="8" s="1"/>
  <c r="GO6" i="8"/>
  <c r="GV6" i="8" s="1"/>
  <c r="GP6" i="8"/>
  <c r="GW6" i="8" s="1"/>
  <c r="GI6" i="8"/>
  <c r="GL8" i="8" l="1"/>
  <c r="GL10" i="8"/>
  <c r="GL12" i="8"/>
  <c r="GL14" i="8"/>
  <c r="GW9" i="8"/>
  <c r="GX9" i="8" s="1"/>
  <c r="I28" i="2" s="1"/>
  <c r="GX6" i="8"/>
  <c r="I9" i="2" s="1"/>
  <c r="GV9" i="8"/>
  <c r="GK8" i="8"/>
  <c r="GK10" i="8"/>
  <c r="GK12" i="8"/>
  <c r="GK14" i="8"/>
  <c r="GV7" i="8"/>
  <c r="GX7" i="8" s="1"/>
  <c r="I10" i="2" s="1"/>
  <c r="GM8" i="8"/>
  <c r="GM10" i="8"/>
  <c r="GM12" i="8"/>
  <c r="GM14" i="8"/>
  <c r="GW7" i="8"/>
  <c r="GN8" i="8"/>
  <c r="GN10" i="8"/>
  <c r="GN12" i="8"/>
  <c r="GN14" i="8"/>
  <c r="GJ8" i="8"/>
  <c r="GJ10" i="8"/>
  <c r="GJ12" i="8"/>
  <c r="GJ14" i="8"/>
  <c r="K68" i="2"/>
  <c r="K60" i="2"/>
  <c r="K50" i="2"/>
  <c r="K40" i="2"/>
  <c r="K22" i="2"/>
  <c r="K14" i="2"/>
  <c r="K67" i="2"/>
  <c r="K59" i="2"/>
  <c r="K49" i="2"/>
  <c r="K39" i="2"/>
  <c r="K31" i="2"/>
  <c r="K13" i="2"/>
  <c r="K66" i="2"/>
  <c r="K56" i="2"/>
  <c r="K48" i="2"/>
  <c r="K38" i="2"/>
  <c r="K30" i="2"/>
  <c r="K20" i="2"/>
  <c r="K12" i="2"/>
  <c r="I21" i="2"/>
  <c r="K65" i="2"/>
  <c r="K55" i="2"/>
  <c r="K47" i="2"/>
  <c r="K37" i="2"/>
  <c r="K27" i="2"/>
  <c r="K19" i="2"/>
  <c r="K64" i="2"/>
  <c r="K54" i="2"/>
  <c r="K46" i="2"/>
  <c r="K36" i="2"/>
  <c r="K26" i="2"/>
  <c r="K18" i="2"/>
  <c r="K63" i="2"/>
  <c r="K53" i="2"/>
  <c r="K45" i="2"/>
  <c r="K35" i="2"/>
  <c r="K25" i="2"/>
  <c r="K17" i="2"/>
  <c r="K62" i="2"/>
  <c r="K52" i="2"/>
  <c r="K42" i="2"/>
  <c r="K34" i="2"/>
  <c r="K24" i="2"/>
  <c r="K16" i="2"/>
  <c r="K61" i="2"/>
  <c r="K51" i="2"/>
  <c r="K41" i="2"/>
  <c r="K33" i="2"/>
  <c r="K23" i="2"/>
  <c r="K15" i="2"/>
  <c r="AS11" i="18"/>
  <c r="AS12" i="18"/>
  <c r="AS13" i="18"/>
  <c r="AS14" i="18"/>
  <c r="AS15" i="18"/>
  <c r="AS16" i="18"/>
  <c r="AS17" i="18"/>
  <c r="AS18" i="18"/>
  <c r="AS19" i="18"/>
  <c r="AS20" i="18"/>
  <c r="AS21" i="18"/>
  <c r="AS22" i="18"/>
  <c r="AS23" i="18"/>
  <c r="AS24" i="18"/>
  <c r="AS25" i="18"/>
  <c r="AS28" i="18"/>
  <c r="AS30" i="18"/>
  <c r="AS31" i="18"/>
  <c r="AS32" i="18"/>
  <c r="AS33" i="18"/>
  <c r="AS34" i="18"/>
  <c r="AS35" i="18"/>
  <c r="AS36" i="18"/>
  <c r="AS37" i="18"/>
  <c r="AS38" i="18"/>
  <c r="AS39" i="18"/>
  <c r="AS40" i="18"/>
  <c r="AS42" i="18"/>
  <c r="AS43" i="18"/>
  <c r="AS44" i="18"/>
  <c r="AS45" i="18"/>
  <c r="AS46" i="18"/>
  <c r="AS47" i="18"/>
  <c r="AS48" i="18"/>
  <c r="AS49" i="18"/>
  <c r="AS50" i="18"/>
  <c r="AS51" i="18"/>
  <c r="AS52" i="18"/>
  <c r="AS53" i="18"/>
  <c r="AS55" i="18"/>
  <c r="AS56" i="18"/>
  <c r="AS57" i="18"/>
  <c r="AS58" i="18"/>
  <c r="AS59" i="18"/>
  <c r="AS60" i="18"/>
  <c r="AS61" i="18"/>
  <c r="AS62" i="18"/>
  <c r="AS63" i="18"/>
  <c r="AS64" i="18"/>
  <c r="AS5" i="18"/>
  <c r="AD9" i="18"/>
  <c r="AS9" i="18" s="1"/>
  <c r="AD8" i="18"/>
  <c r="AS8" i="18" s="1"/>
  <c r="AD7" i="18"/>
  <c r="AS7" i="18" s="1"/>
  <c r="AD5" i="18"/>
  <c r="AD4" i="18" s="1"/>
  <c r="O9" i="18"/>
  <c r="O8" i="18"/>
  <c r="O7" i="18"/>
  <c r="O5" i="18"/>
  <c r="O4" i="18" l="1"/>
  <c r="AS4" i="18" s="1"/>
  <c r="AT55" i="15"/>
  <c r="AT56" i="15"/>
  <c r="AT57" i="15"/>
  <c r="AT58" i="15"/>
  <c r="AT59" i="15"/>
  <c r="AT60" i="15"/>
  <c r="AT61" i="15"/>
  <c r="AT62" i="15"/>
  <c r="AT52" i="15" s="1"/>
  <c r="AT63" i="15"/>
  <c r="AT54" i="15"/>
  <c r="AT41" i="15"/>
  <c r="AT42" i="15"/>
  <c r="AT43" i="15"/>
  <c r="AT44" i="15"/>
  <c r="AT45" i="15"/>
  <c r="AT46" i="15"/>
  <c r="AT47" i="15"/>
  <c r="AT48" i="15"/>
  <c r="AT49" i="15"/>
  <c r="AT50" i="15"/>
  <c r="AT51" i="15"/>
  <c r="AT40" i="15"/>
  <c r="AT38" i="15" s="1"/>
  <c r="AT30" i="15"/>
  <c r="AT31" i="15"/>
  <c r="AT32" i="15"/>
  <c r="AT33" i="15"/>
  <c r="AT34" i="15"/>
  <c r="AT35" i="15"/>
  <c r="AT36" i="15"/>
  <c r="AT37" i="15"/>
  <c r="AT23" i="15" s="1"/>
  <c r="AT27" i="15"/>
  <c r="AT28" i="15"/>
  <c r="AT29" i="15"/>
  <c r="AT26" i="15"/>
  <c r="AT25" i="15"/>
  <c r="AT9" i="15"/>
  <c r="AT10" i="15"/>
  <c r="AT11" i="15"/>
  <c r="AT12" i="15"/>
  <c r="AT13" i="15"/>
  <c r="AT14" i="15"/>
  <c r="AT15" i="15"/>
  <c r="AT16" i="15"/>
  <c r="AT17" i="15"/>
  <c r="AT18" i="15"/>
  <c r="AT19" i="15"/>
  <c r="AT20" i="15"/>
  <c r="AT21" i="15"/>
  <c r="AT22" i="15"/>
  <c r="AT8" i="15"/>
  <c r="AT7" i="15"/>
  <c r="AT5" i="15" s="1"/>
  <c r="AU52" i="15"/>
  <c r="AU38" i="15"/>
  <c r="AU23" i="15"/>
  <c r="AU5" i="15"/>
  <c r="AT4" i="15" l="1"/>
  <c r="AT39" i="15" s="1"/>
  <c r="AT53" i="15"/>
  <c r="AT6" i="15"/>
  <c r="AT24" i="15"/>
  <c r="AU4" i="15"/>
  <c r="GG16" i="8"/>
  <c r="GG17" i="8"/>
  <c r="GG18" i="8"/>
  <c r="GG19" i="8"/>
  <c r="GG20" i="8"/>
  <c r="GG21" i="8"/>
  <c r="GG22" i="8"/>
  <c r="GG23" i="8"/>
  <c r="GG24" i="8"/>
  <c r="GG25" i="8"/>
  <c r="GG26" i="8"/>
  <c r="GG27" i="8"/>
  <c r="GG28" i="8"/>
  <c r="GG29" i="8"/>
  <c r="GG30" i="8"/>
  <c r="GG31" i="8"/>
  <c r="GG33" i="8"/>
  <c r="GG34" i="8"/>
  <c r="GG35" i="8"/>
  <c r="GG36" i="8"/>
  <c r="GG37" i="8"/>
  <c r="GG38" i="8"/>
  <c r="GG39" i="8"/>
  <c r="GG40" i="8"/>
  <c r="GG41" i="8"/>
  <c r="GG42" i="8"/>
  <c r="GG43" i="8"/>
  <c r="GG44" i="8"/>
  <c r="GG45" i="8"/>
  <c r="GG47" i="8"/>
  <c r="GG48" i="8"/>
  <c r="GG49" i="8"/>
  <c r="GG50" i="8"/>
  <c r="GG51" i="8"/>
  <c r="GG52" i="8"/>
  <c r="GG53" i="8"/>
  <c r="GG54" i="8"/>
  <c r="GG55" i="8"/>
  <c r="GG56" i="8"/>
  <c r="GG57" i="8"/>
  <c r="GG58" i="8"/>
  <c r="GG60" i="8"/>
  <c r="GG61" i="8"/>
  <c r="GG62" i="8"/>
  <c r="GG63" i="8"/>
  <c r="GG64" i="8"/>
  <c r="GG65" i="8"/>
  <c r="GG66" i="8"/>
  <c r="GG67" i="8"/>
  <c r="GG68" i="8"/>
  <c r="GG69" i="8"/>
  <c r="GF16" i="8"/>
  <c r="GF17" i="8"/>
  <c r="GF18" i="8"/>
  <c r="GF19" i="8"/>
  <c r="GH19" i="8" s="1"/>
  <c r="GF20" i="8"/>
  <c r="GF21" i="8"/>
  <c r="GF22" i="8"/>
  <c r="GF23" i="8"/>
  <c r="GF24" i="8"/>
  <c r="GF25" i="8"/>
  <c r="GF26" i="8"/>
  <c r="GF27" i="8"/>
  <c r="GF28" i="8"/>
  <c r="GF29" i="8"/>
  <c r="GF30" i="8"/>
  <c r="GF31" i="8"/>
  <c r="GF33" i="8"/>
  <c r="GF34" i="8"/>
  <c r="GF35" i="8"/>
  <c r="GF36" i="8"/>
  <c r="GH36" i="8" s="1"/>
  <c r="GF37" i="8"/>
  <c r="GF38" i="8"/>
  <c r="GF39" i="8"/>
  <c r="GF40" i="8"/>
  <c r="GF41" i="8"/>
  <c r="GF42" i="8"/>
  <c r="GF43" i="8"/>
  <c r="GF44" i="8"/>
  <c r="GF45" i="8"/>
  <c r="GF47" i="8"/>
  <c r="GF48" i="8"/>
  <c r="GF49" i="8"/>
  <c r="GF50" i="8"/>
  <c r="GF51" i="8"/>
  <c r="GF52" i="8"/>
  <c r="GF53" i="8"/>
  <c r="GH53" i="8" s="1"/>
  <c r="GF54" i="8"/>
  <c r="GF55" i="8"/>
  <c r="GF56" i="8"/>
  <c r="GF57" i="8"/>
  <c r="GF58" i="8"/>
  <c r="GF60" i="8"/>
  <c r="GF61" i="8"/>
  <c r="GF62" i="8"/>
  <c r="GF63" i="8"/>
  <c r="GF64" i="8"/>
  <c r="GF65" i="8"/>
  <c r="GF66" i="8"/>
  <c r="GF67" i="8"/>
  <c r="GF68" i="8"/>
  <c r="GF69" i="8"/>
  <c r="GE9" i="8"/>
  <c r="GE16" i="8"/>
  <c r="GE17" i="8"/>
  <c r="GE18" i="8"/>
  <c r="GE19" i="8"/>
  <c r="GE20" i="8"/>
  <c r="GE21" i="8"/>
  <c r="GE22" i="8"/>
  <c r="GE23" i="8"/>
  <c r="GE24" i="8"/>
  <c r="GE25" i="8"/>
  <c r="GE26" i="8"/>
  <c r="GE27" i="8"/>
  <c r="GE28" i="8"/>
  <c r="GE29" i="8"/>
  <c r="GE30" i="8"/>
  <c r="GE31" i="8"/>
  <c r="GE33" i="8"/>
  <c r="GE34" i="8"/>
  <c r="GE35" i="8"/>
  <c r="GE36" i="8"/>
  <c r="GE37" i="8"/>
  <c r="GE38" i="8"/>
  <c r="GE39" i="8"/>
  <c r="GE40" i="8"/>
  <c r="GE41" i="8"/>
  <c r="GE42" i="8"/>
  <c r="GE43" i="8"/>
  <c r="GE44" i="8"/>
  <c r="GE45" i="8"/>
  <c r="GE47" i="8"/>
  <c r="GE48" i="8"/>
  <c r="GE49" i="8"/>
  <c r="GE50" i="8"/>
  <c r="GE51" i="8"/>
  <c r="GE52" i="8"/>
  <c r="GE53" i="8"/>
  <c r="GE54" i="8"/>
  <c r="GE55" i="8"/>
  <c r="GE56" i="8"/>
  <c r="GE57" i="8"/>
  <c r="GE58" i="8"/>
  <c r="GE60" i="8"/>
  <c r="GE61" i="8"/>
  <c r="GE62" i="8"/>
  <c r="GE63" i="8"/>
  <c r="GE64" i="8"/>
  <c r="GE65" i="8"/>
  <c r="GE66" i="8"/>
  <c r="GE67" i="8"/>
  <c r="GE68" i="8"/>
  <c r="GE69" i="8"/>
  <c r="GD16" i="8"/>
  <c r="GD17" i="8"/>
  <c r="GD18" i="8"/>
  <c r="GD19" i="8"/>
  <c r="GD20" i="8"/>
  <c r="GD21" i="8"/>
  <c r="GD22" i="8"/>
  <c r="GD23" i="8"/>
  <c r="GD24" i="8"/>
  <c r="GD25" i="8"/>
  <c r="GD26" i="8"/>
  <c r="GD27" i="8"/>
  <c r="GD28" i="8"/>
  <c r="GD29" i="8"/>
  <c r="GD30" i="8"/>
  <c r="GD31" i="8"/>
  <c r="GD33" i="8"/>
  <c r="GD34" i="8"/>
  <c r="GD35" i="8"/>
  <c r="GD36" i="8"/>
  <c r="GD37" i="8"/>
  <c r="GD38" i="8"/>
  <c r="GD39" i="8"/>
  <c r="GD40" i="8"/>
  <c r="GD41" i="8"/>
  <c r="GD42" i="8"/>
  <c r="GD43" i="8"/>
  <c r="GD44" i="8"/>
  <c r="GD45" i="8"/>
  <c r="GD47" i="8"/>
  <c r="GD48" i="8"/>
  <c r="GD49" i="8"/>
  <c r="GD50" i="8"/>
  <c r="GD51" i="8"/>
  <c r="GD52" i="8"/>
  <c r="GD53" i="8"/>
  <c r="GD54" i="8"/>
  <c r="GD55" i="8"/>
  <c r="GD56" i="8"/>
  <c r="GD57" i="8"/>
  <c r="GD58" i="8"/>
  <c r="GD60" i="8"/>
  <c r="GD61" i="8"/>
  <c r="GD62" i="8"/>
  <c r="GD63" i="8"/>
  <c r="GD64" i="8"/>
  <c r="GD65" i="8"/>
  <c r="GD66" i="8"/>
  <c r="GD67" i="8"/>
  <c r="GD68" i="8"/>
  <c r="GD69" i="8"/>
  <c r="GC16" i="8"/>
  <c r="GC17" i="8"/>
  <c r="GC18" i="8"/>
  <c r="GC19" i="8"/>
  <c r="GC20" i="8"/>
  <c r="GC21" i="8"/>
  <c r="GH21" i="8" s="1"/>
  <c r="GC22" i="8"/>
  <c r="GH22" i="8" s="1"/>
  <c r="GC23" i="8"/>
  <c r="GC24" i="8"/>
  <c r="GC25" i="8"/>
  <c r="GC26" i="8"/>
  <c r="GC27" i="8"/>
  <c r="GC28" i="8"/>
  <c r="GC29" i="8"/>
  <c r="GH29" i="8" s="1"/>
  <c r="GC30" i="8"/>
  <c r="GH30" i="8" s="1"/>
  <c r="GC31" i="8"/>
  <c r="GC33" i="8"/>
  <c r="GC34" i="8"/>
  <c r="GC35" i="8"/>
  <c r="GC36" i="8"/>
  <c r="GC37" i="8"/>
  <c r="GC38" i="8"/>
  <c r="GH38" i="8" s="1"/>
  <c r="GC39" i="8"/>
  <c r="GH39" i="8" s="1"/>
  <c r="GC40" i="8"/>
  <c r="GC41" i="8"/>
  <c r="GC42" i="8"/>
  <c r="GC43" i="8"/>
  <c r="GC44" i="8"/>
  <c r="GC45" i="8"/>
  <c r="GC47" i="8"/>
  <c r="GH47" i="8" s="1"/>
  <c r="GC48" i="8"/>
  <c r="GH48" i="8" s="1"/>
  <c r="GC49" i="8"/>
  <c r="GC50" i="8"/>
  <c r="GC51" i="8"/>
  <c r="GC52" i="8"/>
  <c r="GC53" i="8"/>
  <c r="GC54" i="8"/>
  <c r="GC55" i="8"/>
  <c r="GH55" i="8" s="1"/>
  <c r="GC56" i="8"/>
  <c r="GH56" i="8" s="1"/>
  <c r="GC57" i="8"/>
  <c r="GC58" i="8"/>
  <c r="GC60" i="8"/>
  <c r="GC61" i="8"/>
  <c r="GC62" i="8"/>
  <c r="GC63" i="8"/>
  <c r="GC64" i="8"/>
  <c r="GH64" i="8" s="1"/>
  <c r="GC65" i="8"/>
  <c r="GH65" i="8" s="1"/>
  <c r="GC66" i="8"/>
  <c r="GC67" i="8"/>
  <c r="GC68" i="8"/>
  <c r="GC69" i="8"/>
  <c r="GB16" i="8"/>
  <c r="GB17" i="8"/>
  <c r="GH17" i="8" s="1"/>
  <c r="GB18" i="8"/>
  <c r="GH18" i="8" s="1"/>
  <c r="GB19" i="8"/>
  <c r="GB20" i="8"/>
  <c r="GB21" i="8"/>
  <c r="GB22" i="8"/>
  <c r="GB23" i="8"/>
  <c r="GB24" i="8"/>
  <c r="GB25" i="8"/>
  <c r="GH25" i="8" s="1"/>
  <c r="GB26" i="8"/>
  <c r="GH26" i="8" s="1"/>
  <c r="GB27" i="8"/>
  <c r="GH27" i="8" s="1"/>
  <c r="GB28" i="8"/>
  <c r="GB29" i="8"/>
  <c r="GB30" i="8"/>
  <c r="GB31" i="8"/>
  <c r="GB33" i="8"/>
  <c r="GB34" i="8"/>
  <c r="GH34" i="8" s="1"/>
  <c r="GB35" i="8"/>
  <c r="GH35" i="8" s="1"/>
  <c r="GB36" i="8"/>
  <c r="GB37" i="8"/>
  <c r="GB38" i="8"/>
  <c r="GB39" i="8"/>
  <c r="GB40" i="8"/>
  <c r="GB41" i="8"/>
  <c r="GB42" i="8"/>
  <c r="GH42" i="8" s="1"/>
  <c r="GB43" i="8"/>
  <c r="GH43" i="8" s="1"/>
  <c r="GB44" i="8"/>
  <c r="GH44" i="8" s="1"/>
  <c r="GB45" i="8"/>
  <c r="GB47" i="8"/>
  <c r="GB48" i="8"/>
  <c r="GB49" i="8"/>
  <c r="GB50" i="8"/>
  <c r="GB51" i="8"/>
  <c r="GH51" i="8" s="1"/>
  <c r="GB52" i="8"/>
  <c r="GH52" i="8" s="1"/>
  <c r="GB53" i="8"/>
  <c r="GB54" i="8"/>
  <c r="GB55" i="8"/>
  <c r="GB56" i="8"/>
  <c r="GB57" i="8"/>
  <c r="GB58" i="8"/>
  <c r="GB60" i="8"/>
  <c r="GH60" i="8" s="1"/>
  <c r="GB61" i="8"/>
  <c r="GH61" i="8" s="1"/>
  <c r="GB62" i="8"/>
  <c r="GH62" i="8" s="1"/>
  <c r="GB63" i="8"/>
  <c r="GB64" i="8"/>
  <c r="GB65" i="8"/>
  <c r="GB66" i="8"/>
  <c r="GB67" i="8"/>
  <c r="GB68" i="8"/>
  <c r="GH68" i="8" s="1"/>
  <c r="GB69" i="8"/>
  <c r="GH69" i="8" s="1"/>
  <c r="GA16" i="8"/>
  <c r="GA17" i="8"/>
  <c r="GA18" i="8"/>
  <c r="GA19" i="8"/>
  <c r="GA20" i="8"/>
  <c r="GA21" i="8"/>
  <c r="GA22" i="8"/>
  <c r="GA23" i="8"/>
  <c r="GA24" i="8"/>
  <c r="GA25" i="8"/>
  <c r="GA26" i="8"/>
  <c r="GA27" i="8"/>
  <c r="GA28" i="8"/>
  <c r="GA29" i="8"/>
  <c r="GA30" i="8"/>
  <c r="GA31" i="8"/>
  <c r="GA33" i="8"/>
  <c r="GA34" i="8"/>
  <c r="GA35" i="8"/>
  <c r="GA36" i="8"/>
  <c r="GA37" i="8"/>
  <c r="GA38" i="8"/>
  <c r="GA39" i="8"/>
  <c r="GA40" i="8"/>
  <c r="GA41" i="8"/>
  <c r="GA42" i="8"/>
  <c r="GA43" i="8"/>
  <c r="GA44" i="8"/>
  <c r="GA45" i="8"/>
  <c r="GA47" i="8"/>
  <c r="GA48" i="8"/>
  <c r="GA49" i="8"/>
  <c r="GA50" i="8"/>
  <c r="GA51" i="8"/>
  <c r="GA52" i="8"/>
  <c r="GA53" i="8"/>
  <c r="GA54" i="8"/>
  <c r="GA55" i="8"/>
  <c r="GA56" i="8"/>
  <c r="GA57" i="8"/>
  <c r="GA58" i="8"/>
  <c r="GA60" i="8"/>
  <c r="GA61" i="8"/>
  <c r="GA62" i="8"/>
  <c r="GA63" i="8"/>
  <c r="GA64" i="8"/>
  <c r="GA65" i="8"/>
  <c r="GA66" i="8"/>
  <c r="GA67" i="8"/>
  <c r="GA68" i="8"/>
  <c r="GA69" i="8"/>
  <c r="GG6" i="8"/>
  <c r="GF6" i="8"/>
  <c r="GE6" i="8"/>
  <c r="GD6" i="8"/>
  <c r="GC6" i="8"/>
  <c r="GB6" i="8"/>
  <c r="GA6" i="8"/>
  <c r="FZ13" i="8"/>
  <c r="FZ14" i="8" s="1"/>
  <c r="FZ11" i="8"/>
  <c r="FZ12" i="8" s="1"/>
  <c r="FZ9" i="8"/>
  <c r="FZ10" i="8" s="1"/>
  <c r="FZ7" i="8"/>
  <c r="FZ8" i="8" s="1"/>
  <c r="FY13" i="8"/>
  <c r="FY14" i="8" s="1"/>
  <c r="FY11" i="8"/>
  <c r="GF11" i="8" s="1"/>
  <c r="FY9" i="8"/>
  <c r="FY10" i="8" s="1"/>
  <c r="FY7" i="8"/>
  <c r="FY8" i="8" s="1"/>
  <c r="FX13" i="8"/>
  <c r="FX14" i="8" s="1"/>
  <c r="FX11" i="8"/>
  <c r="FX12" i="8" s="1"/>
  <c r="FX9" i="8"/>
  <c r="FX10" i="8" s="1"/>
  <c r="FX7" i="8"/>
  <c r="FX8" i="8" s="1"/>
  <c r="FW13" i="8"/>
  <c r="FW14" i="8" s="1"/>
  <c r="FW11" i="8"/>
  <c r="FW12" i="8" s="1"/>
  <c r="FW9" i="8"/>
  <c r="FW10" i="8" s="1"/>
  <c r="FW7" i="8"/>
  <c r="FW8" i="8" s="1"/>
  <c r="FV13" i="8"/>
  <c r="FV14" i="8" s="1"/>
  <c r="FV11" i="8"/>
  <c r="FV12" i="8" s="1"/>
  <c r="FV9" i="8"/>
  <c r="FV10" i="8" s="1"/>
  <c r="FV7" i="8"/>
  <c r="FV8" i="8" s="1"/>
  <c r="FU13" i="8"/>
  <c r="FU11" i="8"/>
  <c r="FU12" i="8" s="1"/>
  <c r="FU9" i="8"/>
  <c r="FU10" i="8" s="1"/>
  <c r="FU7" i="8"/>
  <c r="FU8" i="8" s="1"/>
  <c r="FT13" i="8"/>
  <c r="FT14" i="8" s="1"/>
  <c r="FT11" i="8"/>
  <c r="FT12" i="8" s="1"/>
  <c r="FT9" i="8"/>
  <c r="FT10" i="8" s="1"/>
  <c r="FT7" i="8"/>
  <c r="FT8" i="8" s="1"/>
  <c r="FS13" i="8"/>
  <c r="FS14" i="8" s="1"/>
  <c r="FS11" i="8"/>
  <c r="FS12" i="8" s="1"/>
  <c r="FS9" i="8"/>
  <c r="FS10" i="8" s="1"/>
  <c r="FS7" i="8"/>
  <c r="GG7" i="8" s="1"/>
  <c r="AT5" i="1"/>
  <c r="AT7" i="1"/>
  <c r="AT9" i="1"/>
  <c r="AT11" i="1"/>
  <c r="FS8" i="8" l="1"/>
  <c r="GF7" i="8"/>
  <c r="GH63" i="8"/>
  <c r="GH54" i="8"/>
  <c r="GH45" i="8"/>
  <c r="GH37" i="8"/>
  <c r="GH28" i="8"/>
  <c r="GH20" i="8"/>
  <c r="GH6" i="8"/>
  <c r="GC11" i="8"/>
  <c r="GE11" i="8"/>
  <c r="GB13" i="8"/>
  <c r="GE7" i="8"/>
  <c r="GH67" i="8"/>
  <c r="GH58" i="8"/>
  <c r="GH50" i="8"/>
  <c r="GH41" i="8"/>
  <c r="GH33" i="8"/>
  <c r="GH24" i="8"/>
  <c r="GH16" i="8"/>
  <c r="GH66" i="8"/>
  <c r="GH57" i="8"/>
  <c r="GH49" i="8"/>
  <c r="GH40" i="8"/>
  <c r="GH31" i="8"/>
  <c r="GH23" i="8"/>
  <c r="GB7" i="8"/>
  <c r="GD7" i="8"/>
  <c r="AU6" i="15"/>
  <c r="AU53" i="15"/>
  <c r="AU39" i="15"/>
  <c r="AU24" i="15"/>
  <c r="GF9" i="8"/>
  <c r="FU14" i="8"/>
  <c r="GD9" i="8"/>
  <c r="AT4" i="1"/>
  <c r="AT10" i="1" s="1"/>
  <c r="GA13" i="8"/>
  <c r="GB11" i="8"/>
  <c r="GC9" i="8"/>
  <c r="GA11" i="8"/>
  <c r="GB9" i="8"/>
  <c r="GC7" i="8"/>
  <c r="GD13" i="8"/>
  <c r="GC13" i="8"/>
  <c r="GD11" i="8"/>
  <c r="FY12" i="8"/>
  <c r="GA9" i="8"/>
  <c r="GG13" i="8"/>
  <c r="GA7" i="8"/>
  <c r="GF13" i="8"/>
  <c r="GG11" i="8"/>
  <c r="GE13" i="8"/>
  <c r="GG9" i="8"/>
  <c r="BH5" i="1"/>
  <c r="BH7" i="1"/>
  <c r="BH9" i="1"/>
  <c r="BH11" i="1"/>
  <c r="GH13" i="8" l="1"/>
  <c r="GH7" i="8"/>
  <c r="AT12" i="1"/>
  <c r="GH9" i="8"/>
  <c r="AT8" i="1"/>
  <c r="BH4" i="1"/>
  <c r="BH12" i="1" s="1"/>
  <c r="AT6" i="1"/>
  <c r="GH11" i="8"/>
  <c r="BH8" i="1" l="1"/>
  <c r="BH6" i="1"/>
  <c r="BH10" i="1"/>
  <c r="AR12" i="18"/>
  <c r="AR13" i="18"/>
  <c r="AR14" i="18"/>
  <c r="AR15" i="18"/>
  <c r="AR16" i="18"/>
  <c r="AR17" i="18"/>
  <c r="AR18" i="18"/>
  <c r="AR19" i="18"/>
  <c r="AR20" i="18"/>
  <c r="AR21" i="18"/>
  <c r="AR22" i="18"/>
  <c r="AR23" i="18"/>
  <c r="AR24" i="18"/>
  <c r="AR25" i="18"/>
  <c r="AR26" i="18"/>
  <c r="AR28" i="18"/>
  <c r="AR30" i="18"/>
  <c r="AR31" i="18"/>
  <c r="AR32" i="18"/>
  <c r="AR33" i="18"/>
  <c r="AR34" i="18"/>
  <c r="AR35" i="18"/>
  <c r="AR36" i="18"/>
  <c r="AR37" i="18"/>
  <c r="AR38" i="18"/>
  <c r="AR39" i="18"/>
  <c r="AR40" i="18"/>
  <c r="AR42" i="18"/>
  <c r="AR43" i="18"/>
  <c r="AR44" i="18"/>
  <c r="AR45" i="18"/>
  <c r="AR46" i="18"/>
  <c r="AR47" i="18"/>
  <c r="AR48" i="18"/>
  <c r="AR49" i="18"/>
  <c r="AR50" i="18"/>
  <c r="AR51" i="18"/>
  <c r="AR52" i="18"/>
  <c r="AR53" i="18"/>
  <c r="AR55" i="18"/>
  <c r="AR56" i="18"/>
  <c r="AR57" i="18"/>
  <c r="AR58" i="18"/>
  <c r="AR59" i="18"/>
  <c r="AR60" i="18"/>
  <c r="AR61" i="18"/>
  <c r="AR62" i="18"/>
  <c r="AR63" i="18"/>
  <c r="AR64" i="18"/>
  <c r="AR11" i="18"/>
  <c r="N5" i="18"/>
  <c r="N7" i="18"/>
  <c r="N8" i="18"/>
  <c r="N9" i="18"/>
  <c r="FQ6" i="8"/>
  <c r="FP6" i="8"/>
  <c r="FO6" i="8"/>
  <c r="FN6" i="8"/>
  <c r="FM6" i="8"/>
  <c r="FL6" i="8"/>
  <c r="FK6" i="8"/>
  <c r="FK33" i="8"/>
  <c r="FL33" i="8"/>
  <c r="FM33" i="8"/>
  <c r="FN33" i="8"/>
  <c r="FO33" i="8"/>
  <c r="FP33" i="8"/>
  <c r="FQ33" i="8"/>
  <c r="FK34" i="8"/>
  <c r="FL34" i="8"/>
  <c r="FM34" i="8"/>
  <c r="FN34" i="8"/>
  <c r="FO34" i="8"/>
  <c r="FP34" i="8"/>
  <c r="FQ34" i="8"/>
  <c r="FK35" i="8"/>
  <c r="FL35" i="8"/>
  <c r="FM35" i="8"/>
  <c r="FN35" i="8"/>
  <c r="FO35" i="8"/>
  <c r="FP35" i="8"/>
  <c r="FQ35" i="8"/>
  <c r="FK36" i="8"/>
  <c r="FL36" i="8"/>
  <c r="FM36" i="8"/>
  <c r="FN36" i="8"/>
  <c r="FO36" i="8"/>
  <c r="FP36" i="8"/>
  <c r="FQ36" i="8"/>
  <c r="FK37" i="8"/>
  <c r="FL37" i="8"/>
  <c r="FM37" i="8"/>
  <c r="FN37" i="8"/>
  <c r="FO37" i="8"/>
  <c r="FP37" i="8"/>
  <c r="FQ37" i="8"/>
  <c r="FK38" i="8"/>
  <c r="FL38" i="8"/>
  <c r="FM38" i="8"/>
  <c r="FN38" i="8"/>
  <c r="FO38" i="8"/>
  <c r="FP38" i="8"/>
  <c r="FQ38" i="8"/>
  <c r="FK39" i="8"/>
  <c r="FL39" i="8"/>
  <c r="FM39" i="8"/>
  <c r="FN39" i="8"/>
  <c r="FO39" i="8"/>
  <c r="FP39" i="8"/>
  <c r="FQ39" i="8"/>
  <c r="FK40" i="8"/>
  <c r="FL40" i="8"/>
  <c r="FM40" i="8"/>
  <c r="FN40" i="8"/>
  <c r="FO40" i="8"/>
  <c r="FP40" i="8"/>
  <c r="FQ40" i="8"/>
  <c r="FK41" i="8"/>
  <c r="FL41" i="8"/>
  <c r="FM41" i="8"/>
  <c r="FN41" i="8"/>
  <c r="FO41" i="8"/>
  <c r="FP41" i="8"/>
  <c r="FQ41" i="8"/>
  <c r="FK42" i="8"/>
  <c r="FL42" i="8"/>
  <c r="FM42" i="8"/>
  <c r="FN42" i="8"/>
  <c r="FO42" i="8"/>
  <c r="FP42" i="8"/>
  <c r="FQ42" i="8"/>
  <c r="FK43" i="8"/>
  <c r="FL43" i="8"/>
  <c r="FM43" i="8"/>
  <c r="FN43" i="8"/>
  <c r="FO43" i="8"/>
  <c r="FP43" i="8"/>
  <c r="FQ43" i="8"/>
  <c r="FK44" i="8"/>
  <c r="FL44" i="8"/>
  <c r="FM44" i="8"/>
  <c r="FN44" i="8"/>
  <c r="FO44" i="8"/>
  <c r="FP44" i="8"/>
  <c r="FQ44" i="8"/>
  <c r="FK45" i="8"/>
  <c r="FL45" i="8"/>
  <c r="FM45" i="8"/>
  <c r="FN45" i="8"/>
  <c r="FO45" i="8"/>
  <c r="FP45" i="8"/>
  <c r="FQ45" i="8"/>
  <c r="FK47" i="8"/>
  <c r="FL47" i="8"/>
  <c r="FM47" i="8"/>
  <c r="FN47" i="8"/>
  <c r="FO47" i="8"/>
  <c r="FP47" i="8"/>
  <c r="FQ47" i="8"/>
  <c r="FK48" i="8"/>
  <c r="FL48" i="8"/>
  <c r="FM48" i="8"/>
  <c r="FN48" i="8"/>
  <c r="FO48" i="8"/>
  <c r="FP48" i="8"/>
  <c r="FQ48" i="8"/>
  <c r="FK49" i="8"/>
  <c r="FL49" i="8"/>
  <c r="FM49" i="8"/>
  <c r="FN49" i="8"/>
  <c r="FO49" i="8"/>
  <c r="FP49" i="8"/>
  <c r="FQ49" i="8"/>
  <c r="FK50" i="8"/>
  <c r="FL50" i="8"/>
  <c r="FM50" i="8"/>
  <c r="FN50" i="8"/>
  <c r="FO50" i="8"/>
  <c r="FP50" i="8"/>
  <c r="FQ50" i="8"/>
  <c r="FK51" i="8"/>
  <c r="FL51" i="8"/>
  <c r="FM51" i="8"/>
  <c r="FN51" i="8"/>
  <c r="FO51" i="8"/>
  <c r="FP51" i="8"/>
  <c r="FQ51" i="8"/>
  <c r="FK52" i="8"/>
  <c r="FL52" i="8"/>
  <c r="FM52" i="8"/>
  <c r="FN52" i="8"/>
  <c r="FO52" i="8"/>
  <c r="FP52" i="8"/>
  <c r="FQ52" i="8"/>
  <c r="FK53" i="8"/>
  <c r="FL53" i="8"/>
  <c r="FM53" i="8"/>
  <c r="FN53" i="8"/>
  <c r="FO53" i="8"/>
  <c r="FP53" i="8"/>
  <c r="FQ53" i="8"/>
  <c r="FK54" i="8"/>
  <c r="FL54" i="8"/>
  <c r="FM54" i="8"/>
  <c r="FN54" i="8"/>
  <c r="FO54" i="8"/>
  <c r="FP54" i="8"/>
  <c r="FQ54" i="8"/>
  <c r="FK55" i="8"/>
  <c r="FL55" i="8"/>
  <c r="FM55" i="8"/>
  <c r="FN55" i="8"/>
  <c r="FO55" i="8"/>
  <c r="FP55" i="8"/>
  <c r="FQ55" i="8"/>
  <c r="FK56" i="8"/>
  <c r="FL56" i="8"/>
  <c r="FM56" i="8"/>
  <c r="FN56" i="8"/>
  <c r="FO56" i="8"/>
  <c r="FP56" i="8"/>
  <c r="FQ56" i="8"/>
  <c r="FK57" i="8"/>
  <c r="FL57" i="8"/>
  <c r="FM57" i="8"/>
  <c r="FN57" i="8"/>
  <c r="FO57" i="8"/>
  <c r="FP57" i="8"/>
  <c r="FQ57" i="8"/>
  <c r="FK58" i="8"/>
  <c r="FL58" i="8"/>
  <c r="FM58" i="8"/>
  <c r="FN58" i="8"/>
  <c r="FO58" i="8"/>
  <c r="FP58" i="8"/>
  <c r="FQ58" i="8"/>
  <c r="FK60" i="8"/>
  <c r="FL60" i="8"/>
  <c r="FM60" i="8"/>
  <c r="FN60" i="8"/>
  <c r="FO60" i="8"/>
  <c r="FP60" i="8"/>
  <c r="FQ60" i="8"/>
  <c r="FK61" i="8"/>
  <c r="FL61" i="8"/>
  <c r="FM61" i="8"/>
  <c r="FN61" i="8"/>
  <c r="FO61" i="8"/>
  <c r="FP61" i="8"/>
  <c r="FQ61" i="8"/>
  <c r="FK62" i="8"/>
  <c r="FL62" i="8"/>
  <c r="FM62" i="8"/>
  <c r="FN62" i="8"/>
  <c r="FO62" i="8"/>
  <c r="FP62" i="8"/>
  <c r="FQ62" i="8"/>
  <c r="FK63" i="8"/>
  <c r="FL63" i="8"/>
  <c r="FM63" i="8"/>
  <c r="FN63" i="8"/>
  <c r="FO63" i="8"/>
  <c r="FP63" i="8"/>
  <c r="FQ63" i="8"/>
  <c r="FK64" i="8"/>
  <c r="FL64" i="8"/>
  <c r="FM64" i="8"/>
  <c r="FN64" i="8"/>
  <c r="FO64" i="8"/>
  <c r="FP64" i="8"/>
  <c r="FQ64" i="8"/>
  <c r="FK65" i="8"/>
  <c r="FL65" i="8"/>
  <c r="FM65" i="8"/>
  <c r="FN65" i="8"/>
  <c r="FO65" i="8"/>
  <c r="FP65" i="8"/>
  <c r="FQ65" i="8"/>
  <c r="FK66" i="8"/>
  <c r="FL66" i="8"/>
  <c r="FM66" i="8"/>
  <c r="FN66" i="8"/>
  <c r="FO66" i="8"/>
  <c r="FP66" i="8"/>
  <c r="FQ66" i="8"/>
  <c r="FK67" i="8"/>
  <c r="FL67" i="8"/>
  <c r="FM67" i="8"/>
  <c r="FN67" i="8"/>
  <c r="FO67" i="8"/>
  <c r="FP67" i="8"/>
  <c r="FQ67" i="8"/>
  <c r="FK68" i="8"/>
  <c r="FL68" i="8"/>
  <c r="FM68" i="8"/>
  <c r="FN68" i="8"/>
  <c r="FO68" i="8"/>
  <c r="FP68" i="8"/>
  <c r="FQ68" i="8"/>
  <c r="FK69" i="8"/>
  <c r="FL69" i="8"/>
  <c r="FM69" i="8"/>
  <c r="FN69" i="8"/>
  <c r="FO69" i="8"/>
  <c r="FP69" i="8"/>
  <c r="FQ69" i="8"/>
  <c r="FK17" i="8"/>
  <c r="FL17" i="8"/>
  <c r="FM17" i="8"/>
  <c r="FN17" i="8"/>
  <c r="FO17" i="8"/>
  <c r="FP17" i="8"/>
  <c r="FQ17" i="8"/>
  <c r="FK18" i="8"/>
  <c r="FL18" i="8"/>
  <c r="FM18" i="8"/>
  <c r="FN18" i="8"/>
  <c r="FO18" i="8"/>
  <c r="FP18" i="8"/>
  <c r="FQ18" i="8"/>
  <c r="FK19" i="8"/>
  <c r="FL19" i="8"/>
  <c r="FM19" i="8"/>
  <c r="FN19" i="8"/>
  <c r="FO19" i="8"/>
  <c r="FP19" i="8"/>
  <c r="FQ19" i="8"/>
  <c r="FK20" i="8"/>
  <c r="FL20" i="8"/>
  <c r="FM20" i="8"/>
  <c r="FN20" i="8"/>
  <c r="FO20" i="8"/>
  <c r="FP20" i="8"/>
  <c r="FQ20" i="8"/>
  <c r="FK21" i="8"/>
  <c r="FL21" i="8"/>
  <c r="FM21" i="8"/>
  <c r="FN21" i="8"/>
  <c r="FO21" i="8"/>
  <c r="FP21" i="8"/>
  <c r="FQ21" i="8"/>
  <c r="FK22" i="8"/>
  <c r="FL22" i="8"/>
  <c r="FM22" i="8"/>
  <c r="FN22" i="8"/>
  <c r="FO22" i="8"/>
  <c r="FP22" i="8"/>
  <c r="FQ22" i="8"/>
  <c r="FK23" i="8"/>
  <c r="FL23" i="8"/>
  <c r="FM23" i="8"/>
  <c r="FN23" i="8"/>
  <c r="FO23" i="8"/>
  <c r="FP23" i="8"/>
  <c r="FQ23" i="8"/>
  <c r="FK24" i="8"/>
  <c r="FL24" i="8"/>
  <c r="FM24" i="8"/>
  <c r="FN24" i="8"/>
  <c r="FO24" i="8"/>
  <c r="FP24" i="8"/>
  <c r="FQ24" i="8"/>
  <c r="FK25" i="8"/>
  <c r="FL25" i="8"/>
  <c r="FM25" i="8"/>
  <c r="FN25" i="8"/>
  <c r="FO25" i="8"/>
  <c r="FP25" i="8"/>
  <c r="FQ25" i="8"/>
  <c r="FK26" i="8"/>
  <c r="FL26" i="8"/>
  <c r="FM26" i="8"/>
  <c r="FN26" i="8"/>
  <c r="FO26" i="8"/>
  <c r="FP26" i="8"/>
  <c r="FQ26" i="8"/>
  <c r="FK27" i="8"/>
  <c r="FL27" i="8"/>
  <c r="FM27" i="8"/>
  <c r="FN27" i="8"/>
  <c r="FO27" i="8"/>
  <c r="FP27" i="8"/>
  <c r="FQ27" i="8"/>
  <c r="FK28" i="8"/>
  <c r="FL28" i="8"/>
  <c r="FM28" i="8"/>
  <c r="FN28" i="8"/>
  <c r="FO28" i="8"/>
  <c r="FP28" i="8"/>
  <c r="FQ28" i="8"/>
  <c r="FK29" i="8"/>
  <c r="FL29" i="8"/>
  <c r="FM29" i="8"/>
  <c r="FN29" i="8"/>
  <c r="FO29" i="8"/>
  <c r="FP29" i="8"/>
  <c r="FQ29" i="8"/>
  <c r="FK30" i="8"/>
  <c r="FL30" i="8"/>
  <c r="FM30" i="8"/>
  <c r="FN30" i="8"/>
  <c r="FO30" i="8"/>
  <c r="FP30" i="8"/>
  <c r="FQ30" i="8"/>
  <c r="FK31" i="8"/>
  <c r="FL31" i="8"/>
  <c r="FM31" i="8"/>
  <c r="FN31" i="8"/>
  <c r="FO31" i="8"/>
  <c r="FP31" i="8"/>
  <c r="FQ31" i="8"/>
  <c r="FQ16" i="8"/>
  <c r="FP16" i="8"/>
  <c r="FO16" i="8"/>
  <c r="FN16" i="8"/>
  <c r="FM16" i="8"/>
  <c r="FL16" i="8"/>
  <c r="FK16" i="8"/>
  <c r="FR41" i="8" l="1"/>
  <c r="N4" i="18"/>
  <c r="FR6" i="8"/>
  <c r="FR17" i="8"/>
  <c r="FR60" i="8"/>
  <c r="FR62" i="8"/>
  <c r="FR44" i="8"/>
  <c r="FR24" i="8"/>
  <c r="FR18" i="8"/>
  <c r="FR61" i="8"/>
  <c r="FR43" i="8"/>
  <c r="FR42" i="8"/>
  <c r="FR63" i="8"/>
  <c r="FR16" i="8"/>
  <c r="FR28" i="8"/>
  <c r="FR20" i="8"/>
  <c r="FR69" i="8"/>
  <c r="FR65" i="8"/>
  <c r="FR58" i="8"/>
  <c r="FR56" i="8"/>
  <c r="FR52" i="8"/>
  <c r="FR48" i="8"/>
  <c r="FR39" i="8"/>
  <c r="FR35" i="8"/>
  <c r="FR33" i="8"/>
  <c r="FR36" i="8"/>
  <c r="FR45" i="8"/>
  <c r="FR37" i="8"/>
  <c r="FR26" i="8"/>
  <c r="FR68" i="8"/>
  <c r="FR66" i="8"/>
  <c r="FR57" i="8"/>
  <c r="FR51" i="8"/>
  <c r="FR53" i="8"/>
  <c r="FR54" i="8"/>
  <c r="FR25" i="8"/>
  <c r="FR67" i="8"/>
  <c r="FR50" i="8"/>
  <c r="FR34" i="8"/>
  <c r="FR49" i="8"/>
  <c r="FR22" i="8"/>
  <c r="FR31" i="8"/>
  <c r="FR23" i="8"/>
  <c r="FR29" i="8"/>
  <c r="FR21" i="8"/>
  <c r="FR40" i="8"/>
  <c r="FR30" i="8"/>
  <c r="FR27" i="8"/>
  <c r="FR19" i="8"/>
  <c r="FR64" i="8"/>
  <c r="FR55" i="8"/>
  <c r="FR47" i="8"/>
  <c r="FR38" i="8"/>
  <c r="AC5" i="18"/>
  <c r="AR5" i="18" s="1"/>
  <c r="AC7" i="18"/>
  <c r="AR7" i="18" s="1"/>
  <c r="AC8" i="18"/>
  <c r="AR8" i="18" s="1"/>
  <c r="AC9" i="18"/>
  <c r="AR9" i="18" s="1"/>
  <c r="AS5" i="1"/>
  <c r="AS7" i="1"/>
  <c r="AS9" i="1"/>
  <c r="AS11" i="1"/>
  <c r="FD7" i="8"/>
  <c r="FE7" i="8"/>
  <c r="FF7" i="8"/>
  <c r="FG7" i="8"/>
  <c r="FH7" i="8"/>
  <c r="FI7" i="8"/>
  <c r="FI8" i="8" s="1"/>
  <c r="FJ7" i="8"/>
  <c r="FD9" i="8"/>
  <c r="FE9" i="8"/>
  <c r="FF9" i="8"/>
  <c r="FG9" i="8"/>
  <c r="FH9" i="8"/>
  <c r="FI9" i="8"/>
  <c r="FJ9" i="8"/>
  <c r="FD11" i="8"/>
  <c r="FE11" i="8"/>
  <c r="FF11" i="8"/>
  <c r="FG11" i="8"/>
  <c r="FH11" i="8"/>
  <c r="FI11" i="8"/>
  <c r="FJ11" i="8"/>
  <c r="FD13" i="8"/>
  <c r="FE13" i="8"/>
  <c r="FF13" i="8"/>
  <c r="FG13" i="8"/>
  <c r="FH13" i="8"/>
  <c r="FI13" i="8"/>
  <c r="FJ13" i="8"/>
  <c r="FC13" i="8"/>
  <c r="FC14" i="8" s="1"/>
  <c r="FC11" i="8"/>
  <c r="FC12" i="8" s="1"/>
  <c r="FC9" i="8"/>
  <c r="FC10" i="8" s="1"/>
  <c r="FC7" i="8"/>
  <c r="FC8" i="8" s="1"/>
  <c r="FL11" i="8" l="1"/>
  <c r="FP7" i="8"/>
  <c r="FD10" i="8"/>
  <c r="FK9" i="8"/>
  <c r="FD14" i="8"/>
  <c r="FK13" i="8"/>
  <c r="FJ12" i="8"/>
  <c r="FQ11" i="8"/>
  <c r="FI10" i="8"/>
  <c r="FP9" i="8"/>
  <c r="FH14" i="8"/>
  <c r="FO13" i="8"/>
  <c r="FG10" i="8"/>
  <c r="FN9" i="8"/>
  <c r="FG14" i="8"/>
  <c r="FN13" i="8"/>
  <c r="FG12" i="8"/>
  <c r="FN11" i="8"/>
  <c r="FF10" i="8"/>
  <c r="FM9" i="8"/>
  <c r="FF8" i="8"/>
  <c r="FM7" i="8"/>
  <c r="FE14" i="8"/>
  <c r="FL13" i="8"/>
  <c r="FD12" i="8"/>
  <c r="FK11" i="8"/>
  <c r="FJ14" i="8"/>
  <c r="FQ13" i="8"/>
  <c r="FI14" i="8"/>
  <c r="FP13" i="8"/>
  <c r="FI12" i="8"/>
  <c r="FP11" i="8"/>
  <c r="FH10" i="8"/>
  <c r="FO9" i="8"/>
  <c r="FH8" i="8"/>
  <c r="FO7" i="8"/>
  <c r="FH12" i="8"/>
  <c r="FO11" i="8"/>
  <c r="FG8" i="8"/>
  <c r="FN7" i="8"/>
  <c r="FF14" i="8"/>
  <c r="FM13" i="8"/>
  <c r="FF12" i="8"/>
  <c r="FM11" i="8"/>
  <c r="FE10" i="8"/>
  <c r="FL9" i="8"/>
  <c r="FE8" i="8"/>
  <c r="FL7" i="8"/>
  <c r="FD8" i="8"/>
  <c r="FK7" i="8"/>
  <c r="FE12" i="8"/>
  <c r="FJ10" i="8"/>
  <c r="FQ9" i="8"/>
  <c r="FJ8" i="8"/>
  <c r="FQ7" i="8"/>
  <c r="AS4" i="1"/>
  <c r="AC4" i="18"/>
  <c r="AR4" i="18" s="1"/>
  <c r="S56" i="18"/>
  <c r="S57" i="18"/>
  <c r="S58" i="18"/>
  <c r="S59" i="18"/>
  <c r="S60" i="18"/>
  <c r="S61" i="18"/>
  <c r="S62" i="18"/>
  <c r="S63" i="18"/>
  <c r="S64" i="18"/>
  <c r="S42" i="18"/>
  <c r="S43" i="18"/>
  <c r="S44" i="18"/>
  <c r="S45" i="18"/>
  <c r="S46" i="18"/>
  <c r="S47" i="18"/>
  <c r="S48" i="18"/>
  <c r="S49" i="18"/>
  <c r="S50" i="18"/>
  <c r="S51" i="18"/>
  <c r="S52" i="18"/>
  <c r="S53" i="18"/>
  <c r="S29" i="18"/>
  <c r="S30" i="18"/>
  <c r="S31" i="18"/>
  <c r="S32" i="18"/>
  <c r="S33" i="18"/>
  <c r="S34" i="18"/>
  <c r="S35" i="18"/>
  <c r="S36" i="18"/>
  <c r="S37" i="18"/>
  <c r="S38" i="18"/>
  <c r="S39" i="18"/>
  <c r="S40" i="18"/>
  <c r="S28" i="18"/>
  <c r="S12" i="18"/>
  <c r="S13" i="18"/>
  <c r="S14" i="18"/>
  <c r="S15" i="18"/>
  <c r="S16" i="18"/>
  <c r="S17" i="18"/>
  <c r="S18" i="18"/>
  <c r="S19" i="18"/>
  <c r="S20" i="18"/>
  <c r="S21" i="18"/>
  <c r="S22" i="18"/>
  <c r="S24" i="18"/>
  <c r="S25" i="18"/>
  <c r="S26" i="18"/>
  <c r="S11" i="18"/>
  <c r="R57" i="18"/>
  <c r="R58" i="18"/>
  <c r="R59" i="18"/>
  <c r="R60" i="18"/>
  <c r="R61" i="18"/>
  <c r="R62" i="18"/>
  <c r="R63" i="18"/>
  <c r="R64" i="18"/>
  <c r="R56" i="18"/>
  <c r="R43" i="18"/>
  <c r="R44" i="18"/>
  <c r="R45" i="18"/>
  <c r="R46" i="18"/>
  <c r="R47" i="18"/>
  <c r="R48" i="18"/>
  <c r="R49" i="18"/>
  <c r="R50" i="18"/>
  <c r="R51" i="18"/>
  <c r="R52" i="18"/>
  <c r="R53" i="18"/>
  <c r="R42" i="18"/>
  <c r="R30" i="18"/>
  <c r="R31" i="18"/>
  <c r="R32" i="18"/>
  <c r="R33" i="18"/>
  <c r="R34" i="18"/>
  <c r="R35" i="18"/>
  <c r="R36" i="18"/>
  <c r="R37" i="18"/>
  <c r="R38" i="18"/>
  <c r="R39" i="18"/>
  <c r="R28" i="18"/>
  <c r="R12" i="18"/>
  <c r="R13" i="18"/>
  <c r="R14" i="18"/>
  <c r="R15" i="18"/>
  <c r="R16" i="18"/>
  <c r="R17" i="18"/>
  <c r="R18" i="18"/>
  <c r="R19" i="18"/>
  <c r="R20" i="18"/>
  <c r="R21" i="18"/>
  <c r="R22" i="18"/>
  <c r="R24" i="18"/>
  <c r="R25" i="18"/>
  <c r="R26" i="18"/>
  <c r="R11" i="18"/>
  <c r="C9" i="18"/>
  <c r="D9" i="18"/>
  <c r="C8" i="18"/>
  <c r="D8" i="18"/>
  <c r="C7" i="18"/>
  <c r="D7" i="18"/>
  <c r="C5" i="18"/>
  <c r="D5" i="18"/>
  <c r="FR11" i="8" l="1"/>
  <c r="S5" i="18"/>
  <c r="AS6" i="1"/>
  <c r="FR7" i="8"/>
  <c r="FR9" i="8"/>
  <c r="FR13" i="8"/>
  <c r="S9" i="18"/>
  <c r="AH9" i="18" s="1"/>
  <c r="R7" i="18"/>
  <c r="AG7" i="18" s="1"/>
  <c r="R9" i="18"/>
  <c r="AG9" i="18" s="1"/>
  <c r="AS8" i="1"/>
  <c r="R5" i="18"/>
  <c r="AG5" i="18" s="1"/>
  <c r="R8" i="18"/>
  <c r="AG8" i="18" s="1"/>
  <c r="S7" i="18"/>
  <c r="AH7" i="18" s="1"/>
  <c r="S8" i="18"/>
  <c r="AH8" i="18" s="1"/>
  <c r="AS10" i="1"/>
  <c r="AS12" i="1"/>
  <c r="AH5" i="18"/>
  <c r="FB6" i="8"/>
  <c r="FB33" i="8"/>
  <c r="FB34" i="8"/>
  <c r="FB35" i="8"/>
  <c r="FB36" i="8"/>
  <c r="FB37" i="8"/>
  <c r="FB38" i="8"/>
  <c r="FB39" i="8"/>
  <c r="FB40" i="8"/>
  <c r="FB41" i="8"/>
  <c r="FB42" i="8"/>
  <c r="FB43" i="8"/>
  <c r="FB44" i="8"/>
  <c r="FB45" i="8"/>
  <c r="FB47" i="8"/>
  <c r="FB48" i="8"/>
  <c r="FB49" i="8"/>
  <c r="FB50" i="8"/>
  <c r="FB51" i="8"/>
  <c r="FB52" i="8"/>
  <c r="FB53" i="8"/>
  <c r="FB54" i="8"/>
  <c r="FB55" i="8"/>
  <c r="FB56" i="8"/>
  <c r="FB57" i="8"/>
  <c r="FB58" i="8"/>
  <c r="FB60" i="8"/>
  <c r="FB61" i="8"/>
  <c r="FB62" i="8"/>
  <c r="FB63" i="8"/>
  <c r="FB64" i="8"/>
  <c r="FB65" i="8"/>
  <c r="FB66" i="8"/>
  <c r="FB67" i="8"/>
  <c r="FB68" i="8"/>
  <c r="FB69" i="8"/>
  <c r="FB17" i="8"/>
  <c r="FB18" i="8"/>
  <c r="FB19" i="8"/>
  <c r="FB20" i="8"/>
  <c r="FB21" i="8"/>
  <c r="FB22" i="8"/>
  <c r="FB23" i="8"/>
  <c r="FB24" i="8"/>
  <c r="FB25" i="8"/>
  <c r="FB26" i="8"/>
  <c r="FB27" i="8"/>
  <c r="FB28" i="8"/>
  <c r="FB29" i="8"/>
  <c r="FB30" i="8"/>
  <c r="FB31" i="8"/>
  <c r="FB16" i="8"/>
  <c r="EM13" i="8"/>
  <c r="EM14" i="8" s="1"/>
  <c r="EM11" i="8"/>
  <c r="EM12" i="8" s="1"/>
  <c r="EM9" i="8"/>
  <c r="EM10" i="8" s="1"/>
  <c r="EM7" i="8"/>
  <c r="EM8" i="8" s="1"/>
  <c r="ET6" i="8"/>
  <c r="ES6" i="8"/>
  <c r="ER6" i="8"/>
  <c r="EQ6" i="8"/>
  <c r="EP6" i="8"/>
  <c r="EO6" i="8"/>
  <c r="EN6" i="8"/>
  <c r="ET17" i="8"/>
  <c r="ET18" i="8"/>
  <c r="ET19" i="8"/>
  <c r="ET20" i="8"/>
  <c r="ET21" i="8"/>
  <c r="ET22" i="8"/>
  <c r="ET23" i="8"/>
  <c r="ET24" i="8"/>
  <c r="ET25" i="8"/>
  <c r="ET26" i="8"/>
  <c r="ET27" i="8"/>
  <c r="ET28" i="8"/>
  <c r="ET29" i="8"/>
  <c r="ET30" i="8"/>
  <c r="ET31" i="8"/>
  <c r="ET33" i="8"/>
  <c r="ET34" i="8"/>
  <c r="ET35" i="8"/>
  <c r="ET36" i="8"/>
  <c r="ET37" i="8"/>
  <c r="ET38" i="8"/>
  <c r="ET39" i="8"/>
  <c r="ET40" i="8"/>
  <c r="ET41" i="8"/>
  <c r="ET42" i="8"/>
  <c r="ET43" i="8"/>
  <c r="ET44" i="8"/>
  <c r="ET45" i="8"/>
  <c r="ET47" i="8"/>
  <c r="ET48" i="8"/>
  <c r="ET49" i="8"/>
  <c r="ET50" i="8"/>
  <c r="ET51" i="8"/>
  <c r="ET52" i="8"/>
  <c r="ET53" i="8"/>
  <c r="ET54" i="8"/>
  <c r="ET55" i="8"/>
  <c r="ET56" i="8"/>
  <c r="ET57" i="8"/>
  <c r="ET58" i="8"/>
  <c r="ET60" i="8"/>
  <c r="ET61" i="8"/>
  <c r="ET62" i="8"/>
  <c r="ET63" i="8"/>
  <c r="ET64" i="8"/>
  <c r="ET65" i="8"/>
  <c r="ET66" i="8"/>
  <c r="ET67" i="8"/>
  <c r="ET68" i="8"/>
  <c r="ET69" i="8"/>
  <c r="ET16" i="8"/>
  <c r="ES17" i="8"/>
  <c r="ES18" i="8"/>
  <c r="ES19" i="8"/>
  <c r="ES20" i="8"/>
  <c r="ES21" i="8"/>
  <c r="ES22" i="8"/>
  <c r="ES23" i="8"/>
  <c r="ES24" i="8"/>
  <c r="ES25" i="8"/>
  <c r="ES26" i="8"/>
  <c r="ES27" i="8"/>
  <c r="ES28" i="8"/>
  <c r="ES29" i="8"/>
  <c r="ES30" i="8"/>
  <c r="ES31" i="8"/>
  <c r="ES33" i="8"/>
  <c r="ES34" i="8"/>
  <c r="ES35" i="8"/>
  <c r="ES36" i="8"/>
  <c r="ES37" i="8"/>
  <c r="ES38" i="8"/>
  <c r="ES39" i="8"/>
  <c r="ES40" i="8"/>
  <c r="ES41" i="8"/>
  <c r="ES42" i="8"/>
  <c r="ES43" i="8"/>
  <c r="ES44" i="8"/>
  <c r="ES45" i="8"/>
  <c r="ES47" i="8"/>
  <c r="ES48" i="8"/>
  <c r="ES49" i="8"/>
  <c r="ES50" i="8"/>
  <c r="ES51" i="8"/>
  <c r="ES52" i="8"/>
  <c r="ES53" i="8"/>
  <c r="ES54" i="8"/>
  <c r="ES55" i="8"/>
  <c r="ES56" i="8"/>
  <c r="ES57" i="8"/>
  <c r="ES58" i="8"/>
  <c r="ES60" i="8"/>
  <c r="ES61" i="8"/>
  <c r="ES62" i="8"/>
  <c r="ES63" i="8"/>
  <c r="ES64" i="8"/>
  <c r="ES65" i="8"/>
  <c r="ES66" i="8"/>
  <c r="ES67" i="8"/>
  <c r="ES68" i="8"/>
  <c r="ES69" i="8"/>
  <c r="ES16" i="8"/>
  <c r="ER17" i="8"/>
  <c r="ER18" i="8"/>
  <c r="ER19" i="8"/>
  <c r="ER20" i="8"/>
  <c r="ER21" i="8"/>
  <c r="ER22" i="8"/>
  <c r="ER23" i="8"/>
  <c r="ER24" i="8"/>
  <c r="ER25" i="8"/>
  <c r="ER26" i="8"/>
  <c r="ER27" i="8"/>
  <c r="ER28" i="8"/>
  <c r="ER29" i="8"/>
  <c r="ER30" i="8"/>
  <c r="ER31" i="8"/>
  <c r="ER33" i="8"/>
  <c r="ER34" i="8"/>
  <c r="ER35" i="8"/>
  <c r="ER36" i="8"/>
  <c r="ER37" i="8"/>
  <c r="ER38" i="8"/>
  <c r="ER39" i="8"/>
  <c r="ER40" i="8"/>
  <c r="ER41" i="8"/>
  <c r="ER42" i="8"/>
  <c r="ER43" i="8"/>
  <c r="ER44" i="8"/>
  <c r="ER45" i="8"/>
  <c r="ER47" i="8"/>
  <c r="ER48" i="8"/>
  <c r="ER49" i="8"/>
  <c r="ER50" i="8"/>
  <c r="ER51" i="8"/>
  <c r="ER52" i="8"/>
  <c r="ER53" i="8"/>
  <c r="ER54" i="8"/>
  <c r="ER55" i="8"/>
  <c r="ER56" i="8"/>
  <c r="ER57" i="8"/>
  <c r="ER58" i="8"/>
  <c r="ER60" i="8"/>
  <c r="ER61" i="8"/>
  <c r="ER62" i="8"/>
  <c r="ER63" i="8"/>
  <c r="ER64" i="8"/>
  <c r="ER65" i="8"/>
  <c r="ER66" i="8"/>
  <c r="ER67" i="8"/>
  <c r="ER68" i="8"/>
  <c r="ER69" i="8"/>
  <c r="ER16" i="8"/>
  <c r="EQ17" i="8"/>
  <c r="EQ18" i="8"/>
  <c r="EQ19" i="8"/>
  <c r="EQ20" i="8"/>
  <c r="EQ21" i="8"/>
  <c r="EQ22" i="8"/>
  <c r="EQ23" i="8"/>
  <c r="EQ24" i="8"/>
  <c r="EQ25" i="8"/>
  <c r="EQ26" i="8"/>
  <c r="EQ27" i="8"/>
  <c r="EQ28" i="8"/>
  <c r="EQ29" i="8"/>
  <c r="EQ30" i="8"/>
  <c r="EQ31" i="8"/>
  <c r="EQ33" i="8"/>
  <c r="EQ34" i="8"/>
  <c r="EQ35" i="8"/>
  <c r="EQ36" i="8"/>
  <c r="EQ37" i="8"/>
  <c r="EQ38" i="8"/>
  <c r="EQ39" i="8"/>
  <c r="EQ40" i="8"/>
  <c r="EQ41" i="8"/>
  <c r="EQ42" i="8"/>
  <c r="EQ43" i="8"/>
  <c r="EQ44" i="8"/>
  <c r="EQ45" i="8"/>
  <c r="EQ47" i="8"/>
  <c r="EQ48" i="8"/>
  <c r="EQ49" i="8"/>
  <c r="EQ50" i="8"/>
  <c r="EQ51" i="8"/>
  <c r="EQ52" i="8"/>
  <c r="EQ53" i="8"/>
  <c r="EQ54" i="8"/>
  <c r="EQ55" i="8"/>
  <c r="EQ56" i="8"/>
  <c r="EQ57" i="8"/>
  <c r="EQ58" i="8"/>
  <c r="EQ60" i="8"/>
  <c r="EQ61" i="8"/>
  <c r="EQ62" i="8"/>
  <c r="EQ63" i="8"/>
  <c r="EQ64" i="8"/>
  <c r="EQ65" i="8"/>
  <c r="EQ66" i="8"/>
  <c r="EQ67" i="8"/>
  <c r="EQ68" i="8"/>
  <c r="EQ69" i="8"/>
  <c r="EQ16" i="8"/>
  <c r="EP17" i="8"/>
  <c r="EP18" i="8"/>
  <c r="EP19" i="8"/>
  <c r="EP20" i="8"/>
  <c r="EP21" i="8"/>
  <c r="EP22" i="8"/>
  <c r="EP23" i="8"/>
  <c r="EP24" i="8"/>
  <c r="EP25" i="8"/>
  <c r="EP26" i="8"/>
  <c r="EP27" i="8"/>
  <c r="EP28" i="8"/>
  <c r="EP29" i="8"/>
  <c r="EP30" i="8"/>
  <c r="EP31" i="8"/>
  <c r="EP33" i="8"/>
  <c r="EP34" i="8"/>
  <c r="EP35" i="8"/>
  <c r="EP36" i="8"/>
  <c r="EP37" i="8"/>
  <c r="EP38" i="8"/>
  <c r="EP39" i="8"/>
  <c r="EP40" i="8"/>
  <c r="EP41" i="8"/>
  <c r="EP42" i="8"/>
  <c r="EP43" i="8"/>
  <c r="EP44" i="8"/>
  <c r="EP45" i="8"/>
  <c r="EP47" i="8"/>
  <c r="EP48" i="8"/>
  <c r="EP49" i="8"/>
  <c r="EP50" i="8"/>
  <c r="EP51" i="8"/>
  <c r="EP52" i="8"/>
  <c r="EP53" i="8"/>
  <c r="EP54" i="8"/>
  <c r="EP55" i="8"/>
  <c r="EP56" i="8"/>
  <c r="EP57" i="8"/>
  <c r="EP58" i="8"/>
  <c r="EP60" i="8"/>
  <c r="EP61" i="8"/>
  <c r="EP62" i="8"/>
  <c r="EP63" i="8"/>
  <c r="EP64" i="8"/>
  <c r="EP65" i="8"/>
  <c r="EP66" i="8"/>
  <c r="EP67" i="8"/>
  <c r="EP68" i="8"/>
  <c r="EP69" i="8"/>
  <c r="EP16" i="8"/>
  <c r="EO17" i="8"/>
  <c r="EO18" i="8"/>
  <c r="EO19" i="8"/>
  <c r="EO20" i="8"/>
  <c r="EO21" i="8"/>
  <c r="EO22" i="8"/>
  <c r="EO23" i="8"/>
  <c r="EO24" i="8"/>
  <c r="EO25" i="8"/>
  <c r="EO26" i="8"/>
  <c r="EO27" i="8"/>
  <c r="EO28" i="8"/>
  <c r="EO29" i="8"/>
  <c r="EO30" i="8"/>
  <c r="EO31" i="8"/>
  <c r="EO33" i="8"/>
  <c r="EO34" i="8"/>
  <c r="EO35" i="8"/>
  <c r="EO36" i="8"/>
  <c r="EO37" i="8"/>
  <c r="EO38" i="8"/>
  <c r="EO39" i="8"/>
  <c r="EO40" i="8"/>
  <c r="EO41" i="8"/>
  <c r="EO42" i="8"/>
  <c r="EO43" i="8"/>
  <c r="EO44" i="8"/>
  <c r="EO45" i="8"/>
  <c r="EO47" i="8"/>
  <c r="EO48" i="8"/>
  <c r="EO49" i="8"/>
  <c r="EO50" i="8"/>
  <c r="EO51" i="8"/>
  <c r="EO52" i="8"/>
  <c r="EO53" i="8"/>
  <c r="EO54" i="8"/>
  <c r="EO55" i="8"/>
  <c r="EO56" i="8"/>
  <c r="EO57" i="8"/>
  <c r="EO58" i="8"/>
  <c r="EO60" i="8"/>
  <c r="EO61" i="8"/>
  <c r="EO62" i="8"/>
  <c r="EO63" i="8"/>
  <c r="EO64" i="8"/>
  <c r="EO65" i="8"/>
  <c r="EO66" i="8"/>
  <c r="EO67" i="8"/>
  <c r="EO68" i="8"/>
  <c r="EO69" i="8"/>
  <c r="EO16" i="8"/>
  <c r="EN17" i="8"/>
  <c r="EN18" i="8"/>
  <c r="EN19" i="8"/>
  <c r="EN20" i="8"/>
  <c r="EN21" i="8"/>
  <c r="EN22" i="8"/>
  <c r="EN23" i="8"/>
  <c r="EN24" i="8"/>
  <c r="EN25" i="8"/>
  <c r="EN26" i="8"/>
  <c r="EN27" i="8"/>
  <c r="EN28" i="8"/>
  <c r="EN29" i="8"/>
  <c r="EN30" i="8"/>
  <c r="EN31" i="8"/>
  <c r="EN33" i="8"/>
  <c r="EN34" i="8"/>
  <c r="EN35" i="8"/>
  <c r="EN36" i="8"/>
  <c r="EN37" i="8"/>
  <c r="EN38" i="8"/>
  <c r="EN39" i="8"/>
  <c r="EN40" i="8"/>
  <c r="EN41" i="8"/>
  <c r="EN42" i="8"/>
  <c r="EN43" i="8"/>
  <c r="EN44" i="8"/>
  <c r="EN45" i="8"/>
  <c r="EN47" i="8"/>
  <c r="EN48" i="8"/>
  <c r="EN49" i="8"/>
  <c r="EN50" i="8"/>
  <c r="EN51" i="8"/>
  <c r="EN52" i="8"/>
  <c r="EN53" i="8"/>
  <c r="EN54" i="8"/>
  <c r="EN55" i="8"/>
  <c r="EN56" i="8"/>
  <c r="EN57" i="8"/>
  <c r="EN58" i="8"/>
  <c r="EN60" i="8"/>
  <c r="EN61" i="8"/>
  <c r="EN62" i="8"/>
  <c r="EN63" i="8"/>
  <c r="EN64" i="8"/>
  <c r="EN65" i="8"/>
  <c r="EN66" i="8"/>
  <c r="EN67" i="8"/>
  <c r="EN68" i="8"/>
  <c r="EN69" i="8"/>
  <c r="S4" i="18" l="1"/>
  <c r="AH4" i="18" s="1"/>
  <c r="EP7" i="8"/>
  <c r="EP8" i="8" s="1"/>
  <c r="R4" i="18"/>
  <c r="AG4" i="18" s="1"/>
  <c r="EQ7" i="8"/>
  <c r="EX7" i="8" s="1"/>
  <c r="ET7" i="8"/>
  <c r="FA7" i="8" s="1"/>
  <c r="EQ13" i="8"/>
  <c r="EX13" i="8" s="1"/>
  <c r="EQ11" i="8"/>
  <c r="EX11" i="8" s="1"/>
  <c r="EP13" i="8"/>
  <c r="EW13" i="8" s="1"/>
  <c r="EP11" i="8"/>
  <c r="EW11" i="8" s="1"/>
  <c r="EQ9" i="8"/>
  <c r="EX9" i="8" s="1"/>
  <c r="ET13" i="8"/>
  <c r="ET14" i="8" s="1"/>
  <c r="ET11" i="8"/>
  <c r="ET12" i="8" s="1"/>
  <c r="EN11" i="8"/>
  <c r="EU11" i="8" s="1"/>
  <c r="EO13" i="8"/>
  <c r="EO14" i="8" s="1"/>
  <c r="EO11" i="8"/>
  <c r="EV11" i="8" s="1"/>
  <c r="EO7" i="8"/>
  <c r="EV7" i="8" s="1"/>
  <c r="EP9" i="8"/>
  <c r="EP10" i="8" s="1"/>
  <c r="ES13" i="8"/>
  <c r="EZ13" i="8" s="1"/>
  <c r="ES11" i="8"/>
  <c r="EZ11" i="8" s="1"/>
  <c r="ES7" i="8"/>
  <c r="ES8" i="8" s="1"/>
  <c r="ET9" i="8"/>
  <c r="ET10" i="8" s="1"/>
  <c r="EN13" i="8"/>
  <c r="EN14" i="8" s="1"/>
  <c r="EN9" i="8"/>
  <c r="EU9" i="8" s="1"/>
  <c r="EO9" i="8"/>
  <c r="EV9" i="8" s="1"/>
  <c r="ER13" i="8"/>
  <c r="ER9" i="8"/>
  <c r="EY9" i="8" s="1"/>
  <c r="ES9" i="8"/>
  <c r="ES10" i="8" s="1"/>
  <c r="ER11" i="8"/>
  <c r="ER12" i="8" s="1"/>
  <c r="ER7" i="8"/>
  <c r="ER8" i="8" s="1"/>
  <c r="EW9" i="8"/>
  <c r="EP12" i="8"/>
  <c r="EY13" i="8"/>
  <c r="ER14" i="8"/>
  <c r="EP14" i="8" l="1"/>
  <c r="EO8" i="8"/>
  <c r="EQ8" i="8"/>
  <c r="EZ7" i="8"/>
  <c r="ET8" i="8"/>
  <c r="FA9" i="8"/>
  <c r="EY11" i="8"/>
  <c r="ES12" i="8"/>
  <c r="EQ14" i="8"/>
  <c r="EU13" i="8"/>
  <c r="FA11" i="8"/>
  <c r="EQ12" i="8"/>
  <c r="EV13" i="8"/>
  <c r="EN10" i="8"/>
  <c r="EN12" i="8"/>
  <c r="EW7" i="8"/>
  <c r="FA13" i="8"/>
  <c r="EQ10" i="8"/>
  <c r="ER10" i="8"/>
  <c r="EO12" i="8"/>
  <c r="EO10" i="8"/>
  <c r="ES14" i="8"/>
  <c r="EZ9" i="8"/>
  <c r="FB9" i="8" s="1"/>
  <c r="EY7" i="8"/>
  <c r="AR63" i="16"/>
  <c r="AR62" i="16"/>
  <c r="AR61" i="16"/>
  <c r="AR60" i="16"/>
  <c r="AR59" i="16"/>
  <c r="AR58" i="16"/>
  <c r="AR57" i="16"/>
  <c r="AR56" i="16"/>
  <c r="AR55" i="16"/>
  <c r="AR54" i="16"/>
  <c r="AR51" i="16"/>
  <c r="AR50" i="16"/>
  <c r="AR49" i="16"/>
  <c r="AR48" i="16"/>
  <c r="AR47" i="16"/>
  <c r="AR46" i="16"/>
  <c r="AR45" i="16"/>
  <c r="AR44" i="16"/>
  <c r="AR43" i="16"/>
  <c r="AR42" i="16"/>
  <c r="AR41" i="16"/>
  <c r="AR40" i="16"/>
  <c r="AR37" i="16"/>
  <c r="AR36" i="16"/>
  <c r="AR35" i="16"/>
  <c r="AR34" i="16"/>
  <c r="AR33" i="16"/>
  <c r="AR32" i="16"/>
  <c r="AR31" i="16"/>
  <c r="AR30" i="16"/>
  <c r="AR29" i="16"/>
  <c r="AR28" i="16"/>
  <c r="AR27" i="16"/>
  <c r="AR26" i="16"/>
  <c r="AR25" i="16"/>
  <c r="AR22" i="16"/>
  <c r="AR21" i="16"/>
  <c r="AR20" i="16"/>
  <c r="AR19" i="16"/>
  <c r="AR18" i="16"/>
  <c r="AR17" i="16"/>
  <c r="AR16" i="16"/>
  <c r="AR15" i="16"/>
  <c r="AR14" i="16"/>
  <c r="AR13" i="16"/>
  <c r="AR12" i="16"/>
  <c r="AR11" i="16"/>
  <c r="AR10" i="16"/>
  <c r="AR9" i="16"/>
  <c r="AR8" i="16"/>
  <c r="AR7" i="16"/>
  <c r="AP63" i="16"/>
  <c r="AP62" i="16"/>
  <c r="AP61" i="16"/>
  <c r="AP60" i="16"/>
  <c r="AP59" i="16"/>
  <c r="AP58" i="16"/>
  <c r="AP57" i="16"/>
  <c r="AP56" i="16"/>
  <c r="AP55" i="16"/>
  <c r="AP54" i="16"/>
  <c r="AP51" i="16"/>
  <c r="AP50" i="16"/>
  <c r="AP49" i="16"/>
  <c r="AP48" i="16"/>
  <c r="AP47" i="16"/>
  <c r="AP46" i="16"/>
  <c r="AP45" i="16"/>
  <c r="AP44" i="16"/>
  <c r="AP43" i="16"/>
  <c r="AP42" i="16"/>
  <c r="AP41" i="16"/>
  <c r="AP40" i="16"/>
  <c r="AP37" i="16"/>
  <c r="AP36" i="16"/>
  <c r="AP35" i="16"/>
  <c r="AP34" i="16"/>
  <c r="AP33" i="16"/>
  <c r="AP32" i="16"/>
  <c r="AP31" i="16"/>
  <c r="AP30" i="16"/>
  <c r="AP29" i="16"/>
  <c r="AP28" i="16"/>
  <c r="AP27" i="16"/>
  <c r="AP26" i="16"/>
  <c r="AP25" i="16"/>
  <c r="AP22" i="16"/>
  <c r="AP21" i="16"/>
  <c r="AP20" i="16"/>
  <c r="AP19" i="16"/>
  <c r="AP18" i="16"/>
  <c r="AP17" i="16"/>
  <c r="AP16" i="16"/>
  <c r="AP15" i="16"/>
  <c r="AP14" i="16"/>
  <c r="AP13" i="16"/>
  <c r="AP12" i="16"/>
  <c r="AP11" i="16"/>
  <c r="AP10" i="16"/>
  <c r="AP9" i="16"/>
  <c r="AP8" i="16"/>
  <c r="AP7" i="16"/>
  <c r="FB11" i="8" l="1"/>
  <c r="FB13" i="8"/>
  <c r="FB7" i="8"/>
  <c r="AR23" i="16"/>
  <c r="AR38" i="16"/>
  <c r="AP52" i="16"/>
  <c r="AR5" i="16"/>
  <c r="AR52" i="16"/>
  <c r="AP23" i="16"/>
  <c r="AP38" i="16"/>
  <c r="AP5" i="16"/>
  <c r="BG5" i="1"/>
  <c r="G10" i="2" s="1"/>
  <c r="BG7" i="1"/>
  <c r="G28" i="2" s="1"/>
  <c r="BG9" i="1"/>
  <c r="G43" i="2" s="1"/>
  <c r="BG11" i="1"/>
  <c r="G57" i="2" s="1"/>
  <c r="AR63" i="15"/>
  <c r="AQ63" i="16" s="1"/>
  <c r="AR62" i="15"/>
  <c r="AQ62" i="16" s="1"/>
  <c r="AR61" i="15"/>
  <c r="AQ61" i="16" s="1"/>
  <c r="AR60" i="15"/>
  <c r="AQ60" i="16" s="1"/>
  <c r="AR59" i="15"/>
  <c r="AQ59" i="16" s="1"/>
  <c r="AR58" i="15"/>
  <c r="AQ58" i="16" s="1"/>
  <c r="AR57" i="15"/>
  <c r="AQ57" i="16" s="1"/>
  <c r="AR56" i="15"/>
  <c r="AQ56" i="16" s="1"/>
  <c r="AR55" i="15"/>
  <c r="AQ55" i="16" s="1"/>
  <c r="AR54" i="15"/>
  <c r="AQ54" i="16" s="1"/>
  <c r="AR51" i="15"/>
  <c r="AQ51" i="16" s="1"/>
  <c r="AR50" i="15"/>
  <c r="AQ50" i="16" s="1"/>
  <c r="AR49" i="15"/>
  <c r="AQ49" i="16" s="1"/>
  <c r="AR48" i="15"/>
  <c r="AQ48" i="16" s="1"/>
  <c r="AR47" i="15"/>
  <c r="AQ47" i="16" s="1"/>
  <c r="AR46" i="15"/>
  <c r="AQ46" i="16" s="1"/>
  <c r="AR45" i="15"/>
  <c r="AQ45" i="16" s="1"/>
  <c r="AR44" i="15"/>
  <c r="AQ44" i="16" s="1"/>
  <c r="AR43" i="15"/>
  <c r="AQ43" i="16" s="1"/>
  <c r="AR42" i="15"/>
  <c r="AQ42" i="16" s="1"/>
  <c r="AR41" i="15"/>
  <c r="AQ41" i="16" s="1"/>
  <c r="AR40" i="15"/>
  <c r="AQ40" i="16" s="1"/>
  <c r="AR37" i="15"/>
  <c r="AQ37" i="16" s="1"/>
  <c r="AR36" i="15"/>
  <c r="AQ36" i="16" s="1"/>
  <c r="AR35" i="15"/>
  <c r="AQ35" i="16" s="1"/>
  <c r="AR34" i="15"/>
  <c r="AQ34" i="16" s="1"/>
  <c r="AR33" i="15"/>
  <c r="AQ33" i="16" s="1"/>
  <c r="AR32" i="15"/>
  <c r="AQ32" i="16" s="1"/>
  <c r="AR31" i="15"/>
  <c r="AQ31" i="16" s="1"/>
  <c r="AR30" i="15"/>
  <c r="AQ30" i="16" s="1"/>
  <c r="AR29" i="15"/>
  <c r="AQ29" i="16" s="1"/>
  <c r="AR28" i="15"/>
  <c r="AQ28" i="16" s="1"/>
  <c r="AR27" i="15"/>
  <c r="AQ27" i="16" s="1"/>
  <c r="AR26" i="15"/>
  <c r="AQ26" i="16" s="1"/>
  <c r="AR25" i="15"/>
  <c r="AQ25" i="16" s="1"/>
  <c r="AR22" i="15"/>
  <c r="AQ22" i="16" s="1"/>
  <c r="AR21" i="15"/>
  <c r="AQ21" i="16" s="1"/>
  <c r="AR20" i="15"/>
  <c r="AQ20" i="16" s="1"/>
  <c r="AR19" i="15"/>
  <c r="AQ19" i="16" s="1"/>
  <c r="AR18" i="15"/>
  <c r="AQ18" i="16" s="1"/>
  <c r="AR17" i="15"/>
  <c r="AQ17" i="16" s="1"/>
  <c r="AR16" i="15"/>
  <c r="AQ16" i="16" s="1"/>
  <c r="AR15" i="15"/>
  <c r="AQ15" i="16" s="1"/>
  <c r="AR14" i="15"/>
  <c r="AQ14" i="16" s="1"/>
  <c r="AR13" i="15"/>
  <c r="AQ13" i="16" s="1"/>
  <c r="AR12" i="15"/>
  <c r="AQ12" i="16" s="1"/>
  <c r="AR11" i="15"/>
  <c r="AQ11" i="16" s="1"/>
  <c r="AR10" i="15"/>
  <c r="AQ10" i="16" s="1"/>
  <c r="AR9" i="15"/>
  <c r="AQ9" i="16" s="1"/>
  <c r="AR8" i="15"/>
  <c r="AQ8" i="16" s="1"/>
  <c r="AR7" i="15"/>
  <c r="AQ7" i="16" s="1"/>
  <c r="AQ52" i="15"/>
  <c r="AQ38" i="15"/>
  <c r="AQ23" i="15"/>
  <c r="AQ5" i="15"/>
  <c r="AP4" i="16" l="1"/>
  <c r="AP39" i="16" s="1"/>
  <c r="BG4" i="1"/>
  <c r="AR4" i="16"/>
  <c r="AR6" i="16" s="1"/>
  <c r="AQ38" i="16"/>
  <c r="AQ5" i="16"/>
  <c r="AQ23" i="16"/>
  <c r="AQ52" i="16"/>
  <c r="AQ4" i="15"/>
  <c r="AQ6" i="15" s="1"/>
  <c r="AS52" i="15"/>
  <c r="AR52" i="15"/>
  <c r="AS38" i="15"/>
  <c r="AR38" i="15"/>
  <c r="AS23" i="15"/>
  <c r="AR23" i="15"/>
  <c r="AS5" i="15"/>
  <c r="AR5" i="15"/>
  <c r="BG6" i="1" l="1"/>
  <c r="G9" i="2"/>
  <c r="AQ39" i="15"/>
  <c r="AQ53" i="15"/>
  <c r="AP6" i="16"/>
  <c r="AP24" i="16"/>
  <c r="AP53" i="16"/>
  <c r="AS4" i="15"/>
  <c r="AS53" i="15" s="1"/>
  <c r="AR39" i="16"/>
  <c r="AR53" i="16"/>
  <c r="BG8" i="1"/>
  <c r="AR24" i="16"/>
  <c r="BG10" i="1"/>
  <c r="BG12" i="1"/>
  <c r="AS39" i="15"/>
  <c r="AQ4" i="16"/>
  <c r="AQ39" i="16" s="1"/>
  <c r="AS6" i="15"/>
  <c r="AR4" i="15"/>
  <c r="AR6" i="15" s="1"/>
  <c r="AQ24" i="15"/>
  <c r="AV5" i="1"/>
  <c r="AV7" i="1"/>
  <c r="AV9" i="1"/>
  <c r="AV11" i="1"/>
  <c r="AB5" i="18"/>
  <c r="AB7" i="18"/>
  <c r="AB8" i="18"/>
  <c r="AB9" i="18"/>
  <c r="M5" i="18"/>
  <c r="M7" i="18"/>
  <c r="M8" i="18"/>
  <c r="M9" i="18"/>
  <c r="AR5" i="1"/>
  <c r="AR7" i="1"/>
  <c r="AR9" i="1"/>
  <c r="AR11" i="1"/>
  <c r="AS24" i="15" l="1"/>
  <c r="AQ9" i="18"/>
  <c r="AQ8" i="18"/>
  <c r="AQ7" i="18"/>
  <c r="AB4" i="18"/>
  <c r="AQ5" i="18"/>
  <c r="AR53" i="15"/>
  <c r="AR39" i="15"/>
  <c r="AQ24" i="16"/>
  <c r="AQ6" i="16"/>
  <c r="AQ53" i="16"/>
  <c r="AR24" i="15"/>
  <c r="AV4" i="1"/>
  <c r="AV10" i="1" s="1"/>
  <c r="AR4" i="1"/>
  <c r="M4" i="18"/>
  <c r="AQ4" i="18" l="1"/>
  <c r="AR6" i="1"/>
  <c r="AV8" i="1"/>
  <c r="AV6" i="1"/>
  <c r="AV12" i="1"/>
  <c r="AR12" i="1"/>
  <c r="AR10" i="1"/>
  <c r="AR8" i="1"/>
  <c r="AA9" i="18"/>
  <c r="AA8" i="18"/>
  <c r="AA7" i="18"/>
  <c r="AA5" i="18"/>
  <c r="L9" i="18"/>
  <c r="L8" i="18"/>
  <c r="L7" i="18"/>
  <c r="L5" i="18"/>
  <c r="AP9" i="18" l="1"/>
  <c r="AP5" i="18"/>
  <c r="AP7" i="18"/>
  <c r="AP8" i="18"/>
  <c r="AA4" i="18"/>
  <c r="L4" i="18"/>
  <c r="CP13" i="8"/>
  <c r="CO13" i="8"/>
  <c r="CN13" i="8"/>
  <c r="CM13" i="8"/>
  <c r="CL13" i="8"/>
  <c r="CK13" i="8"/>
  <c r="CD13" i="8"/>
  <c r="CC13" i="8"/>
  <c r="CB13" i="8"/>
  <c r="CA13" i="8"/>
  <c r="BZ13" i="8"/>
  <c r="BY13" i="8"/>
  <c r="BW13" i="8"/>
  <c r="BV13" i="8"/>
  <c r="BU13" i="8"/>
  <c r="BT13" i="8"/>
  <c r="BS13" i="8"/>
  <c r="BQ13" i="8"/>
  <c r="BP13" i="8"/>
  <c r="BO13" i="8"/>
  <c r="BN13" i="8"/>
  <c r="BM13" i="8"/>
  <c r="BK13" i="8"/>
  <c r="BJ13" i="8"/>
  <c r="BI13" i="8"/>
  <c r="BH13" i="8"/>
  <c r="BG13" i="8"/>
  <c r="BE13" i="8"/>
  <c r="BD13" i="8"/>
  <c r="BC13" i="8"/>
  <c r="BB13" i="8"/>
  <c r="BA13" i="8"/>
  <c r="AY13" i="8"/>
  <c r="AX13" i="8"/>
  <c r="AW13" i="8"/>
  <c r="AV13" i="8"/>
  <c r="AU13" i="8"/>
  <c r="AS13" i="8"/>
  <c r="AR13" i="8"/>
  <c r="AQ13" i="8"/>
  <c r="AP13" i="8"/>
  <c r="AO13" i="8"/>
  <c r="AI13" i="8"/>
  <c r="AH13" i="8"/>
  <c r="AG13" i="8"/>
  <c r="AF13" i="8"/>
  <c r="AE13" i="8"/>
  <c r="AC13" i="8"/>
  <c r="AB13" i="8"/>
  <c r="AA13" i="8"/>
  <c r="Z13" i="8"/>
  <c r="Y13" i="8"/>
  <c r="W13" i="8"/>
  <c r="V13" i="8"/>
  <c r="U13" i="8"/>
  <c r="T13" i="8"/>
  <c r="S13" i="8"/>
  <c r="R13" i="8"/>
  <c r="L13" i="8"/>
  <c r="K13" i="8"/>
  <c r="J13" i="8"/>
  <c r="I13" i="8"/>
  <c r="H13" i="8"/>
  <c r="CP11" i="8"/>
  <c r="CO11" i="8"/>
  <c r="CN11" i="8"/>
  <c r="CM11" i="8"/>
  <c r="CL11" i="8"/>
  <c r="CK11" i="8"/>
  <c r="CD11" i="8"/>
  <c r="CC11" i="8"/>
  <c r="CB11" i="8"/>
  <c r="CA11" i="8"/>
  <c r="BZ11" i="8"/>
  <c r="BY11" i="8"/>
  <c r="BW11" i="8"/>
  <c r="BV11" i="8"/>
  <c r="BU11" i="8"/>
  <c r="BT11" i="8"/>
  <c r="BS11" i="8"/>
  <c r="BQ11" i="8"/>
  <c r="BP11" i="8"/>
  <c r="BO11" i="8"/>
  <c r="BN11" i="8"/>
  <c r="BM11" i="8"/>
  <c r="BK11" i="8"/>
  <c r="BJ11" i="8"/>
  <c r="BI11" i="8"/>
  <c r="BH11" i="8"/>
  <c r="BG11" i="8"/>
  <c r="BE11" i="8"/>
  <c r="BD11" i="8"/>
  <c r="BC11" i="8"/>
  <c r="BB11" i="8"/>
  <c r="BA11" i="8"/>
  <c r="AY11" i="8"/>
  <c r="AX11" i="8"/>
  <c r="AW11" i="8"/>
  <c r="AV11" i="8"/>
  <c r="AU11" i="8"/>
  <c r="AS11" i="8"/>
  <c r="AR11" i="8"/>
  <c r="AQ11" i="8"/>
  <c r="AP11" i="8"/>
  <c r="AO11" i="8"/>
  <c r="AI11" i="8"/>
  <c r="AH11" i="8"/>
  <c r="AG11" i="8"/>
  <c r="AF11" i="8"/>
  <c r="AE11" i="8"/>
  <c r="AC11" i="8"/>
  <c r="AB11" i="8"/>
  <c r="AA11" i="8"/>
  <c r="Z11" i="8"/>
  <c r="Y11" i="8"/>
  <c r="W11" i="8"/>
  <c r="V11" i="8"/>
  <c r="U11" i="8"/>
  <c r="T11" i="8"/>
  <c r="S11" i="8"/>
  <c r="R11" i="8"/>
  <c r="L11" i="8"/>
  <c r="K11" i="8"/>
  <c r="J11" i="8"/>
  <c r="I11" i="8"/>
  <c r="H11" i="8"/>
  <c r="CP9" i="8"/>
  <c r="CO9" i="8"/>
  <c r="CN9" i="8"/>
  <c r="CM9" i="8"/>
  <c r="CL9" i="8"/>
  <c r="CK9" i="8"/>
  <c r="CD9" i="8"/>
  <c r="CC9" i="8"/>
  <c r="CB9" i="8"/>
  <c r="CA9" i="8"/>
  <c r="BZ9" i="8"/>
  <c r="BY9" i="8"/>
  <c r="BW9" i="8"/>
  <c r="BV9" i="8"/>
  <c r="BU9" i="8"/>
  <c r="BT9" i="8"/>
  <c r="BS9" i="8"/>
  <c r="BQ9" i="8"/>
  <c r="BP9" i="8"/>
  <c r="BO9" i="8"/>
  <c r="BN9" i="8"/>
  <c r="BM9" i="8"/>
  <c r="BK9" i="8"/>
  <c r="BJ9" i="8"/>
  <c r="BI9" i="8"/>
  <c r="BH9" i="8"/>
  <c r="BG9" i="8"/>
  <c r="BE9" i="8"/>
  <c r="BD9" i="8"/>
  <c r="BC9" i="8"/>
  <c r="BB9" i="8"/>
  <c r="BA9" i="8"/>
  <c r="AY9" i="8"/>
  <c r="AX9" i="8"/>
  <c r="AW9" i="8"/>
  <c r="AV9" i="8"/>
  <c r="AU9" i="8"/>
  <c r="AS9" i="8"/>
  <c r="AR9" i="8"/>
  <c r="AQ9" i="8"/>
  <c r="AP9" i="8"/>
  <c r="AO9" i="8"/>
  <c r="AI9" i="8"/>
  <c r="AH9" i="8"/>
  <c r="AG9" i="8"/>
  <c r="AF9" i="8"/>
  <c r="AE9" i="8"/>
  <c r="AC9" i="8"/>
  <c r="AB9" i="8"/>
  <c r="AA9" i="8"/>
  <c r="Z9" i="8"/>
  <c r="Y9" i="8"/>
  <c r="W9" i="8"/>
  <c r="V9" i="8"/>
  <c r="U9" i="8"/>
  <c r="T9" i="8"/>
  <c r="S9" i="8"/>
  <c r="R9" i="8"/>
  <c r="L9" i="8"/>
  <c r="K9" i="8"/>
  <c r="J9" i="8"/>
  <c r="I9" i="8"/>
  <c r="H9" i="8"/>
  <c r="CP7" i="8"/>
  <c r="CO7" i="8"/>
  <c r="CN7" i="8"/>
  <c r="CM7" i="8"/>
  <c r="CL7" i="8"/>
  <c r="CK7" i="8"/>
  <c r="CD7" i="8"/>
  <c r="CC7" i="8"/>
  <c r="CB7" i="8"/>
  <c r="CA7" i="8"/>
  <c r="BZ7" i="8"/>
  <c r="BY7" i="8"/>
  <c r="BW7" i="8"/>
  <c r="BV7" i="8"/>
  <c r="BU7" i="8"/>
  <c r="BT7" i="8"/>
  <c r="BS7" i="8"/>
  <c r="BQ7" i="8"/>
  <c r="BP7" i="8"/>
  <c r="BO7" i="8"/>
  <c r="BN7" i="8"/>
  <c r="BM7" i="8"/>
  <c r="BK7" i="8"/>
  <c r="BJ7" i="8"/>
  <c r="BI7" i="8"/>
  <c r="BH7" i="8"/>
  <c r="BG7" i="8"/>
  <c r="BE7" i="8"/>
  <c r="BD7" i="8"/>
  <c r="BC7" i="8"/>
  <c r="BB7" i="8"/>
  <c r="BA7" i="8"/>
  <c r="AY7" i="8"/>
  <c r="AX7" i="8"/>
  <c r="AW7" i="8"/>
  <c r="AV7" i="8"/>
  <c r="AU7" i="8"/>
  <c r="AS7" i="8"/>
  <c r="AR7" i="8"/>
  <c r="AQ7" i="8"/>
  <c r="AP7" i="8"/>
  <c r="AO7" i="8"/>
  <c r="AI7" i="8"/>
  <c r="AH7" i="8"/>
  <c r="AG7" i="8"/>
  <c r="AF7" i="8"/>
  <c r="AE7" i="8"/>
  <c r="AC7" i="8"/>
  <c r="AB7" i="8"/>
  <c r="AA7" i="8"/>
  <c r="Z7" i="8"/>
  <c r="Y7" i="8"/>
  <c r="W7" i="8"/>
  <c r="V7" i="8"/>
  <c r="U7" i="8"/>
  <c r="T7" i="8"/>
  <c r="S7" i="8"/>
  <c r="R7" i="8"/>
  <c r="L7" i="8"/>
  <c r="K7" i="8"/>
  <c r="J7" i="8"/>
  <c r="I7" i="8"/>
  <c r="H7" i="8"/>
  <c r="F7" i="8"/>
  <c r="B7" i="8"/>
  <c r="EJ69" i="8"/>
  <c r="EI69" i="8"/>
  <c r="EH69" i="8"/>
  <c r="EG69" i="8"/>
  <c r="EF69" i="8"/>
  <c r="EK68" i="8"/>
  <c r="EJ68" i="8"/>
  <c r="EI68" i="8"/>
  <c r="EH68" i="8"/>
  <c r="EG68" i="8"/>
  <c r="EF68" i="8"/>
  <c r="EJ67" i="8"/>
  <c r="EI67" i="8"/>
  <c r="EH67" i="8"/>
  <c r="EG67" i="8"/>
  <c r="EF67" i="8"/>
  <c r="EJ66" i="8"/>
  <c r="EI66" i="8"/>
  <c r="EH66" i="8"/>
  <c r="EG66" i="8"/>
  <c r="EF66" i="8"/>
  <c r="EJ65" i="8"/>
  <c r="EI65" i="8"/>
  <c r="EH65" i="8"/>
  <c r="EG65" i="8"/>
  <c r="EF65" i="8"/>
  <c r="EK64" i="8"/>
  <c r="EJ64" i="8"/>
  <c r="EI64" i="8"/>
  <c r="EH64" i="8"/>
  <c r="EG64" i="8"/>
  <c r="EF64" i="8"/>
  <c r="EJ63" i="8"/>
  <c r="EI63" i="8"/>
  <c r="EH63" i="8"/>
  <c r="EG63" i="8"/>
  <c r="EF63" i="8"/>
  <c r="EK62" i="8"/>
  <c r="EJ62" i="8"/>
  <c r="EI62" i="8"/>
  <c r="EH62" i="8"/>
  <c r="EG62" i="8"/>
  <c r="EF62" i="8"/>
  <c r="EJ61" i="8"/>
  <c r="EI61" i="8"/>
  <c r="EH61" i="8"/>
  <c r="EG61" i="8"/>
  <c r="EF61" i="8"/>
  <c r="EJ60" i="8"/>
  <c r="EI60" i="8"/>
  <c r="EH60" i="8"/>
  <c r="EG60" i="8"/>
  <c r="EF60" i="8"/>
  <c r="EJ58" i="8"/>
  <c r="EI58" i="8"/>
  <c r="EH58" i="8"/>
  <c r="EG58" i="8"/>
  <c r="EF58" i="8"/>
  <c r="EJ57" i="8"/>
  <c r="EI57" i="8"/>
  <c r="EH57" i="8"/>
  <c r="EG57" i="8"/>
  <c r="EF57" i="8"/>
  <c r="EJ56" i="8"/>
  <c r="EI56" i="8"/>
  <c r="EH56" i="8"/>
  <c r="EG56" i="8"/>
  <c r="EF56" i="8"/>
  <c r="EJ55" i="8"/>
  <c r="EI55" i="8"/>
  <c r="EH55" i="8"/>
  <c r="EG55" i="8"/>
  <c r="EF55" i="8"/>
  <c r="EJ54" i="8"/>
  <c r="EI54" i="8"/>
  <c r="EH54" i="8"/>
  <c r="EG54" i="8"/>
  <c r="EF54" i="8"/>
  <c r="EJ53" i="8"/>
  <c r="EI53" i="8"/>
  <c r="EH53" i="8"/>
  <c r="EG53" i="8"/>
  <c r="EF53" i="8"/>
  <c r="EJ52" i="8"/>
  <c r="EI52" i="8"/>
  <c r="EH52" i="8"/>
  <c r="EG52" i="8"/>
  <c r="EF52" i="8"/>
  <c r="EJ51" i="8"/>
  <c r="EI51" i="8"/>
  <c r="EH51" i="8"/>
  <c r="EG51" i="8"/>
  <c r="EF51" i="8"/>
  <c r="EJ50" i="8"/>
  <c r="EI50" i="8"/>
  <c r="EH50" i="8"/>
  <c r="EG50" i="8"/>
  <c r="EF50" i="8"/>
  <c r="EJ49" i="8"/>
  <c r="EI49" i="8"/>
  <c r="EH49" i="8"/>
  <c r="EG49" i="8"/>
  <c r="EF49" i="8"/>
  <c r="EJ48" i="8"/>
  <c r="EI48" i="8"/>
  <c r="EH48" i="8"/>
  <c r="EG48" i="8"/>
  <c r="EF48" i="8"/>
  <c r="EJ47" i="8"/>
  <c r="EI47" i="8"/>
  <c r="EH47" i="8"/>
  <c r="EG47" i="8"/>
  <c r="EF47" i="8"/>
  <c r="EJ45" i="8"/>
  <c r="EI45" i="8"/>
  <c r="EH45" i="8"/>
  <c r="EG45" i="8"/>
  <c r="EF45" i="8"/>
  <c r="EJ44" i="8"/>
  <c r="EI44" i="8"/>
  <c r="EH44" i="8"/>
  <c r="EG44" i="8"/>
  <c r="EF44" i="8"/>
  <c r="EJ43" i="8"/>
  <c r="EI43" i="8"/>
  <c r="EH43" i="8"/>
  <c r="EG43" i="8"/>
  <c r="EF43" i="8"/>
  <c r="EJ42" i="8"/>
  <c r="EI42" i="8"/>
  <c r="EH42" i="8"/>
  <c r="EG42" i="8"/>
  <c r="EF42" i="8"/>
  <c r="EJ41" i="8"/>
  <c r="EI41" i="8"/>
  <c r="EH41" i="8"/>
  <c r="EG41" i="8"/>
  <c r="EF41" i="8"/>
  <c r="EJ40" i="8"/>
  <c r="EI40" i="8"/>
  <c r="EH40" i="8"/>
  <c r="EG40" i="8"/>
  <c r="EF40" i="8"/>
  <c r="EJ39" i="8"/>
  <c r="EI39" i="8"/>
  <c r="EH39" i="8"/>
  <c r="EG39" i="8"/>
  <c r="EF39" i="8"/>
  <c r="EJ38" i="8"/>
  <c r="EI38" i="8"/>
  <c r="EH38" i="8"/>
  <c r="EG38" i="8"/>
  <c r="EF38" i="8"/>
  <c r="EJ37" i="8"/>
  <c r="EI37" i="8"/>
  <c r="EH37" i="8"/>
  <c r="EG37" i="8"/>
  <c r="EF37" i="8"/>
  <c r="EJ36" i="8"/>
  <c r="EI36" i="8"/>
  <c r="EH36" i="8"/>
  <c r="EG36" i="8"/>
  <c r="EF36" i="8"/>
  <c r="EK35" i="8"/>
  <c r="EJ35" i="8"/>
  <c r="EI35" i="8"/>
  <c r="EH35" i="8"/>
  <c r="EG35" i="8"/>
  <c r="EF35" i="8"/>
  <c r="EJ34" i="8"/>
  <c r="EI34" i="8"/>
  <c r="EH34" i="8"/>
  <c r="EG34" i="8"/>
  <c r="EF34" i="8"/>
  <c r="EK33" i="8"/>
  <c r="EJ33" i="8"/>
  <c r="EI33" i="8"/>
  <c r="EH33" i="8"/>
  <c r="EG33" i="8"/>
  <c r="EF33" i="8"/>
  <c r="EJ31" i="8"/>
  <c r="EI31" i="8"/>
  <c r="EH31" i="8"/>
  <c r="EG31" i="8"/>
  <c r="EF31" i="8"/>
  <c r="EJ30" i="8"/>
  <c r="EI30" i="8"/>
  <c r="EH30" i="8"/>
  <c r="EG30" i="8"/>
  <c r="EF30" i="8"/>
  <c r="EJ29" i="8"/>
  <c r="EI29" i="8"/>
  <c r="EH29" i="8"/>
  <c r="EG29" i="8"/>
  <c r="EF29" i="8"/>
  <c r="EJ28" i="8"/>
  <c r="EI28" i="8"/>
  <c r="EH28" i="8"/>
  <c r="EG28" i="8"/>
  <c r="EF28" i="8"/>
  <c r="EJ27" i="8"/>
  <c r="EI27" i="8"/>
  <c r="EH27" i="8"/>
  <c r="EG27" i="8"/>
  <c r="EF27" i="8"/>
  <c r="EJ26" i="8"/>
  <c r="EI26" i="8"/>
  <c r="EH26" i="8"/>
  <c r="EG26" i="8"/>
  <c r="EF26" i="8"/>
  <c r="EJ25" i="8"/>
  <c r="EI25" i="8"/>
  <c r="EH25" i="8"/>
  <c r="EG25" i="8"/>
  <c r="EF25" i="8"/>
  <c r="EJ24" i="8"/>
  <c r="EI24" i="8"/>
  <c r="EH24" i="8"/>
  <c r="EG24" i="8"/>
  <c r="EF24" i="8"/>
  <c r="EJ23" i="8"/>
  <c r="EI23" i="8"/>
  <c r="EH23" i="8"/>
  <c r="EG23" i="8"/>
  <c r="EF23" i="8"/>
  <c r="EJ22" i="8"/>
  <c r="EI22" i="8"/>
  <c r="EH22" i="8"/>
  <c r="EG22" i="8"/>
  <c r="EF22" i="8"/>
  <c r="EJ21" i="8"/>
  <c r="EI21" i="8"/>
  <c r="EH21" i="8"/>
  <c r="EG21" i="8"/>
  <c r="EF21" i="8"/>
  <c r="EJ20" i="8"/>
  <c r="EI20" i="8"/>
  <c r="EH20" i="8"/>
  <c r="EG20" i="8"/>
  <c r="EF20" i="8"/>
  <c r="EJ19" i="8"/>
  <c r="EI19" i="8"/>
  <c r="EH19" i="8"/>
  <c r="EG19" i="8"/>
  <c r="EF19" i="8"/>
  <c r="EJ18" i="8"/>
  <c r="EI18" i="8"/>
  <c r="EH18" i="8"/>
  <c r="EG18" i="8"/>
  <c r="EF18" i="8"/>
  <c r="EJ17" i="8"/>
  <c r="EI17" i="8"/>
  <c r="EH17" i="8"/>
  <c r="EG17" i="8"/>
  <c r="EF17" i="8"/>
  <c r="EJ16" i="8"/>
  <c r="EI16" i="8"/>
  <c r="EH16" i="8"/>
  <c r="EG16" i="8"/>
  <c r="EF16" i="8"/>
  <c r="EE13" i="8"/>
  <c r="ED13" i="8"/>
  <c r="EC13" i="8"/>
  <c r="EB13" i="8"/>
  <c r="EA13" i="8"/>
  <c r="DZ13" i="8"/>
  <c r="DY13" i="8"/>
  <c r="EE11" i="8"/>
  <c r="ED11" i="8"/>
  <c r="EC11" i="8"/>
  <c r="EB11" i="8"/>
  <c r="EA11" i="8"/>
  <c r="DZ11" i="8"/>
  <c r="DY11" i="8"/>
  <c r="EE9" i="8"/>
  <c r="ED9" i="8"/>
  <c r="EC9" i="8"/>
  <c r="EB9" i="8"/>
  <c r="EA9" i="8"/>
  <c r="DZ9" i="8"/>
  <c r="DY9" i="8"/>
  <c r="EE7" i="8"/>
  <c r="ED7" i="8"/>
  <c r="EC7" i="8"/>
  <c r="EB7" i="8"/>
  <c r="EA7" i="8"/>
  <c r="DZ7" i="8"/>
  <c r="DY7" i="8"/>
  <c r="AX11" i="1"/>
  <c r="AX9" i="1"/>
  <c r="AX7" i="1"/>
  <c r="AX5" i="1"/>
  <c r="EL23" i="8" l="1"/>
  <c r="EL31" i="8"/>
  <c r="EK13" i="8"/>
  <c r="EF11" i="8"/>
  <c r="EG11" i="8"/>
  <c r="EH11" i="8"/>
  <c r="EI11" i="8"/>
  <c r="EL69" i="8"/>
  <c r="EL51" i="8"/>
  <c r="EH9" i="8"/>
  <c r="EJ9" i="8"/>
  <c r="EL45" i="8"/>
  <c r="EL54" i="8"/>
  <c r="EL57" i="8"/>
  <c r="EL35" i="8"/>
  <c r="EH13" i="8"/>
  <c r="EF13" i="8"/>
  <c r="EK9" i="8"/>
  <c r="EG13" i="8"/>
  <c r="EL18" i="8"/>
  <c r="EL26" i="8"/>
  <c r="EL41" i="8"/>
  <c r="EL50" i="8"/>
  <c r="EL58" i="8"/>
  <c r="EL65" i="8"/>
  <c r="EL43" i="8"/>
  <c r="EL52" i="8"/>
  <c r="EG7" i="8"/>
  <c r="EJ11" i="8"/>
  <c r="EF7" i="8"/>
  <c r="EI7" i="8"/>
  <c r="EG9" i="8"/>
  <c r="EJ13" i="8"/>
  <c r="EL16" i="8"/>
  <c r="EL24" i="8"/>
  <c r="EL33" i="8"/>
  <c r="EI13" i="8"/>
  <c r="EL21" i="8"/>
  <c r="EL29" i="8"/>
  <c r="EL34" i="8"/>
  <c r="EL36" i="8"/>
  <c r="EL39" i="8"/>
  <c r="EL44" i="8"/>
  <c r="EL48" i="8"/>
  <c r="EL53" i="8"/>
  <c r="EL56" i="8"/>
  <c r="EL60" i="8"/>
  <c r="EL62" i="8"/>
  <c r="EL68" i="8"/>
  <c r="EJ7" i="8"/>
  <c r="EF9" i="8"/>
  <c r="EI9" i="8"/>
  <c r="EK11" i="8"/>
  <c r="EL17" i="8"/>
  <c r="EL25" i="8"/>
  <c r="EL38" i="8"/>
  <c r="EL40" i="8"/>
  <c r="EL42" i="8"/>
  <c r="EL47" i="8"/>
  <c r="EL49" i="8"/>
  <c r="EL55" i="8"/>
  <c r="EL61" i="8"/>
  <c r="EB6" i="8"/>
  <c r="EB10" i="8" s="1"/>
  <c r="EL20" i="8"/>
  <c r="EL28" i="8"/>
  <c r="EL64" i="8"/>
  <c r="EL67" i="8"/>
  <c r="EL22" i="8"/>
  <c r="EL30" i="8"/>
  <c r="EL37" i="8"/>
  <c r="EH7" i="8"/>
  <c r="EL19" i="8"/>
  <c r="EL27" i="8"/>
  <c r="EL63" i="8"/>
  <c r="EL66" i="8"/>
  <c r="AX4" i="1"/>
  <c r="AP4" i="18"/>
  <c r="EE6" i="8"/>
  <c r="EE14" i="8" s="1"/>
  <c r="DZ6" i="8"/>
  <c r="DZ12" i="8" s="1"/>
  <c r="EA6" i="8"/>
  <c r="EA12" i="8" s="1"/>
  <c r="EC6" i="8"/>
  <c r="DY6" i="8"/>
  <c r="ED6" i="8"/>
  <c r="BF5" i="1"/>
  <c r="BF7" i="1"/>
  <c r="BF9" i="1"/>
  <c r="BF11" i="1"/>
  <c r="Z9" i="18"/>
  <c r="Z8" i="18"/>
  <c r="Z7" i="18"/>
  <c r="Z5" i="18"/>
  <c r="K9" i="18"/>
  <c r="K8" i="18"/>
  <c r="K7" i="18"/>
  <c r="K5" i="18"/>
  <c r="DL9" i="8"/>
  <c r="M13" i="8"/>
  <c r="X11" i="8"/>
  <c r="AD13" i="8"/>
  <c r="AD11" i="8"/>
  <c r="AJ11" i="8"/>
  <c r="AT13" i="8"/>
  <c r="AT11" i="8"/>
  <c r="AZ11" i="8"/>
  <c r="BF13" i="8"/>
  <c r="BF11" i="8"/>
  <c r="N6" i="8"/>
  <c r="N16" i="8"/>
  <c r="N17" i="8"/>
  <c r="N18" i="8"/>
  <c r="N19" i="8"/>
  <c r="N20" i="8"/>
  <c r="N21" i="8"/>
  <c r="N22" i="8"/>
  <c r="N23" i="8"/>
  <c r="N24" i="8"/>
  <c r="N25" i="8"/>
  <c r="N26" i="8"/>
  <c r="N27" i="8"/>
  <c r="N28" i="8"/>
  <c r="N29" i="8"/>
  <c r="N30" i="8"/>
  <c r="N31" i="8"/>
  <c r="DV69" i="8"/>
  <c r="DU69" i="8"/>
  <c r="DT69" i="8"/>
  <c r="DS69" i="8"/>
  <c r="DR69" i="8"/>
  <c r="DW68" i="8"/>
  <c r="DV68" i="8"/>
  <c r="DU68" i="8"/>
  <c r="DT68" i="8"/>
  <c r="DS68" i="8"/>
  <c r="DR68" i="8"/>
  <c r="DV67" i="8"/>
  <c r="DU67" i="8"/>
  <c r="DT67" i="8"/>
  <c r="DS67" i="8"/>
  <c r="DR67" i="8"/>
  <c r="DV66" i="8"/>
  <c r="DU66" i="8"/>
  <c r="DT66" i="8"/>
  <c r="DS66" i="8"/>
  <c r="DR66" i="8"/>
  <c r="DV65" i="8"/>
  <c r="DU65" i="8"/>
  <c r="DT65" i="8"/>
  <c r="DS65" i="8"/>
  <c r="DR65" i="8"/>
  <c r="DW64" i="8"/>
  <c r="DV64" i="8"/>
  <c r="DU64" i="8"/>
  <c r="DT64" i="8"/>
  <c r="DS64" i="8"/>
  <c r="DR64" i="8"/>
  <c r="DV63" i="8"/>
  <c r="DU63" i="8"/>
  <c r="DT63" i="8"/>
  <c r="DS63" i="8"/>
  <c r="DR63" i="8"/>
  <c r="DW62" i="8"/>
  <c r="DV62" i="8"/>
  <c r="DU62" i="8"/>
  <c r="DT62" i="8"/>
  <c r="DS62" i="8"/>
  <c r="DR62" i="8"/>
  <c r="DV61" i="8"/>
  <c r="DU61" i="8"/>
  <c r="DT61" i="8"/>
  <c r="DS61" i="8"/>
  <c r="DR61" i="8"/>
  <c r="DV60" i="8"/>
  <c r="DU60" i="8"/>
  <c r="DT60" i="8"/>
  <c r="DS60" i="8"/>
  <c r="DR60" i="8"/>
  <c r="DV58" i="8"/>
  <c r="DU58" i="8"/>
  <c r="DT58" i="8"/>
  <c r="DS58" i="8"/>
  <c r="DR58" i="8"/>
  <c r="DV57" i="8"/>
  <c r="DU57" i="8"/>
  <c r="DT57" i="8"/>
  <c r="DS57" i="8"/>
  <c r="DR57" i="8"/>
  <c r="DV56" i="8"/>
  <c r="DU56" i="8"/>
  <c r="DT56" i="8"/>
  <c r="DS56" i="8"/>
  <c r="DR56" i="8"/>
  <c r="DV55" i="8"/>
  <c r="DU55" i="8"/>
  <c r="DT55" i="8"/>
  <c r="DS55" i="8"/>
  <c r="DR55" i="8"/>
  <c r="DV54" i="8"/>
  <c r="DU54" i="8"/>
  <c r="DT54" i="8"/>
  <c r="DS54" i="8"/>
  <c r="DR54" i="8"/>
  <c r="DV53" i="8"/>
  <c r="DU53" i="8"/>
  <c r="DT53" i="8"/>
  <c r="DS53" i="8"/>
  <c r="DR53" i="8"/>
  <c r="DV52" i="8"/>
  <c r="DU52" i="8"/>
  <c r="DT52" i="8"/>
  <c r="DS52" i="8"/>
  <c r="DR52" i="8"/>
  <c r="DV51" i="8"/>
  <c r="DU51" i="8"/>
  <c r="DT51" i="8"/>
  <c r="DS51" i="8"/>
  <c r="DR51" i="8"/>
  <c r="DV50" i="8"/>
  <c r="DU50" i="8"/>
  <c r="DT50" i="8"/>
  <c r="DS50" i="8"/>
  <c r="DR50" i="8"/>
  <c r="DV49" i="8"/>
  <c r="DU49" i="8"/>
  <c r="DT49" i="8"/>
  <c r="DS49" i="8"/>
  <c r="DR49" i="8"/>
  <c r="DV48" i="8"/>
  <c r="DU48" i="8"/>
  <c r="DT48" i="8"/>
  <c r="DS48" i="8"/>
  <c r="DR48" i="8"/>
  <c r="DV47" i="8"/>
  <c r="DU47" i="8"/>
  <c r="DT47" i="8"/>
  <c r="DS47" i="8"/>
  <c r="DR47" i="8"/>
  <c r="DV45" i="8"/>
  <c r="DU45" i="8"/>
  <c r="DT45" i="8"/>
  <c r="DS45" i="8"/>
  <c r="DR45" i="8"/>
  <c r="DV44" i="8"/>
  <c r="DU44" i="8"/>
  <c r="DT44" i="8"/>
  <c r="DS44" i="8"/>
  <c r="DR44" i="8"/>
  <c r="DV43" i="8"/>
  <c r="DU43" i="8"/>
  <c r="DT43" i="8"/>
  <c r="DS43" i="8"/>
  <c r="DR43" i="8"/>
  <c r="DV42" i="8"/>
  <c r="DU42" i="8"/>
  <c r="DT42" i="8"/>
  <c r="DS42" i="8"/>
  <c r="DR42" i="8"/>
  <c r="DV41" i="8"/>
  <c r="DU41" i="8"/>
  <c r="DT41" i="8"/>
  <c r="DS41" i="8"/>
  <c r="DR41" i="8"/>
  <c r="DV40" i="8"/>
  <c r="DU40" i="8"/>
  <c r="DT40" i="8"/>
  <c r="DS40" i="8"/>
  <c r="DR40" i="8"/>
  <c r="DV39" i="8"/>
  <c r="DU39" i="8"/>
  <c r="DT39" i="8"/>
  <c r="DS39" i="8"/>
  <c r="DR39" i="8"/>
  <c r="DV38" i="8"/>
  <c r="DU38" i="8"/>
  <c r="DT38" i="8"/>
  <c r="DS38" i="8"/>
  <c r="DR38" i="8"/>
  <c r="DV37" i="8"/>
  <c r="DU37" i="8"/>
  <c r="DT37" i="8"/>
  <c r="DS37" i="8"/>
  <c r="DR37" i="8"/>
  <c r="DV36" i="8"/>
  <c r="DU36" i="8"/>
  <c r="DT36" i="8"/>
  <c r="DS36" i="8"/>
  <c r="DR36" i="8"/>
  <c r="DW35" i="8"/>
  <c r="DV35" i="8"/>
  <c r="DU35" i="8"/>
  <c r="DT35" i="8"/>
  <c r="DS35" i="8"/>
  <c r="DR35" i="8"/>
  <c r="DV34" i="8"/>
  <c r="DU34" i="8"/>
  <c r="DT34" i="8"/>
  <c r="DS34" i="8"/>
  <c r="DR34" i="8"/>
  <c r="DW33" i="8"/>
  <c r="DV33" i="8"/>
  <c r="DU33" i="8"/>
  <c r="DT33" i="8"/>
  <c r="DS33" i="8"/>
  <c r="DR33" i="8"/>
  <c r="DV31" i="8"/>
  <c r="DU31" i="8"/>
  <c r="DT31" i="8"/>
  <c r="DS31" i="8"/>
  <c r="DR31" i="8"/>
  <c r="DV30" i="8"/>
  <c r="DU30" i="8"/>
  <c r="DT30" i="8"/>
  <c r="DS30" i="8"/>
  <c r="DR30" i="8"/>
  <c r="DV29" i="8"/>
  <c r="DU29" i="8"/>
  <c r="DT29" i="8"/>
  <c r="DS29" i="8"/>
  <c r="DR29" i="8"/>
  <c r="DV28" i="8"/>
  <c r="DU28" i="8"/>
  <c r="DT28" i="8"/>
  <c r="DS28" i="8"/>
  <c r="DR28" i="8"/>
  <c r="DV27" i="8"/>
  <c r="DU27" i="8"/>
  <c r="DT27" i="8"/>
  <c r="DS27" i="8"/>
  <c r="DR27" i="8"/>
  <c r="DV26" i="8"/>
  <c r="DU26" i="8"/>
  <c r="DT26" i="8"/>
  <c r="DS26" i="8"/>
  <c r="DR26" i="8"/>
  <c r="DV25" i="8"/>
  <c r="DU25" i="8"/>
  <c r="DT25" i="8"/>
  <c r="DS25" i="8"/>
  <c r="DR25" i="8"/>
  <c r="DV24" i="8"/>
  <c r="DU24" i="8"/>
  <c r="DT24" i="8"/>
  <c r="DS24" i="8"/>
  <c r="DR24" i="8"/>
  <c r="DV23" i="8"/>
  <c r="DU23" i="8"/>
  <c r="DT23" i="8"/>
  <c r="DS23" i="8"/>
  <c r="DR23" i="8"/>
  <c r="DV22" i="8"/>
  <c r="DU22" i="8"/>
  <c r="DT22" i="8"/>
  <c r="DS22" i="8"/>
  <c r="DR22" i="8"/>
  <c r="DV21" i="8"/>
  <c r="DU21" i="8"/>
  <c r="DT21" i="8"/>
  <c r="DS21" i="8"/>
  <c r="DR21" i="8"/>
  <c r="DV20" i="8"/>
  <c r="DU20" i="8"/>
  <c r="DT20" i="8"/>
  <c r="DS20" i="8"/>
  <c r="DR20" i="8"/>
  <c r="DV19" i="8"/>
  <c r="DU19" i="8"/>
  <c r="DT19" i="8"/>
  <c r="DS19" i="8"/>
  <c r="DR19" i="8"/>
  <c r="DV18" i="8"/>
  <c r="DU18" i="8"/>
  <c r="DT18" i="8"/>
  <c r="DS18" i="8"/>
  <c r="DR18" i="8"/>
  <c r="DV17" i="8"/>
  <c r="DU17" i="8"/>
  <c r="DT17" i="8"/>
  <c r="DS17" i="8"/>
  <c r="DR17" i="8"/>
  <c r="DV16" i="8"/>
  <c r="DU16" i="8"/>
  <c r="DT16" i="8"/>
  <c r="DS16" i="8"/>
  <c r="DR16" i="8"/>
  <c r="DQ13" i="8"/>
  <c r="DP13" i="8"/>
  <c r="DO13" i="8"/>
  <c r="DN13" i="8"/>
  <c r="DM13" i="8"/>
  <c r="DL13" i="8"/>
  <c r="DK13" i="8"/>
  <c r="DQ11" i="8"/>
  <c r="DP11" i="8"/>
  <c r="DO11" i="8"/>
  <c r="DN11" i="8"/>
  <c r="DM11" i="8"/>
  <c r="DL11" i="8"/>
  <c r="DK11" i="8"/>
  <c r="DQ9" i="8"/>
  <c r="DP9" i="8"/>
  <c r="DO9" i="8"/>
  <c r="DN9" i="8"/>
  <c r="DM9" i="8"/>
  <c r="DK9" i="8"/>
  <c r="DQ7" i="8"/>
  <c r="DP7" i="8"/>
  <c r="DO7" i="8"/>
  <c r="DN7" i="8"/>
  <c r="DM7" i="8"/>
  <c r="DL7" i="8"/>
  <c r="DK7" i="8"/>
  <c r="AW11" i="1"/>
  <c r="AY11" i="1"/>
  <c r="AW9" i="1"/>
  <c r="AY9" i="1"/>
  <c r="AW7" i="1"/>
  <c r="AY7" i="1"/>
  <c r="AP11" i="1"/>
  <c r="AP9" i="1"/>
  <c r="AP7" i="1"/>
  <c r="AP5" i="1"/>
  <c r="BE11" i="1"/>
  <c r="BE9" i="1"/>
  <c r="BE7" i="1"/>
  <c r="BE5" i="1"/>
  <c r="Y9" i="18"/>
  <c r="X9" i="18"/>
  <c r="W9" i="18"/>
  <c r="V9" i="18"/>
  <c r="U9" i="18"/>
  <c r="Q9" i="18"/>
  <c r="J9" i="18"/>
  <c r="I9" i="18"/>
  <c r="H9" i="18"/>
  <c r="G9" i="18"/>
  <c r="F9" i="18"/>
  <c r="B9" i="18"/>
  <c r="Y8" i="18"/>
  <c r="X8" i="18"/>
  <c r="W8" i="18"/>
  <c r="V8" i="18"/>
  <c r="U8" i="18"/>
  <c r="Q8" i="18"/>
  <c r="J8" i="18"/>
  <c r="I8" i="18"/>
  <c r="H8" i="18"/>
  <c r="G8" i="18"/>
  <c r="F8" i="18"/>
  <c r="B8" i="18"/>
  <c r="Y7" i="18"/>
  <c r="X7" i="18"/>
  <c r="W7" i="18"/>
  <c r="V7" i="18"/>
  <c r="U7" i="18"/>
  <c r="Q7" i="18"/>
  <c r="J7" i="18"/>
  <c r="I7" i="18"/>
  <c r="H7" i="18"/>
  <c r="G7" i="18"/>
  <c r="F7" i="18"/>
  <c r="B7" i="18"/>
  <c r="Y5" i="18"/>
  <c r="X5" i="18"/>
  <c r="W5" i="18"/>
  <c r="V5" i="18"/>
  <c r="U5" i="18"/>
  <c r="Q5" i="18"/>
  <c r="J5" i="18"/>
  <c r="I5" i="18"/>
  <c r="H5" i="18"/>
  <c r="G5" i="18"/>
  <c r="F5" i="18"/>
  <c r="B5" i="18"/>
  <c r="X54" i="16"/>
  <c r="Z54" i="16"/>
  <c r="AB54" i="16"/>
  <c r="AD54" i="16"/>
  <c r="AF54" i="16"/>
  <c r="AH54" i="16"/>
  <c r="AJ54" i="16"/>
  <c r="AL54" i="16"/>
  <c r="AN54" i="16"/>
  <c r="X55" i="16"/>
  <c r="Z55" i="16"/>
  <c r="AB55" i="16"/>
  <c r="AD55" i="16"/>
  <c r="AF55" i="16"/>
  <c r="AH55" i="16"/>
  <c r="AJ55" i="16"/>
  <c r="AL55" i="16"/>
  <c r="AN55" i="16"/>
  <c r="X56" i="16"/>
  <c r="Z56" i="16"/>
  <c r="AB56" i="16"/>
  <c r="AD56" i="16"/>
  <c r="AF56" i="16"/>
  <c r="AH56" i="16"/>
  <c r="AJ56" i="16"/>
  <c r="AL56" i="16"/>
  <c r="AN56" i="16"/>
  <c r="X57" i="16"/>
  <c r="Z57" i="16"/>
  <c r="AB57" i="16"/>
  <c r="AD57" i="16"/>
  <c r="AF57" i="16"/>
  <c r="AH57" i="16"/>
  <c r="AJ57" i="16"/>
  <c r="AL57" i="16"/>
  <c r="AN57" i="16"/>
  <c r="X58" i="16"/>
  <c r="Z58" i="16"/>
  <c r="AB58" i="16"/>
  <c r="AD58" i="16"/>
  <c r="AF58" i="16"/>
  <c r="AH58" i="16"/>
  <c r="AJ58" i="16"/>
  <c r="AL58" i="16"/>
  <c r="AN58" i="16"/>
  <c r="X59" i="16"/>
  <c r="Z59" i="16"/>
  <c r="AB59" i="16"/>
  <c r="AD59" i="16"/>
  <c r="AF59" i="16"/>
  <c r="AH59" i="16"/>
  <c r="AJ59" i="16"/>
  <c r="AL59" i="16"/>
  <c r="AN59" i="16"/>
  <c r="X60" i="16"/>
  <c r="Z60" i="16"/>
  <c r="AB60" i="16"/>
  <c r="AD60" i="16"/>
  <c r="AF60" i="16"/>
  <c r="AH60" i="16"/>
  <c r="AJ60" i="16"/>
  <c r="AL60" i="16"/>
  <c r="AN60" i="16"/>
  <c r="X61" i="16"/>
  <c r="Z61" i="16"/>
  <c r="AB61" i="16"/>
  <c r="AD61" i="16"/>
  <c r="AF61" i="16"/>
  <c r="AH61" i="16"/>
  <c r="AJ61" i="16"/>
  <c r="AL61" i="16"/>
  <c r="AN61" i="16"/>
  <c r="X62" i="16"/>
  <c r="Z62" i="16"/>
  <c r="AB62" i="16"/>
  <c r="AD62" i="16"/>
  <c r="AF62" i="16"/>
  <c r="AH62" i="16"/>
  <c r="AJ62" i="16"/>
  <c r="AL62" i="16"/>
  <c r="AN62" i="16"/>
  <c r="X63" i="16"/>
  <c r="Z63" i="16"/>
  <c r="AB63" i="16"/>
  <c r="AD63" i="16"/>
  <c r="AF63" i="16"/>
  <c r="AH63" i="16"/>
  <c r="AJ63" i="16"/>
  <c r="AL63" i="16"/>
  <c r="AN63" i="16"/>
  <c r="X40" i="16"/>
  <c r="Z40" i="16"/>
  <c r="AB40" i="16"/>
  <c r="AD40" i="16"/>
  <c r="AF40" i="16"/>
  <c r="AH40" i="16"/>
  <c r="AJ40" i="16"/>
  <c r="AL40" i="16"/>
  <c r="AN40" i="16"/>
  <c r="X41" i="16"/>
  <c r="Z41" i="16"/>
  <c r="AB41" i="16"/>
  <c r="AD41" i="16"/>
  <c r="AF41" i="16"/>
  <c r="AH41" i="16"/>
  <c r="AJ41" i="16"/>
  <c r="AL41" i="16"/>
  <c r="AN41" i="16"/>
  <c r="X42" i="16"/>
  <c r="Z42" i="16"/>
  <c r="AB42" i="16"/>
  <c r="AD42" i="16"/>
  <c r="AF42" i="16"/>
  <c r="AH42" i="16"/>
  <c r="AJ42" i="16"/>
  <c r="AL42" i="16"/>
  <c r="AN42" i="16"/>
  <c r="X43" i="16"/>
  <c r="Z43" i="16"/>
  <c r="AB43" i="16"/>
  <c r="AD43" i="16"/>
  <c r="AF43" i="16"/>
  <c r="AH43" i="16"/>
  <c r="AJ43" i="16"/>
  <c r="AL43" i="16"/>
  <c r="AN43" i="16"/>
  <c r="X44" i="16"/>
  <c r="Z44" i="16"/>
  <c r="AB44" i="16"/>
  <c r="AD44" i="16"/>
  <c r="AF44" i="16"/>
  <c r="AH44" i="16"/>
  <c r="AJ44" i="16"/>
  <c r="AL44" i="16"/>
  <c r="AN44" i="16"/>
  <c r="X45" i="16"/>
  <c r="Z45" i="16"/>
  <c r="AB45" i="16"/>
  <c r="AD45" i="16"/>
  <c r="AF45" i="16"/>
  <c r="AH45" i="16"/>
  <c r="AJ45" i="16"/>
  <c r="AL45" i="16"/>
  <c r="AN45" i="16"/>
  <c r="X46" i="16"/>
  <c r="Z46" i="16"/>
  <c r="AB46" i="16"/>
  <c r="AD46" i="16"/>
  <c r="AF46" i="16"/>
  <c r="AH46" i="16"/>
  <c r="AJ46" i="16"/>
  <c r="AL46" i="16"/>
  <c r="AN46" i="16"/>
  <c r="X47" i="16"/>
  <c r="Z47" i="16"/>
  <c r="AB47" i="16"/>
  <c r="AD47" i="16"/>
  <c r="AF47" i="16"/>
  <c r="AH47" i="16"/>
  <c r="AJ47" i="16"/>
  <c r="AL47" i="16"/>
  <c r="AN47" i="16"/>
  <c r="X48" i="16"/>
  <c r="Z48" i="16"/>
  <c r="AB48" i="16"/>
  <c r="AD48" i="16"/>
  <c r="AF48" i="16"/>
  <c r="AH48" i="16"/>
  <c r="AJ48" i="16"/>
  <c r="AL48" i="16"/>
  <c r="AN48" i="16"/>
  <c r="X49" i="16"/>
  <c r="Z49" i="16"/>
  <c r="AB49" i="16"/>
  <c r="AD49" i="16"/>
  <c r="AF49" i="16"/>
  <c r="AH49" i="16"/>
  <c r="AJ49" i="16"/>
  <c r="AL49" i="16"/>
  <c r="AN49" i="16"/>
  <c r="X50" i="16"/>
  <c r="Z50" i="16"/>
  <c r="AB50" i="16"/>
  <c r="AD50" i="16"/>
  <c r="AF50" i="16"/>
  <c r="AH50" i="16"/>
  <c r="AJ50" i="16"/>
  <c r="AL50" i="16"/>
  <c r="AN50" i="16"/>
  <c r="X51" i="16"/>
  <c r="Z51" i="16"/>
  <c r="AB51" i="16"/>
  <c r="AD51" i="16"/>
  <c r="AF51" i="16"/>
  <c r="AH51" i="16"/>
  <c r="AJ51" i="16"/>
  <c r="AL51" i="16"/>
  <c r="AN51" i="16"/>
  <c r="X25" i="16"/>
  <c r="Z25" i="16"/>
  <c r="AB25" i="16"/>
  <c r="AD25" i="16"/>
  <c r="AF25" i="16"/>
  <c r="AH25" i="16"/>
  <c r="AJ25" i="16"/>
  <c r="AL25" i="16"/>
  <c r="AN25" i="16"/>
  <c r="X26" i="16"/>
  <c r="Z26" i="16"/>
  <c r="AB26" i="16"/>
  <c r="AD26" i="16"/>
  <c r="AF26" i="16"/>
  <c r="AH26" i="16"/>
  <c r="AJ26" i="16"/>
  <c r="AL26" i="16"/>
  <c r="AN26" i="16"/>
  <c r="X27" i="16"/>
  <c r="Z27" i="16"/>
  <c r="AB27" i="16"/>
  <c r="AD27" i="16"/>
  <c r="AF27" i="16"/>
  <c r="AH27" i="16"/>
  <c r="AJ27" i="16"/>
  <c r="AL27" i="16"/>
  <c r="AN27" i="16"/>
  <c r="X28" i="16"/>
  <c r="Z28" i="16"/>
  <c r="AB28" i="16"/>
  <c r="AD28" i="16"/>
  <c r="AF28" i="16"/>
  <c r="AH28" i="16"/>
  <c r="AJ28" i="16"/>
  <c r="AL28" i="16"/>
  <c r="AN28" i="16"/>
  <c r="X29" i="16"/>
  <c r="Z29" i="16"/>
  <c r="AB29" i="16"/>
  <c r="AD29" i="16"/>
  <c r="AF29" i="16"/>
  <c r="AH29" i="16"/>
  <c r="AJ29" i="16"/>
  <c r="AL29" i="16"/>
  <c r="AN29" i="16"/>
  <c r="X30" i="16"/>
  <c r="Z30" i="16"/>
  <c r="AB30" i="16"/>
  <c r="AD30" i="16"/>
  <c r="AF30" i="16"/>
  <c r="AH30" i="16"/>
  <c r="AJ30" i="16"/>
  <c r="AL30" i="16"/>
  <c r="AN30" i="16"/>
  <c r="X31" i="16"/>
  <c r="Z31" i="16"/>
  <c r="AB31" i="16"/>
  <c r="AD31" i="16"/>
  <c r="AF31" i="16"/>
  <c r="AH31" i="16"/>
  <c r="AJ31" i="16"/>
  <c r="AL31" i="16"/>
  <c r="AN31" i="16"/>
  <c r="X32" i="16"/>
  <c r="Z32" i="16"/>
  <c r="AB32" i="16"/>
  <c r="AD32" i="16"/>
  <c r="AF32" i="16"/>
  <c r="AH32" i="16"/>
  <c r="AJ32" i="16"/>
  <c r="AL32" i="16"/>
  <c r="AN32" i="16"/>
  <c r="X33" i="16"/>
  <c r="Z33" i="16"/>
  <c r="AB33" i="16"/>
  <c r="AD33" i="16"/>
  <c r="AF33" i="16"/>
  <c r="AH33" i="16"/>
  <c r="AJ33" i="16"/>
  <c r="AL33" i="16"/>
  <c r="AN33" i="16"/>
  <c r="X34" i="16"/>
  <c r="Z34" i="16"/>
  <c r="AB34" i="16"/>
  <c r="AD34" i="16"/>
  <c r="AF34" i="16"/>
  <c r="AH34" i="16"/>
  <c r="AJ34" i="16"/>
  <c r="AL34" i="16"/>
  <c r="AN34" i="16"/>
  <c r="X35" i="16"/>
  <c r="Z35" i="16"/>
  <c r="AB35" i="16"/>
  <c r="AD35" i="16"/>
  <c r="AF35" i="16"/>
  <c r="AH35" i="16"/>
  <c r="AJ35" i="16"/>
  <c r="AL35" i="16"/>
  <c r="AN35" i="16"/>
  <c r="X36" i="16"/>
  <c r="Z36" i="16"/>
  <c r="AB36" i="16"/>
  <c r="AD36" i="16"/>
  <c r="AF36" i="16"/>
  <c r="AH36" i="16"/>
  <c r="AJ36" i="16"/>
  <c r="AL36" i="16"/>
  <c r="AN36" i="16"/>
  <c r="X37" i="16"/>
  <c r="Z37" i="16"/>
  <c r="AB37" i="16"/>
  <c r="AD37" i="16"/>
  <c r="AF37" i="16"/>
  <c r="AH37" i="16"/>
  <c r="AJ37" i="16"/>
  <c r="AL37" i="16"/>
  <c r="AN37" i="16"/>
  <c r="X7" i="16"/>
  <c r="Z7" i="16"/>
  <c r="AB7" i="16"/>
  <c r="AD7" i="16"/>
  <c r="AF7" i="16"/>
  <c r="AH7" i="16"/>
  <c r="AJ7" i="16"/>
  <c r="AL7" i="16"/>
  <c r="AN7" i="16"/>
  <c r="X8" i="16"/>
  <c r="Z8" i="16"/>
  <c r="AB8" i="16"/>
  <c r="AD8" i="16"/>
  <c r="AF8" i="16"/>
  <c r="AH8" i="16"/>
  <c r="AJ8" i="16"/>
  <c r="AL8" i="16"/>
  <c r="AN8" i="16"/>
  <c r="X9" i="16"/>
  <c r="Z9" i="16"/>
  <c r="AB9" i="16"/>
  <c r="AD9" i="16"/>
  <c r="AF9" i="16"/>
  <c r="AH9" i="16"/>
  <c r="AJ9" i="16"/>
  <c r="AL9" i="16"/>
  <c r="AN9" i="16"/>
  <c r="X10" i="16"/>
  <c r="Z10" i="16"/>
  <c r="AB10" i="16"/>
  <c r="AD10" i="16"/>
  <c r="AF10" i="16"/>
  <c r="AH10" i="16"/>
  <c r="AJ10" i="16"/>
  <c r="AL10" i="16"/>
  <c r="AN10" i="16"/>
  <c r="X11" i="16"/>
  <c r="Z11" i="16"/>
  <c r="AB11" i="16"/>
  <c r="AD11" i="16"/>
  <c r="AF11" i="16"/>
  <c r="AH11" i="16"/>
  <c r="AJ11" i="16"/>
  <c r="AL11" i="16"/>
  <c r="AN11" i="16"/>
  <c r="X12" i="16"/>
  <c r="Z12" i="16"/>
  <c r="AB12" i="16"/>
  <c r="AD12" i="16"/>
  <c r="AF12" i="16"/>
  <c r="AH12" i="16"/>
  <c r="AJ12" i="16"/>
  <c r="AL12" i="16"/>
  <c r="AN12" i="16"/>
  <c r="X13" i="16"/>
  <c r="Z13" i="16"/>
  <c r="AB13" i="16"/>
  <c r="AD13" i="16"/>
  <c r="AF13" i="16"/>
  <c r="AH13" i="16"/>
  <c r="AJ13" i="16"/>
  <c r="AL13" i="16"/>
  <c r="AN13" i="16"/>
  <c r="X14" i="16"/>
  <c r="Z14" i="16"/>
  <c r="AB14" i="16"/>
  <c r="AD14" i="16"/>
  <c r="AF14" i="16"/>
  <c r="AH14" i="16"/>
  <c r="AJ14" i="16"/>
  <c r="AL14" i="16"/>
  <c r="AN14" i="16"/>
  <c r="X15" i="16"/>
  <c r="Z15" i="16"/>
  <c r="AB15" i="16"/>
  <c r="AD15" i="16"/>
  <c r="AF15" i="16"/>
  <c r="AH15" i="16"/>
  <c r="AJ15" i="16"/>
  <c r="AL15" i="16"/>
  <c r="AN15" i="16"/>
  <c r="X16" i="16"/>
  <c r="Z16" i="16"/>
  <c r="AB16" i="16"/>
  <c r="AD16" i="16"/>
  <c r="AF16" i="16"/>
  <c r="AH16" i="16"/>
  <c r="AJ16" i="16"/>
  <c r="AL16" i="16"/>
  <c r="AN16" i="16"/>
  <c r="X17" i="16"/>
  <c r="Z17" i="16"/>
  <c r="AB17" i="16"/>
  <c r="AD17" i="16"/>
  <c r="AF17" i="16"/>
  <c r="AH17" i="16"/>
  <c r="AJ17" i="16"/>
  <c r="AL17" i="16"/>
  <c r="AN17" i="16"/>
  <c r="X18" i="16"/>
  <c r="Z18" i="16"/>
  <c r="AB18" i="16"/>
  <c r="AD18" i="16"/>
  <c r="AF18" i="16"/>
  <c r="AH18" i="16"/>
  <c r="AJ18" i="16"/>
  <c r="AL18" i="16"/>
  <c r="AN18" i="16"/>
  <c r="X19" i="16"/>
  <c r="Z19" i="16"/>
  <c r="AB19" i="16"/>
  <c r="AD19" i="16"/>
  <c r="AF19" i="16"/>
  <c r="AH19" i="16"/>
  <c r="AJ19" i="16"/>
  <c r="AL19" i="16"/>
  <c r="AN19" i="16"/>
  <c r="X20" i="16"/>
  <c r="Z20" i="16"/>
  <c r="AB20" i="16"/>
  <c r="AD20" i="16"/>
  <c r="AF20" i="16"/>
  <c r="AH20" i="16"/>
  <c r="AJ20" i="16"/>
  <c r="AL20" i="16"/>
  <c r="AN20" i="16"/>
  <c r="X21" i="16"/>
  <c r="Z21" i="16"/>
  <c r="AB21" i="16"/>
  <c r="AD21" i="16"/>
  <c r="AF21" i="16"/>
  <c r="AH21" i="16"/>
  <c r="AJ21" i="16"/>
  <c r="AL21" i="16"/>
  <c r="AN21" i="16"/>
  <c r="X22" i="16"/>
  <c r="Z22" i="16"/>
  <c r="AB22" i="16"/>
  <c r="AD22" i="16"/>
  <c r="AF22" i="16"/>
  <c r="AH22" i="16"/>
  <c r="AJ22" i="16"/>
  <c r="AL22" i="16"/>
  <c r="AN22" i="16"/>
  <c r="AG63" i="15"/>
  <c r="AG63" i="16" s="1"/>
  <c r="AE63" i="15"/>
  <c r="AE63" i="16" s="1"/>
  <c r="AC63" i="15"/>
  <c r="AC63" i="16" s="1"/>
  <c r="AA63" i="15"/>
  <c r="AA63" i="16" s="1"/>
  <c r="Y63" i="15"/>
  <c r="Y63" i="16" s="1"/>
  <c r="W63" i="15"/>
  <c r="W63" i="16" s="1"/>
  <c r="L63" i="15"/>
  <c r="L63" i="16" s="1"/>
  <c r="V63" i="16"/>
  <c r="V62" i="16"/>
  <c r="V61" i="16"/>
  <c r="V60" i="16"/>
  <c r="V59" i="16"/>
  <c r="V58" i="16"/>
  <c r="V57" i="16"/>
  <c r="V56" i="16"/>
  <c r="V55" i="16"/>
  <c r="V54" i="16"/>
  <c r="M63" i="16"/>
  <c r="M62" i="16"/>
  <c r="M61" i="16"/>
  <c r="M60" i="16"/>
  <c r="M59" i="16"/>
  <c r="M58" i="16"/>
  <c r="M57" i="16"/>
  <c r="M56" i="16"/>
  <c r="M55" i="16"/>
  <c r="M54" i="16"/>
  <c r="K63" i="16"/>
  <c r="K62" i="16"/>
  <c r="K61" i="16"/>
  <c r="K60" i="16"/>
  <c r="K59" i="16"/>
  <c r="K58" i="16"/>
  <c r="K57" i="16"/>
  <c r="K56" i="16"/>
  <c r="K55" i="16"/>
  <c r="K54" i="16"/>
  <c r="H63" i="16"/>
  <c r="H62" i="16"/>
  <c r="H61" i="16"/>
  <c r="H60" i="16"/>
  <c r="H59" i="16"/>
  <c r="H58" i="16"/>
  <c r="H57" i="16"/>
  <c r="H56" i="16"/>
  <c r="H55" i="16"/>
  <c r="H54" i="16"/>
  <c r="V51" i="16"/>
  <c r="V50" i="16"/>
  <c r="V49" i="16"/>
  <c r="V48" i="16"/>
  <c r="V47" i="16"/>
  <c r="V46" i="16"/>
  <c r="V45" i="16"/>
  <c r="V44" i="16"/>
  <c r="V43" i="16"/>
  <c r="V42" i="16"/>
  <c r="V41" i="16"/>
  <c r="V40" i="16"/>
  <c r="M51" i="16"/>
  <c r="M50" i="16"/>
  <c r="M49" i="16"/>
  <c r="M48" i="16"/>
  <c r="M47" i="16"/>
  <c r="M46" i="16"/>
  <c r="M45" i="16"/>
  <c r="M44" i="16"/>
  <c r="M43" i="16"/>
  <c r="M42" i="16"/>
  <c r="M41" i="16"/>
  <c r="M40" i="16"/>
  <c r="K51" i="16"/>
  <c r="K50" i="16"/>
  <c r="K49" i="16"/>
  <c r="K48" i="16"/>
  <c r="K47" i="16"/>
  <c r="K46" i="16"/>
  <c r="K45" i="16"/>
  <c r="K44" i="16"/>
  <c r="K43" i="16"/>
  <c r="K42" i="16"/>
  <c r="K41" i="16"/>
  <c r="K40" i="16"/>
  <c r="H51" i="16"/>
  <c r="H50" i="16"/>
  <c r="H49" i="16"/>
  <c r="H48" i="16"/>
  <c r="H47" i="16"/>
  <c r="H46" i="16"/>
  <c r="H45" i="16"/>
  <c r="H44" i="16"/>
  <c r="H43" i="16"/>
  <c r="H42" i="16"/>
  <c r="H41" i="16"/>
  <c r="H40" i="16"/>
  <c r="V37" i="16"/>
  <c r="V36" i="16"/>
  <c r="V35" i="16"/>
  <c r="V34" i="16"/>
  <c r="V33" i="16"/>
  <c r="V32" i="16"/>
  <c r="V31" i="16"/>
  <c r="V30" i="16"/>
  <c r="V29" i="16"/>
  <c r="V28" i="16"/>
  <c r="V27" i="16"/>
  <c r="V26" i="16"/>
  <c r="V25" i="16"/>
  <c r="M37" i="16"/>
  <c r="M36" i="16"/>
  <c r="M35" i="16"/>
  <c r="M34" i="16"/>
  <c r="M33" i="16"/>
  <c r="M32" i="16"/>
  <c r="M31" i="16"/>
  <c r="M30" i="16"/>
  <c r="M29" i="16"/>
  <c r="M28" i="16"/>
  <c r="M27" i="16"/>
  <c r="M26" i="16"/>
  <c r="M25" i="16"/>
  <c r="K37" i="16"/>
  <c r="K36" i="16"/>
  <c r="K35" i="16"/>
  <c r="K34" i="16"/>
  <c r="K33" i="16"/>
  <c r="K32" i="16"/>
  <c r="K31" i="16"/>
  <c r="K30" i="16"/>
  <c r="K29" i="16"/>
  <c r="K28" i="16"/>
  <c r="K27" i="16"/>
  <c r="K26" i="16"/>
  <c r="K25" i="16"/>
  <c r="H37" i="16"/>
  <c r="H36" i="16"/>
  <c r="H35" i="16"/>
  <c r="H34" i="16"/>
  <c r="H33" i="16"/>
  <c r="H32" i="16"/>
  <c r="H31" i="16"/>
  <c r="H30" i="16"/>
  <c r="H29" i="16"/>
  <c r="H28" i="16"/>
  <c r="H27" i="16"/>
  <c r="H26" i="16"/>
  <c r="H25" i="16"/>
  <c r="V22" i="16"/>
  <c r="V21" i="16"/>
  <c r="V20" i="16"/>
  <c r="V19" i="16"/>
  <c r="V18" i="16"/>
  <c r="V17" i="16"/>
  <c r="V16" i="16"/>
  <c r="V15" i="16"/>
  <c r="V14" i="16"/>
  <c r="V13" i="16"/>
  <c r="V12" i="16"/>
  <c r="V11" i="16"/>
  <c r="V10" i="16"/>
  <c r="V9" i="16"/>
  <c r="V8" i="16"/>
  <c r="V7" i="16"/>
  <c r="M22" i="16"/>
  <c r="M21" i="16"/>
  <c r="M20" i="16"/>
  <c r="M19" i="16"/>
  <c r="M18" i="16"/>
  <c r="M17" i="16"/>
  <c r="M16" i="16"/>
  <c r="M15" i="16"/>
  <c r="M14" i="16"/>
  <c r="M13" i="16"/>
  <c r="M12" i="16"/>
  <c r="M11" i="16"/>
  <c r="M10" i="16"/>
  <c r="M9" i="16"/>
  <c r="M8" i="16"/>
  <c r="M7" i="16"/>
  <c r="K22" i="16"/>
  <c r="K21" i="16"/>
  <c r="K20" i="16"/>
  <c r="K19" i="16"/>
  <c r="K18" i="16"/>
  <c r="K17" i="16"/>
  <c r="K16" i="16"/>
  <c r="K15" i="16"/>
  <c r="K14" i="16"/>
  <c r="K13" i="16"/>
  <c r="K12" i="16"/>
  <c r="K11" i="16"/>
  <c r="K10" i="16"/>
  <c r="K9" i="16"/>
  <c r="K8" i="16"/>
  <c r="K7" i="16"/>
  <c r="H22" i="16"/>
  <c r="H21" i="16"/>
  <c r="H20" i="16"/>
  <c r="H19" i="16"/>
  <c r="H18" i="16"/>
  <c r="H17" i="16"/>
  <c r="H16" i="16"/>
  <c r="H15" i="16"/>
  <c r="H14" i="16"/>
  <c r="H13" i="16"/>
  <c r="H12" i="16"/>
  <c r="H11" i="16"/>
  <c r="H10" i="16"/>
  <c r="H9" i="16"/>
  <c r="H8" i="16"/>
  <c r="H7" i="16"/>
  <c r="C54" i="16"/>
  <c r="C55" i="16"/>
  <c r="C56" i="16"/>
  <c r="C57" i="16"/>
  <c r="C58" i="16"/>
  <c r="C59" i="16"/>
  <c r="C60" i="16"/>
  <c r="C61" i="16"/>
  <c r="C62" i="16"/>
  <c r="C63" i="16"/>
  <c r="C40" i="16"/>
  <c r="C41" i="16"/>
  <c r="C42" i="16"/>
  <c r="C43" i="16"/>
  <c r="C44" i="16"/>
  <c r="C45" i="16"/>
  <c r="C46" i="16"/>
  <c r="C47" i="16"/>
  <c r="C48" i="16"/>
  <c r="C49" i="16"/>
  <c r="C50" i="16"/>
  <c r="C51" i="16"/>
  <c r="C25" i="16"/>
  <c r="C26" i="16"/>
  <c r="C27" i="16"/>
  <c r="C28" i="16"/>
  <c r="C29" i="16"/>
  <c r="C30" i="16"/>
  <c r="C31" i="16"/>
  <c r="C32" i="16"/>
  <c r="C33" i="16"/>
  <c r="C34" i="16"/>
  <c r="C35" i="16"/>
  <c r="C36" i="16"/>
  <c r="C37" i="16"/>
  <c r="C7" i="16"/>
  <c r="C8" i="16"/>
  <c r="C9" i="16"/>
  <c r="C10" i="16"/>
  <c r="C11" i="16"/>
  <c r="C12" i="16"/>
  <c r="C13" i="16"/>
  <c r="C14" i="16"/>
  <c r="C15" i="16"/>
  <c r="C16" i="16"/>
  <c r="C17" i="16"/>
  <c r="C18" i="16"/>
  <c r="C19" i="16"/>
  <c r="C20" i="16"/>
  <c r="C21" i="16"/>
  <c r="C22" i="16"/>
  <c r="B63" i="16"/>
  <c r="B62" i="16"/>
  <c r="B61" i="16"/>
  <c r="B60" i="16"/>
  <c r="B59" i="16"/>
  <c r="B58" i="16"/>
  <c r="B57" i="16"/>
  <c r="B56" i="16"/>
  <c r="B55" i="16"/>
  <c r="B54" i="16"/>
  <c r="B51" i="16"/>
  <c r="B50" i="16"/>
  <c r="B49" i="16"/>
  <c r="B48" i="16"/>
  <c r="B47" i="16"/>
  <c r="B46" i="16"/>
  <c r="B45" i="16"/>
  <c r="B44" i="16"/>
  <c r="B43" i="16"/>
  <c r="B42" i="16"/>
  <c r="B41" i="16"/>
  <c r="B40" i="16"/>
  <c r="B37" i="16"/>
  <c r="B36" i="16"/>
  <c r="B35" i="16"/>
  <c r="B34" i="16"/>
  <c r="B33" i="16"/>
  <c r="B32" i="16"/>
  <c r="B31" i="16"/>
  <c r="B30" i="16"/>
  <c r="B29" i="16"/>
  <c r="B28" i="16"/>
  <c r="B27" i="16"/>
  <c r="B26" i="16"/>
  <c r="B25" i="16"/>
  <c r="B22" i="16"/>
  <c r="B21" i="16"/>
  <c r="B20" i="16"/>
  <c r="B19" i="16"/>
  <c r="B18" i="16"/>
  <c r="B17" i="16"/>
  <c r="B16" i="16"/>
  <c r="B15" i="16"/>
  <c r="B14" i="16"/>
  <c r="B13" i="16"/>
  <c r="B12" i="16"/>
  <c r="B11" i="16"/>
  <c r="B10" i="16"/>
  <c r="B9" i="16"/>
  <c r="B8" i="16"/>
  <c r="B7" i="16"/>
  <c r="G53" i="16"/>
  <c r="F53" i="16"/>
  <c r="E53" i="16"/>
  <c r="D53" i="16"/>
  <c r="G52" i="16"/>
  <c r="F52" i="16"/>
  <c r="E52" i="16"/>
  <c r="D52" i="16"/>
  <c r="G39" i="16"/>
  <c r="F39" i="16"/>
  <c r="E39" i="16"/>
  <c r="D39" i="16"/>
  <c r="G38" i="16"/>
  <c r="F38" i="16"/>
  <c r="E38" i="16"/>
  <c r="D38" i="16"/>
  <c r="G24" i="16"/>
  <c r="F24" i="16"/>
  <c r="E24" i="16"/>
  <c r="D24" i="16"/>
  <c r="G23" i="16"/>
  <c r="F23" i="16"/>
  <c r="E23" i="16"/>
  <c r="D23" i="16"/>
  <c r="G6" i="16"/>
  <c r="F6" i="16"/>
  <c r="E6" i="16"/>
  <c r="D6" i="16"/>
  <c r="G5" i="16"/>
  <c r="F5" i="16"/>
  <c r="E5" i="16"/>
  <c r="D5" i="16"/>
  <c r="G4" i="16"/>
  <c r="F4" i="16"/>
  <c r="E4" i="16"/>
  <c r="D4" i="16"/>
  <c r="E11" i="16"/>
  <c r="D54" i="16"/>
  <c r="E54" i="16"/>
  <c r="F54" i="16"/>
  <c r="G54" i="16"/>
  <c r="I54" i="16"/>
  <c r="J54" i="16"/>
  <c r="N54" i="16"/>
  <c r="O54" i="16"/>
  <c r="P54" i="16"/>
  <c r="Q54" i="16"/>
  <c r="R54" i="16"/>
  <c r="S54" i="16"/>
  <c r="T54" i="16"/>
  <c r="U54" i="16"/>
  <c r="D55" i="16"/>
  <c r="E55" i="16"/>
  <c r="F55" i="16"/>
  <c r="G55" i="16"/>
  <c r="I55" i="16"/>
  <c r="J55" i="16"/>
  <c r="N55" i="16"/>
  <c r="O55" i="16"/>
  <c r="P55" i="16"/>
  <c r="Q55" i="16"/>
  <c r="R55" i="16"/>
  <c r="S55" i="16"/>
  <c r="T55" i="16"/>
  <c r="U55" i="16"/>
  <c r="D56" i="16"/>
  <c r="E56" i="16"/>
  <c r="F56" i="16"/>
  <c r="G56" i="16"/>
  <c r="I56" i="16"/>
  <c r="J56" i="16"/>
  <c r="N56" i="16"/>
  <c r="O56" i="16"/>
  <c r="P56" i="16"/>
  <c r="Q56" i="16"/>
  <c r="R56" i="16"/>
  <c r="S56" i="16"/>
  <c r="T56" i="16"/>
  <c r="U56" i="16"/>
  <c r="D57" i="16"/>
  <c r="E57" i="16"/>
  <c r="F57" i="16"/>
  <c r="G57" i="16"/>
  <c r="I57" i="16"/>
  <c r="J57" i="16"/>
  <c r="N57" i="16"/>
  <c r="O57" i="16"/>
  <c r="P57" i="16"/>
  <c r="Q57" i="16"/>
  <c r="R57" i="16"/>
  <c r="S57" i="16"/>
  <c r="T57" i="16"/>
  <c r="U57" i="16"/>
  <c r="D58" i="16"/>
  <c r="E58" i="16"/>
  <c r="F58" i="16"/>
  <c r="G58" i="16"/>
  <c r="I58" i="16"/>
  <c r="J58" i="16"/>
  <c r="N58" i="16"/>
  <c r="O58" i="16"/>
  <c r="P58" i="16"/>
  <c r="Q58" i="16"/>
  <c r="R58" i="16"/>
  <c r="S58" i="16"/>
  <c r="T58" i="16"/>
  <c r="U58" i="16"/>
  <c r="D59" i="16"/>
  <c r="E59" i="16"/>
  <c r="F59" i="16"/>
  <c r="G59" i="16"/>
  <c r="I59" i="16"/>
  <c r="J59" i="16"/>
  <c r="N59" i="16"/>
  <c r="O59" i="16"/>
  <c r="P59" i="16"/>
  <c r="Q59" i="16"/>
  <c r="R59" i="16"/>
  <c r="S59" i="16"/>
  <c r="T59" i="16"/>
  <c r="U59" i="16"/>
  <c r="D60" i="16"/>
  <c r="E60" i="16"/>
  <c r="F60" i="16"/>
  <c r="G60" i="16"/>
  <c r="I60" i="16"/>
  <c r="J60" i="16"/>
  <c r="N60" i="16"/>
  <c r="O60" i="16"/>
  <c r="P60" i="16"/>
  <c r="Q60" i="16"/>
  <c r="R60" i="16"/>
  <c r="S60" i="16"/>
  <c r="T60" i="16"/>
  <c r="U60" i="16"/>
  <c r="D61" i="16"/>
  <c r="E61" i="16"/>
  <c r="F61" i="16"/>
  <c r="G61" i="16"/>
  <c r="I61" i="16"/>
  <c r="J61" i="16"/>
  <c r="N61" i="16"/>
  <c r="O61" i="16"/>
  <c r="P61" i="16"/>
  <c r="Q61" i="16"/>
  <c r="R61" i="16"/>
  <c r="S61" i="16"/>
  <c r="T61" i="16"/>
  <c r="U61" i="16"/>
  <c r="D62" i="16"/>
  <c r="E62" i="16"/>
  <c r="F62" i="16"/>
  <c r="G62" i="16"/>
  <c r="I62" i="16"/>
  <c r="J62" i="16"/>
  <c r="N62" i="16"/>
  <c r="O62" i="16"/>
  <c r="P62" i="16"/>
  <c r="Q62" i="16"/>
  <c r="R62" i="16"/>
  <c r="S62" i="16"/>
  <c r="T62" i="16"/>
  <c r="U62" i="16"/>
  <c r="D63" i="16"/>
  <c r="E63" i="16"/>
  <c r="F63" i="16"/>
  <c r="G63" i="16"/>
  <c r="I63" i="16"/>
  <c r="J63" i="16"/>
  <c r="N63" i="16"/>
  <c r="O63" i="16"/>
  <c r="P63" i="16"/>
  <c r="Q63" i="16"/>
  <c r="R63" i="16"/>
  <c r="S63" i="16"/>
  <c r="T63" i="16"/>
  <c r="U63" i="16"/>
  <c r="D40" i="16"/>
  <c r="E40" i="16"/>
  <c r="F40" i="16"/>
  <c r="G40" i="16"/>
  <c r="I40" i="16"/>
  <c r="J40" i="16"/>
  <c r="N40" i="16"/>
  <c r="O40" i="16"/>
  <c r="P40" i="16"/>
  <c r="Q40" i="16"/>
  <c r="R40" i="16"/>
  <c r="S40" i="16"/>
  <c r="T40" i="16"/>
  <c r="U40" i="16"/>
  <c r="D41" i="16"/>
  <c r="E41" i="16"/>
  <c r="F41" i="16"/>
  <c r="G41" i="16"/>
  <c r="I41" i="16"/>
  <c r="J41" i="16"/>
  <c r="N41" i="16"/>
  <c r="O41" i="16"/>
  <c r="P41" i="16"/>
  <c r="Q41" i="16"/>
  <c r="R41" i="16"/>
  <c r="S41" i="16"/>
  <c r="T41" i="16"/>
  <c r="U41" i="16"/>
  <c r="D42" i="16"/>
  <c r="E42" i="16"/>
  <c r="F42" i="16"/>
  <c r="G42" i="16"/>
  <c r="I42" i="16"/>
  <c r="J42" i="16"/>
  <c r="N42" i="16"/>
  <c r="O42" i="16"/>
  <c r="P42" i="16"/>
  <c r="Q42" i="16"/>
  <c r="R42" i="16"/>
  <c r="S42" i="16"/>
  <c r="T42" i="16"/>
  <c r="U42" i="16"/>
  <c r="D43" i="16"/>
  <c r="E43" i="16"/>
  <c r="F43" i="16"/>
  <c r="G43" i="16"/>
  <c r="I43" i="16"/>
  <c r="J43" i="16"/>
  <c r="N43" i="16"/>
  <c r="O43" i="16"/>
  <c r="P43" i="16"/>
  <c r="Q43" i="16"/>
  <c r="R43" i="16"/>
  <c r="S43" i="16"/>
  <c r="T43" i="16"/>
  <c r="U43" i="16"/>
  <c r="D44" i="16"/>
  <c r="E44" i="16"/>
  <c r="F44" i="16"/>
  <c r="G44" i="16"/>
  <c r="I44" i="16"/>
  <c r="J44" i="16"/>
  <c r="N44" i="16"/>
  <c r="O44" i="16"/>
  <c r="P44" i="16"/>
  <c r="Q44" i="16"/>
  <c r="R44" i="16"/>
  <c r="S44" i="16"/>
  <c r="T44" i="16"/>
  <c r="U44" i="16"/>
  <c r="D45" i="16"/>
  <c r="E45" i="16"/>
  <c r="F45" i="16"/>
  <c r="G45" i="16"/>
  <c r="I45" i="16"/>
  <c r="J45" i="16"/>
  <c r="N45" i="16"/>
  <c r="O45" i="16"/>
  <c r="P45" i="16"/>
  <c r="Q45" i="16"/>
  <c r="R45" i="16"/>
  <c r="S45" i="16"/>
  <c r="T45" i="16"/>
  <c r="U45" i="16"/>
  <c r="D46" i="16"/>
  <c r="E46" i="16"/>
  <c r="F46" i="16"/>
  <c r="G46" i="16"/>
  <c r="I46" i="16"/>
  <c r="J46" i="16"/>
  <c r="N46" i="16"/>
  <c r="O46" i="16"/>
  <c r="P46" i="16"/>
  <c r="Q46" i="16"/>
  <c r="R46" i="16"/>
  <c r="S46" i="16"/>
  <c r="T46" i="16"/>
  <c r="U46" i="16"/>
  <c r="D47" i="16"/>
  <c r="E47" i="16"/>
  <c r="F47" i="16"/>
  <c r="G47" i="16"/>
  <c r="I47" i="16"/>
  <c r="J47" i="16"/>
  <c r="N47" i="16"/>
  <c r="O47" i="16"/>
  <c r="P47" i="16"/>
  <c r="Q47" i="16"/>
  <c r="R47" i="16"/>
  <c r="S47" i="16"/>
  <c r="T47" i="16"/>
  <c r="U47" i="16"/>
  <c r="D48" i="16"/>
  <c r="E48" i="16"/>
  <c r="F48" i="16"/>
  <c r="G48" i="16"/>
  <c r="I48" i="16"/>
  <c r="J48" i="16"/>
  <c r="N48" i="16"/>
  <c r="O48" i="16"/>
  <c r="P48" i="16"/>
  <c r="Q48" i="16"/>
  <c r="R48" i="16"/>
  <c r="S48" i="16"/>
  <c r="T48" i="16"/>
  <c r="U48" i="16"/>
  <c r="D49" i="16"/>
  <c r="E49" i="16"/>
  <c r="F49" i="16"/>
  <c r="G49" i="16"/>
  <c r="I49" i="16"/>
  <c r="J49" i="16"/>
  <c r="N49" i="16"/>
  <c r="O49" i="16"/>
  <c r="P49" i="16"/>
  <c r="Q49" i="16"/>
  <c r="R49" i="16"/>
  <c r="S49" i="16"/>
  <c r="T49" i="16"/>
  <c r="U49" i="16"/>
  <c r="D50" i="16"/>
  <c r="E50" i="16"/>
  <c r="F50" i="16"/>
  <c r="G50" i="16"/>
  <c r="I50" i="16"/>
  <c r="J50" i="16"/>
  <c r="N50" i="16"/>
  <c r="O50" i="16"/>
  <c r="P50" i="16"/>
  <c r="Q50" i="16"/>
  <c r="R50" i="16"/>
  <c r="S50" i="16"/>
  <c r="T50" i="16"/>
  <c r="U50" i="16"/>
  <c r="D51" i="16"/>
  <c r="E51" i="16"/>
  <c r="F51" i="16"/>
  <c r="G51" i="16"/>
  <c r="I51" i="16"/>
  <c r="J51" i="16"/>
  <c r="N51" i="16"/>
  <c r="O51" i="16"/>
  <c r="P51" i="16"/>
  <c r="Q51" i="16"/>
  <c r="R51" i="16"/>
  <c r="S51" i="16"/>
  <c r="T51" i="16"/>
  <c r="U51" i="16"/>
  <c r="D25" i="16"/>
  <c r="E25" i="16"/>
  <c r="F25" i="16"/>
  <c r="G25" i="16"/>
  <c r="I25" i="16"/>
  <c r="J25" i="16"/>
  <c r="N25" i="16"/>
  <c r="O25" i="16"/>
  <c r="P25" i="16"/>
  <c r="Q25" i="16"/>
  <c r="R25" i="16"/>
  <c r="S25" i="16"/>
  <c r="T25" i="16"/>
  <c r="U25" i="16"/>
  <c r="D26" i="16"/>
  <c r="E26" i="16"/>
  <c r="F26" i="16"/>
  <c r="G26" i="16"/>
  <c r="I26" i="16"/>
  <c r="J26" i="16"/>
  <c r="N26" i="16"/>
  <c r="O26" i="16"/>
  <c r="P26" i="16"/>
  <c r="Q26" i="16"/>
  <c r="R26" i="16"/>
  <c r="S26" i="16"/>
  <c r="T26" i="16"/>
  <c r="U26" i="16"/>
  <c r="D27" i="16"/>
  <c r="E27" i="16"/>
  <c r="F27" i="16"/>
  <c r="G27" i="16"/>
  <c r="I27" i="16"/>
  <c r="J27" i="16"/>
  <c r="N27" i="16"/>
  <c r="O27" i="16"/>
  <c r="P27" i="16"/>
  <c r="Q27" i="16"/>
  <c r="R27" i="16"/>
  <c r="S27" i="16"/>
  <c r="T27" i="16"/>
  <c r="U27" i="16"/>
  <c r="D28" i="16"/>
  <c r="E28" i="16"/>
  <c r="F28" i="16"/>
  <c r="G28" i="16"/>
  <c r="I28" i="16"/>
  <c r="J28" i="16"/>
  <c r="N28" i="16"/>
  <c r="O28" i="16"/>
  <c r="P28" i="16"/>
  <c r="Q28" i="16"/>
  <c r="R28" i="16"/>
  <c r="S28" i="16"/>
  <c r="T28" i="16"/>
  <c r="U28" i="16"/>
  <c r="D29" i="16"/>
  <c r="E29" i="16"/>
  <c r="F29" i="16"/>
  <c r="G29" i="16"/>
  <c r="I29" i="16"/>
  <c r="J29" i="16"/>
  <c r="N29" i="16"/>
  <c r="O29" i="16"/>
  <c r="P29" i="16"/>
  <c r="Q29" i="16"/>
  <c r="R29" i="16"/>
  <c r="S29" i="16"/>
  <c r="T29" i="16"/>
  <c r="U29" i="16"/>
  <c r="D30" i="16"/>
  <c r="E30" i="16"/>
  <c r="F30" i="16"/>
  <c r="G30" i="16"/>
  <c r="I30" i="16"/>
  <c r="J30" i="16"/>
  <c r="N30" i="16"/>
  <c r="O30" i="16"/>
  <c r="P30" i="16"/>
  <c r="Q30" i="16"/>
  <c r="R30" i="16"/>
  <c r="S30" i="16"/>
  <c r="T30" i="16"/>
  <c r="U30" i="16"/>
  <c r="D31" i="16"/>
  <c r="E31" i="16"/>
  <c r="F31" i="16"/>
  <c r="G31" i="16"/>
  <c r="I31" i="16"/>
  <c r="J31" i="16"/>
  <c r="N31" i="16"/>
  <c r="O31" i="16"/>
  <c r="P31" i="16"/>
  <c r="Q31" i="16"/>
  <c r="R31" i="16"/>
  <c r="S31" i="16"/>
  <c r="T31" i="16"/>
  <c r="U31" i="16"/>
  <c r="D32" i="16"/>
  <c r="E32" i="16"/>
  <c r="F32" i="16"/>
  <c r="G32" i="16"/>
  <c r="I32" i="16"/>
  <c r="J32" i="16"/>
  <c r="N32" i="16"/>
  <c r="O32" i="16"/>
  <c r="P32" i="16"/>
  <c r="Q32" i="16"/>
  <c r="R32" i="16"/>
  <c r="S32" i="16"/>
  <c r="T32" i="16"/>
  <c r="U32" i="16"/>
  <c r="D33" i="16"/>
  <c r="E33" i="16"/>
  <c r="F33" i="16"/>
  <c r="G33" i="16"/>
  <c r="I33" i="16"/>
  <c r="J33" i="16"/>
  <c r="N33" i="16"/>
  <c r="O33" i="16"/>
  <c r="P33" i="16"/>
  <c r="Q33" i="16"/>
  <c r="R33" i="16"/>
  <c r="S33" i="16"/>
  <c r="T33" i="16"/>
  <c r="U33" i="16"/>
  <c r="D34" i="16"/>
  <c r="E34" i="16"/>
  <c r="F34" i="16"/>
  <c r="G34" i="16"/>
  <c r="I34" i="16"/>
  <c r="J34" i="16"/>
  <c r="N34" i="16"/>
  <c r="O34" i="16"/>
  <c r="P34" i="16"/>
  <c r="Q34" i="16"/>
  <c r="R34" i="16"/>
  <c r="S34" i="16"/>
  <c r="T34" i="16"/>
  <c r="U34" i="16"/>
  <c r="D35" i="16"/>
  <c r="E35" i="16"/>
  <c r="F35" i="16"/>
  <c r="G35" i="16"/>
  <c r="I35" i="16"/>
  <c r="J35" i="16"/>
  <c r="N35" i="16"/>
  <c r="O35" i="16"/>
  <c r="P35" i="16"/>
  <c r="Q35" i="16"/>
  <c r="R35" i="16"/>
  <c r="S35" i="16"/>
  <c r="T35" i="16"/>
  <c r="U35" i="16"/>
  <c r="D36" i="16"/>
  <c r="E36" i="16"/>
  <c r="F36" i="16"/>
  <c r="G36" i="16"/>
  <c r="I36" i="16"/>
  <c r="J36" i="16"/>
  <c r="N36" i="16"/>
  <c r="O36" i="16"/>
  <c r="P36" i="16"/>
  <c r="Q36" i="16"/>
  <c r="R36" i="16"/>
  <c r="S36" i="16"/>
  <c r="T36" i="16"/>
  <c r="U36" i="16"/>
  <c r="D37" i="16"/>
  <c r="E37" i="16"/>
  <c r="F37" i="16"/>
  <c r="G37" i="16"/>
  <c r="I37" i="16"/>
  <c r="J37" i="16"/>
  <c r="N37" i="16"/>
  <c r="O37" i="16"/>
  <c r="P37" i="16"/>
  <c r="Q37" i="16"/>
  <c r="R37" i="16"/>
  <c r="S37" i="16"/>
  <c r="T37" i="16"/>
  <c r="U37" i="16"/>
  <c r="D7" i="16"/>
  <c r="E7" i="16"/>
  <c r="F7" i="16"/>
  <c r="G7" i="16"/>
  <c r="I7" i="16"/>
  <c r="J7" i="16"/>
  <c r="N7" i="16"/>
  <c r="O7" i="16"/>
  <c r="P7" i="16"/>
  <c r="Q7" i="16"/>
  <c r="R7" i="16"/>
  <c r="S7" i="16"/>
  <c r="T7" i="16"/>
  <c r="U7" i="16"/>
  <c r="D8" i="16"/>
  <c r="E8" i="16"/>
  <c r="F8" i="16"/>
  <c r="G8" i="16"/>
  <c r="I8" i="16"/>
  <c r="J8" i="16"/>
  <c r="N8" i="16"/>
  <c r="O8" i="16"/>
  <c r="P8" i="16"/>
  <c r="Q8" i="16"/>
  <c r="R8" i="16"/>
  <c r="S8" i="16"/>
  <c r="T8" i="16"/>
  <c r="U8" i="16"/>
  <c r="D9" i="16"/>
  <c r="E9" i="16"/>
  <c r="F9" i="16"/>
  <c r="G9" i="16"/>
  <c r="I9" i="16"/>
  <c r="J9" i="16"/>
  <c r="N9" i="16"/>
  <c r="O9" i="16"/>
  <c r="P9" i="16"/>
  <c r="Q9" i="16"/>
  <c r="R9" i="16"/>
  <c r="S9" i="16"/>
  <c r="T9" i="16"/>
  <c r="U9" i="16"/>
  <c r="D10" i="16"/>
  <c r="E10" i="16"/>
  <c r="F10" i="16"/>
  <c r="G10" i="16"/>
  <c r="I10" i="16"/>
  <c r="J10" i="16"/>
  <c r="N10" i="16"/>
  <c r="O10" i="16"/>
  <c r="P10" i="16"/>
  <c r="Q10" i="16"/>
  <c r="R10" i="16"/>
  <c r="S10" i="16"/>
  <c r="T10" i="16"/>
  <c r="U10" i="16"/>
  <c r="D11" i="16"/>
  <c r="F11" i="16"/>
  <c r="G11" i="16"/>
  <c r="I11" i="16"/>
  <c r="J11" i="16"/>
  <c r="N11" i="16"/>
  <c r="O11" i="16"/>
  <c r="P11" i="16"/>
  <c r="Q11" i="16"/>
  <c r="R11" i="16"/>
  <c r="S11" i="16"/>
  <c r="T11" i="16"/>
  <c r="U11" i="16"/>
  <c r="D12" i="16"/>
  <c r="E12" i="16"/>
  <c r="F12" i="16"/>
  <c r="G12" i="16"/>
  <c r="I12" i="16"/>
  <c r="J12" i="16"/>
  <c r="N12" i="16"/>
  <c r="O12" i="16"/>
  <c r="P12" i="16"/>
  <c r="Q12" i="16"/>
  <c r="R12" i="16"/>
  <c r="S12" i="16"/>
  <c r="T12" i="16"/>
  <c r="U12" i="16"/>
  <c r="D13" i="16"/>
  <c r="E13" i="16"/>
  <c r="F13" i="16"/>
  <c r="G13" i="16"/>
  <c r="I13" i="16"/>
  <c r="J13" i="16"/>
  <c r="N13" i="16"/>
  <c r="O13" i="16"/>
  <c r="P13" i="16"/>
  <c r="Q13" i="16"/>
  <c r="R13" i="16"/>
  <c r="S13" i="16"/>
  <c r="T13" i="16"/>
  <c r="U13" i="16"/>
  <c r="D14" i="16"/>
  <c r="E14" i="16"/>
  <c r="F14" i="16"/>
  <c r="G14" i="16"/>
  <c r="I14" i="16"/>
  <c r="J14" i="16"/>
  <c r="N14" i="16"/>
  <c r="O14" i="16"/>
  <c r="P14" i="16"/>
  <c r="Q14" i="16"/>
  <c r="R14" i="16"/>
  <c r="S14" i="16"/>
  <c r="T14" i="16"/>
  <c r="U14" i="16"/>
  <c r="D15" i="16"/>
  <c r="E15" i="16"/>
  <c r="F15" i="16"/>
  <c r="G15" i="16"/>
  <c r="I15" i="16"/>
  <c r="J15" i="16"/>
  <c r="N15" i="16"/>
  <c r="O15" i="16"/>
  <c r="P15" i="16"/>
  <c r="Q15" i="16"/>
  <c r="R15" i="16"/>
  <c r="S15" i="16"/>
  <c r="T15" i="16"/>
  <c r="U15" i="16"/>
  <c r="D16" i="16"/>
  <c r="E16" i="16"/>
  <c r="F16" i="16"/>
  <c r="G16" i="16"/>
  <c r="I16" i="16"/>
  <c r="J16" i="16"/>
  <c r="N16" i="16"/>
  <c r="O16" i="16"/>
  <c r="P16" i="16"/>
  <c r="Q16" i="16"/>
  <c r="R16" i="16"/>
  <c r="S16" i="16"/>
  <c r="T16" i="16"/>
  <c r="U16" i="16"/>
  <c r="D17" i="16"/>
  <c r="E17" i="16"/>
  <c r="F17" i="16"/>
  <c r="G17" i="16"/>
  <c r="I17" i="16"/>
  <c r="J17" i="16"/>
  <c r="N17" i="16"/>
  <c r="O17" i="16"/>
  <c r="P17" i="16"/>
  <c r="Q17" i="16"/>
  <c r="R17" i="16"/>
  <c r="S17" i="16"/>
  <c r="T17" i="16"/>
  <c r="U17" i="16"/>
  <c r="D18" i="16"/>
  <c r="E18" i="16"/>
  <c r="F18" i="16"/>
  <c r="G18" i="16"/>
  <c r="I18" i="16"/>
  <c r="J18" i="16"/>
  <c r="N18" i="16"/>
  <c r="O18" i="16"/>
  <c r="P18" i="16"/>
  <c r="Q18" i="16"/>
  <c r="R18" i="16"/>
  <c r="S18" i="16"/>
  <c r="T18" i="16"/>
  <c r="U18" i="16"/>
  <c r="D19" i="16"/>
  <c r="E19" i="16"/>
  <c r="F19" i="16"/>
  <c r="G19" i="16"/>
  <c r="I19" i="16"/>
  <c r="J19" i="16"/>
  <c r="N19" i="16"/>
  <c r="O19" i="16"/>
  <c r="P19" i="16"/>
  <c r="Q19" i="16"/>
  <c r="R19" i="16"/>
  <c r="S19" i="16"/>
  <c r="T19" i="16"/>
  <c r="U19" i="16"/>
  <c r="D20" i="16"/>
  <c r="E20" i="16"/>
  <c r="F20" i="16"/>
  <c r="G20" i="16"/>
  <c r="I20" i="16"/>
  <c r="J20" i="16"/>
  <c r="N20" i="16"/>
  <c r="O20" i="16"/>
  <c r="P20" i="16"/>
  <c r="Q20" i="16"/>
  <c r="R20" i="16"/>
  <c r="S20" i="16"/>
  <c r="T20" i="16"/>
  <c r="U20" i="16"/>
  <c r="D21" i="16"/>
  <c r="E21" i="16"/>
  <c r="F21" i="16"/>
  <c r="G21" i="16"/>
  <c r="I21" i="16"/>
  <c r="J21" i="16"/>
  <c r="N21" i="16"/>
  <c r="O21" i="16"/>
  <c r="P21" i="16"/>
  <c r="Q21" i="16"/>
  <c r="R21" i="16"/>
  <c r="S21" i="16"/>
  <c r="T21" i="16"/>
  <c r="U21" i="16"/>
  <c r="D22" i="16"/>
  <c r="E22" i="16"/>
  <c r="F22" i="16"/>
  <c r="G22" i="16"/>
  <c r="I22" i="16"/>
  <c r="J22" i="16"/>
  <c r="N22" i="16"/>
  <c r="O22" i="16"/>
  <c r="P22" i="16"/>
  <c r="Q22" i="16"/>
  <c r="R22" i="16"/>
  <c r="S22" i="16"/>
  <c r="T22" i="16"/>
  <c r="U22" i="16"/>
  <c r="EL9" i="8" l="1"/>
  <c r="EB8" i="8"/>
  <c r="EL11" i="8"/>
  <c r="EL13" i="8"/>
  <c r="EB14" i="8"/>
  <c r="EA8" i="8"/>
  <c r="DT7" i="8"/>
  <c r="EL7" i="8"/>
  <c r="EI6" i="8"/>
  <c r="EJ6" i="8"/>
  <c r="N7" i="8"/>
  <c r="EE8" i="8"/>
  <c r="EE12" i="8"/>
  <c r="EA10" i="8"/>
  <c r="EG6" i="8"/>
  <c r="DZ10" i="8"/>
  <c r="EF6" i="8"/>
  <c r="EE10" i="8"/>
  <c r="EK6" i="8"/>
  <c r="DZ8" i="8"/>
  <c r="EB12" i="8"/>
  <c r="EH6" i="8"/>
  <c r="BE4" i="1"/>
  <c r="BE12" i="1" s="1"/>
  <c r="BF4" i="1"/>
  <c r="G4" i="18"/>
  <c r="X4" i="18"/>
  <c r="U4" i="18"/>
  <c r="W4" i="18"/>
  <c r="J4" i="18"/>
  <c r="H4" i="18"/>
  <c r="AN5" i="18"/>
  <c r="AN8" i="18"/>
  <c r="AO7" i="18"/>
  <c r="B4" i="18"/>
  <c r="AK5" i="18"/>
  <c r="AK8" i="18"/>
  <c r="AO9" i="18"/>
  <c r="DZ14" i="8"/>
  <c r="EA14" i="8"/>
  <c r="ED10" i="8"/>
  <c r="ED14" i="8"/>
  <c r="EC14" i="8"/>
  <c r="EC8" i="8"/>
  <c r="EC10" i="8"/>
  <c r="DY10" i="8"/>
  <c r="DY12" i="8"/>
  <c r="DY8" i="8"/>
  <c r="EC12" i="8"/>
  <c r="ED12" i="8"/>
  <c r="DY14" i="8"/>
  <c r="ED8" i="8"/>
  <c r="AZ7" i="8"/>
  <c r="AJ7" i="8"/>
  <c r="AM5" i="18"/>
  <c r="AF7" i="18"/>
  <c r="AM8" i="18"/>
  <c r="AF9" i="18"/>
  <c r="AZ13" i="8"/>
  <c r="AJ13" i="8"/>
  <c r="X7" i="8"/>
  <c r="X13" i="8"/>
  <c r="M9" i="8"/>
  <c r="I4" i="18"/>
  <c r="AD9" i="8"/>
  <c r="BF7" i="8"/>
  <c r="AT7" i="8"/>
  <c r="AD7" i="8"/>
  <c r="AT9" i="8"/>
  <c r="AZ9" i="8"/>
  <c r="AJ9" i="8"/>
  <c r="X9" i="8"/>
  <c r="BF9" i="8"/>
  <c r="Y4" i="18"/>
  <c r="AN7" i="18"/>
  <c r="AN9" i="18"/>
  <c r="M11" i="8"/>
  <c r="AO8" i="18"/>
  <c r="AO5" i="18"/>
  <c r="AL5" i="18"/>
  <c r="AL8" i="18"/>
  <c r="AM7" i="18"/>
  <c r="AM9" i="18"/>
  <c r="AL7" i="18"/>
  <c r="AL9" i="18"/>
  <c r="AF5" i="18"/>
  <c r="AF8" i="18"/>
  <c r="V4" i="18"/>
  <c r="AK4" i="18" s="1"/>
  <c r="AK7" i="18"/>
  <c r="AK9" i="18"/>
  <c r="Q4" i="18"/>
  <c r="Z4" i="18"/>
  <c r="K4" i="18"/>
  <c r="DQ6" i="8"/>
  <c r="DQ10" i="8" s="1"/>
  <c r="DU9" i="8"/>
  <c r="DX65" i="8"/>
  <c r="DU7" i="8"/>
  <c r="DV13" i="8"/>
  <c r="DX47" i="8"/>
  <c r="DX21" i="8"/>
  <c r="DX39" i="8"/>
  <c r="DX44" i="8"/>
  <c r="DX51" i="8"/>
  <c r="DX56" i="8"/>
  <c r="DX60" i="8"/>
  <c r="DX69" i="8"/>
  <c r="DW13" i="8"/>
  <c r="DX28" i="8"/>
  <c r="DX55" i="8"/>
  <c r="DM6" i="8"/>
  <c r="DM8" i="8" s="1"/>
  <c r="DT9" i="8"/>
  <c r="DX26" i="8"/>
  <c r="DX35" i="8"/>
  <c r="DX62" i="8"/>
  <c r="DT11" i="8"/>
  <c r="DX18" i="8"/>
  <c r="DX29" i="8"/>
  <c r="DX36" i="8"/>
  <c r="DX41" i="8"/>
  <c r="DX48" i="8"/>
  <c r="DX66" i="8"/>
  <c r="DU11" i="8"/>
  <c r="DX22" i="8"/>
  <c r="DX27" i="8"/>
  <c r="DX34" i="8"/>
  <c r="DX42" i="8"/>
  <c r="DX54" i="8"/>
  <c r="DX61" i="8"/>
  <c r="DW9" i="8"/>
  <c r="DX25" i="8"/>
  <c r="DX30" i="8"/>
  <c r="DX40" i="8"/>
  <c r="DX49" i="8"/>
  <c r="DV7" i="8"/>
  <c r="DW11" i="8"/>
  <c r="DR7" i="8"/>
  <c r="DX17" i="8"/>
  <c r="DX43" i="8"/>
  <c r="DX52" i="8"/>
  <c r="DK6" i="8"/>
  <c r="DK12" i="8" s="1"/>
  <c r="DX16" i="8"/>
  <c r="DS9" i="8"/>
  <c r="DS11" i="8"/>
  <c r="DX53" i="8"/>
  <c r="DS13" i="8"/>
  <c r="DX63" i="8"/>
  <c r="DX23" i="8"/>
  <c r="DR9" i="8"/>
  <c r="DX37" i="8"/>
  <c r="DR11" i="8"/>
  <c r="DX50" i="8"/>
  <c r="DR13" i="8"/>
  <c r="DX67" i="8"/>
  <c r="DX20" i="8"/>
  <c r="DX33" i="8"/>
  <c r="DX57" i="8"/>
  <c r="DX64" i="8"/>
  <c r="DN6" i="8"/>
  <c r="DL6" i="8"/>
  <c r="DL14" i="8" s="1"/>
  <c r="DX24" i="8"/>
  <c r="DX38" i="8"/>
  <c r="DX68" i="8"/>
  <c r="DS7" i="8"/>
  <c r="DX31" i="8"/>
  <c r="DV9" i="8"/>
  <c r="DX45" i="8"/>
  <c r="DV11" i="8"/>
  <c r="DX58" i="8"/>
  <c r="DU13" i="8"/>
  <c r="DX19" i="8"/>
  <c r="DT13" i="8"/>
  <c r="DO6" i="8"/>
  <c r="DP6" i="8"/>
  <c r="AP4" i="1"/>
  <c r="J5" i="16"/>
  <c r="J23" i="16"/>
  <c r="J38" i="16"/>
  <c r="J52" i="16"/>
  <c r="I5" i="16"/>
  <c r="I23" i="16"/>
  <c r="I38" i="16"/>
  <c r="I52" i="16"/>
  <c r="S5" i="16"/>
  <c r="Q5" i="16"/>
  <c r="O5" i="16"/>
  <c r="U23" i="16"/>
  <c r="Q23" i="16"/>
  <c r="T5" i="16"/>
  <c r="R5" i="16"/>
  <c r="P5" i="16"/>
  <c r="N5" i="16"/>
  <c r="T23" i="16"/>
  <c r="R23" i="16"/>
  <c r="P23" i="16"/>
  <c r="N23" i="16"/>
  <c r="T38" i="16"/>
  <c r="R38" i="16"/>
  <c r="P38" i="16"/>
  <c r="N38" i="16"/>
  <c r="T52" i="16"/>
  <c r="R52" i="16"/>
  <c r="P52" i="16"/>
  <c r="N52" i="16"/>
  <c r="U5" i="16"/>
  <c r="S23" i="16"/>
  <c r="O23" i="16"/>
  <c r="U38" i="16"/>
  <c r="S38" i="16"/>
  <c r="Q38" i="16"/>
  <c r="O38" i="16"/>
  <c r="U52" i="16"/>
  <c r="S52" i="16"/>
  <c r="Q52" i="16"/>
  <c r="O52" i="16"/>
  <c r="DX7" i="8" l="1"/>
  <c r="EL6" i="8"/>
  <c r="BF6" i="1"/>
  <c r="AL4" i="18"/>
  <c r="AM4" i="18"/>
  <c r="AN4" i="18"/>
  <c r="AF4" i="18"/>
  <c r="BF10" i="1"/>
  <c r="BF8" i="1"/>
  <c r="BF12" i="1"/>
  <c r="AO4" i="18"/>
  <c r="DQ12" i="8"/>
  <c r="DQ8" i="8"/>
  <c r="DQ14" i="8"/>
  <c r="AP6" i="1"/>
  <c r="DL8" i="8"/>
  <c r="DK8" i="8"/>
  <c r="DT6" i="8"/>
  <c r="DM12" i="8"/>
  <c r="DX11" i="8"/>
  <c r="DV6" i="8"/>
  <c r="DM14" i="8"/>
  <c r="DX13" i="8"/>
  <c r="DM10" i="8"/>
  <c r="DK14" i="8"/>
  <c r="DU6" i="8"/>
  <c r="DP8" i="8"/>
  <c r="DX9" i="8"/>
  <c r="DP10" i="8"/>
  <c r="DP12" i="8"/>
  <c r="DP14" i="8"/>
  <c r="DR6" i="8"/>
  <c r="DS6" i="8"/>
  <c r="DO8" i="8"/>
  <c r="DO10" i="8"/>
  <c r="DO14" i="8"/>
  <c r="DL10" i="8"/>
  <c r="DN8" i="8"/>
  <c r="DO12" i="8"/>
  <c r="DN14" i="8"/>
  <c r="DL12" i="8"/>
  <c r="DN10" i="8"/>
  <c r="DN12" i="8"/>
  <c r="DW6" i="8"/>
  <c r="DK10" i="8"/>
  <c r="AP12" i="1"/>
  <c r="AP10" i="1"/>
  <c r="AP8" i="1"/>
  <c r="BE6" i="1"/>
  <c r="BE8" i="1"/>
  <c r="BE10" i="1"/>
  <c r="I4" i="16"/>
  <c r="J4" i="16"/>
  <c r="N4" i="16"/>
  <c r="R4" i="16"/>
  <c r="O4" i="16"/>
  <c r="S4" i="16"/>
  <c r="U4" i="16"/>
  <c r="P4" i="16"/>
  <c r="T4" i="16"/>
  <c r="Q4" i="16"/>
  <c r="B52" i="15"/>
  <c r="C52" i="15"/>
  <c r="H52" i="15"/>
  <c r="K52" i="15"/>
  <c r="M52" i="15"/>
  <c r="V52" i="15"/>
  <c r="X52" i="15"/>
  <c r="Z52" i="15"/>
  <c r="AB52" i="15"/>
  <c r="AD52" i="15"/>
  <c r="AF52" i="15"/>
  <c r="AH52" i="15"/>
  <c r="AJ52" i="15"/>
  <c r="AL52" i="15"/>
  <c r="AN52" i="15"/>
  <c r="AP52" i="15"/>
  <c r="B38" i="15"/>
  <c r="C38" i="15"/>
  <c r="H38" i="15"/>
  <c r="K38" i="15"/>
  <c r="M38" i="15"/>
  <c r="V38" i="15"/>
  <c r="X38" i="15"/>
  <c r="Z38" i="15"/>
  <c r="AB38" i="15"/>
  <c r="AD38" i="15"/>
  <c r="AF38" i="15"/>
  <c r="AH38" i="15"/>
  <c r="AJ38" i="15"/>
  <c r="AL38" i="15"/>
  <c r="AN38" i="15"/>
  <c r="AP38" i="15"/>
  <c r="B23" i="15"/>
  <c r="C23" i="15"/>
  <c r="H23" i="15"/>
  <c r="K23" i="15"/>
  <c r="M23" i="15"/>
  <c r="V23" i="15"/>
  <c r="X23" i="15"/>
  <c r="Z23" i="15"/>
  <c r="AB23" i="15"/>
  <c r="AD23" i="15"/>
  <c r="AF23" i="15"/>
  <c r="AH23" i="15"/>
  <c r="AJ23" i="15"/>
  <c r="AL23" i="15"/>
  <c r="AN23" i="15"/>
  <c r="AP23" i="15"/>
  <c r="B5" i="15"/>
  <c r="B4" i="15" s="1"/>
  <c r="B6" i="15" s="1"/>
  <c r="C5" i="15"/>
  <c r="C4" i="15" s="1"/>
  <c r="C6" i="15" s="1"/>
  <c r="H5" i="15"/>
  <c r="H4" i="15" s="1"/>
  <c r="H6" i="15" s="1"/>
  <c r="K5" i="15"/>
  <c r="K4" i="15" s="1"/>
  <c r="K6" i="15" s="1"/>
  <c r="M5" i="15"/>
  <c r="M4" i="15" s="1"/>
  <c r="M6" i="15" s="1"/>
  <c r="V5" i="15"/>
  <c r="V4" i="15" s="1"/>
  <c r="V6" i="15" s="1"/>
  <c r="X5" i="15"/>
  <c r="X4" i="15" s="1"/>
  <c r="X6" i="15" s="1"/>
  <c r="Z5" i="15"/>
  <c r="Z4" i="15" s="1"/>
  <c r="Z6" i="15" s="1"/>
  <c r="AB5" i="15"/>
  <c r="AB4" i="15" s="1"/>
  <c r="AB6" i="15" s="1"/>
  <c r="AD5" i="15"/>
  <c r="AD4" i="15" s="1"/>
  <c r="AD6" i="15" s="1"/>
  <c r="AF5" i="15"/>
  <c r="AF4" i="15" s="1"/>
  <c r="AF6" i="15" s="1"/>
  <c r="AH5" i="15"/>
  <c r="AH4" i="15" s="1"/>
  <c r="AH6" i="15" s="1"/>
  <c r="AJ5" i="15"/>
  <c r="AJ4" i="15" s="1"/>
  <c r="AJ6" i="15" s="1"/>
  <c r="AL5" i="15"/>
  <c r="AL4" i="15" s="1"/>
  <c r="AL6" i="15" s="1"/>
  <c r="AN5" i="15"/>
  <c r="AN4" i="15" s="1"/>
  <c r="AN6" i="15" s="1"/>
  <c r="AP5" i="15"/>
  <c r="AP4" i="15" s="1"/>
  <c r="AP6" i="15" s="1"/>
  <c r="DX6" i="8" l="1"/>
  <c r="I39" i="16"/>
  <c r="I53" i="16"/>
  <c r="I24" i="16"/>
  <c r="I6" i="16"/>
  <c r="J53" i="16"/>
  <c r="J24" i="16"/>
  <c r="J39" i="16"/>
  <c r="J6" i="16"/>
  <c r="T39" i="16"/>
  <c r="T6" i="16"/>
  <c r="T53" i="16"/>
  <c r="T24" i="16"/>
  <c r="U39" i="16"/>
  <c r="U6" i="16"/>
  <c r="U53" i="16"/>
  <c r="U24" i="16"/>
  <c r="O39" i="16"/>
  <c r="O53" i="16"/>
  <c r="O24" i="16"/>
  <c r="O6" i="16"/>
  <c r="N39" i="16"/>
  <c r="N6" i="16"/>
  <c r="N53" i="16"/>
  <c r="N24" i="16"/>
  <c r="Q39" i="16"/>
  <c r="Q6" i="16"/>
  <c r="Q53" i="16"/>
  <c r="Q24" i="16"/>
  <c r="P39" i="16"/>
  <c r="P6" i="16"/>
  <c r="P53" i="16"/>
  <c r="P24" i="16"/>
  <c r="S39" i="16"/>
  <c r="S6" i="16"/>
  <c r="S53" i="16"/>
  <c r="S24" i="16"/>
  <c r="R39" i="16"/>
  <c r="R6" i="16"/>
  <c r="R53" i="16"/>
  <c r="R24" i="16"/>
  <c r="H52" i="16"/>
  <c r="H38" i="16"/>
  <c r="H23" i="16"/>
  <c r="H5" i="16"/>
  <c r="AN52" i="16"/>
  <c r="AL52" i="16"/>
  <c r="AJ52" i="16"/>
  <c r="AH52" i="16"/>
  <c r="AF52" i="16"/>
  <c r="AD52" i="16"/>
  <c r="AB52" i="16"/>
  <c r="Z52" i="16"/>
  <c r="X52" i="16"/>
  <c r="V52" i="16"/>
  <c r="AN38" i="16"/>
  <c r="AL38" i="16"/>
  <c r="AJ38" i="16"/>
  <c r="AH38" i="16"/>
  <c r="AF38" i="16"/>
  <c r="AD38" i="16"/>
  <c r="AB38" i="16"/>
  <c r="Z38" i="16"/>
  <c r="X38" i="16"/>
  <c r="V38" i="16"/>
  <c r="M23" i="16"/>
  <c r="K23" i="16"/>
  <c r="M5" i="16"/>
  <c r="K5" i="16"/>
  <c r="B52" i="16"/>
  <c r="B38" i="16"/>
  <c r="B23" i="16"/>
  <c r="B5" i="16"/>
  <c r="C52" i="16"/>
  <c r="C38" i="16"/>
  <c r="C23" i="16"/>
  <c r="C5" i="16"/>
  <c r="M52" i="16"/>
  <c r="K52" i="16"/>
  <c r="M38" i="16"/>
  <c r="K38" i="16"/>
  <c r="AN23" i="16"/>
  <c r="AL23" i="16"/>
  <c r="AJ23" i="16"/>
  <c r="AH23" i="16"/>
  <c r="AF23" i="16"/>
  <c r="AD23" i="16"/>
  <c r="AB23" i="16"/>
  <c r="Z23" i="16"/>
  <c r="X23" i="16"/>
  <c r="V23" i="16"/>
  <c r="AN5" i="16"/>
  <c r="AL5" i="16"/>
  <c r="AJ5" i="16"/>
  <c r="AH5" i="16"/>
  <c r="AF5" i="16"/>
  <c r="AD5" i="16"/>
  <c r="AB5" i="16"/>
  <c r="Z5" i="16"/>
  <c r="X5" i="16"/>
  <c r="V5" i="16"/>
  <c r="M53" i="15"/>
  <c r="K53" i="15"/>
  <c r="C53" i="15"/>
  <c r="AP53" i="15"/>
  <c r="AN53" i="15"/>
  <c r="AL53" i="15"/>
  <c r="AJ53" i="15"/>
  <c r="AH53" i="15"/>
  <c r="AF53" i="15"/>
  <c r="AD53" i="15"/>
  <c r="AB53" i="15"/>
  <c r="Z53" i="15"/>
  <c r="X53" i="15"/>
  <c r="V53" i="15"/>
  <c r="H53" i="15"/>
  <c r="B53" i="15"/>
  <c r="M39" i="15"/>
  <c r="K39" i="15"/>
  <c r="C39" i="15"/>
  <c r="AP39" i="15"/>
  <c r="AN39" i="15"/>
  <c r="AL39" i="15"/>
  <c r="AJ39" i="15"/>
  <c r="AH39" i="15"/>
  <c r="AF39" i="15"/>
  <c r="AD39" i="15"/>
  <c r="AB39" i="15"/>
  <c r="Z39" i="15"/>
  <c r="X39" i="15"/>
  <c r="V39" i="15"/>
  <c r="H39" i="15"/>
  <c r="B39" i="15"/>
  <c r="M24" i="15"/>
  <c r="K24" i="15"/>
  <c r="C24" i="15"/>
  <c r="AP24" i="15"/>
  <c r="AN24" i="15"/>
  <c r="AL24" i="15"/>
  <c r="AJ24" i="15"/>
  <c r="AH24" i="15"/>
  <c r="AF24" i="15"/>
  <c r="AD24" i="15"/>
  <c r="AB24" i="15"/>
  <c r="Z24" i="15"/>
  <c r="X24" i="15"/>
  <c r="V24" i="15"/>
  <c r="H24" i="15"/>
  <c r="B24" i="15"/>
  <c r="AB4" i="16" l="1"/>
  <c r="AB6" i="16" s="1"/>
  <c r="X4" i="16"/>
  <c r="X6" i="16" s="1"/>
  <c r="AN4" i="16"/>
  <c r="AN6" i="16" s="1"/>
  <c r="AJ4" i="16"/>
  <c r="AJ6" i="16" s="1"/>
  <c r="AF4" i="16"/>
  <c r="AF6" i="16" s="1"/>
  <c r="B4" i="16"/>
  <c r="B6" i="16" s="1"/>
  <c r="V4" i="16"/>
  <c r="V6" i="16" s="1"/>
  <c r="Z4" i="16"/>
  <c r="Z6" i="16" s="1"/>
  <c r="AD4" i="16"/>
  <c r="AD6" i="16" s="1"/>
  <c r="AH4" i="16"/>
  <c r="AH6" i="16" s="1"/>
  <c r="AL4" i="16"/>
  <c r="AL6" i="16" s="1"/>
  <c r="H4" i="16"/>
  <c r="H6" i="16" s="1"/>
  <c r="C4" i="16"/>
  <c r="C6" i="16" s="1"/>
  <c r="K4" i="16"/>
  <c r="K6" i="16" s="1"/>
  <c r="M4" i="16"/>
  <c r="M6" i="16" s="1"/>
  <c r="AO63" i="15"/>
  <c r="AO63" i="16" s="1"/>
  <c r="AM63" i="15"/>
  <c r="AM63" i="16" s="1"/>
  <c r="AK63" i="15"/>
  <c r="AK63" i="16" s="1"/>
  <c r="AI63" i="15"/>
  <c r="AI63" i="16" s="1"/>
  <c r="AO62" i="15"/>
  <c r="AO62" i="16" s="1"/>
  <c r="AM62" i="15"/>
  <c r="AM62" i="16" s="1"/>
  <c r="AK62" i="15"/>
  <c r="AK62" i="16" s="1"/>
  <c r="AI62" i="15"/>
  <c r="AI62" i="16" s="1"/>
  <c r="AG62" i="15"/>
  <c r="AG62" i="16" s="1"/>
  <c r="AE62" i="15"/>
  <c r="AE62" i="16" s="1"/>
  <c r="AC62" i="15"/>
  <c r="AC62" i="16" s="1"/>
  <c r="AA62" i="15"/>
  <c r="AA62" i="16" s="1"/>
  <c r="Y62" i="15"/>
  <c r="Y62" i="16" s="1"/>
  <c r="W62" i="15"/>
  <c r="W62" i="16" s="1"/>
  <c r="L62" i="15"/>
  <c r="L62" i="16" s="1"/>
  <c r="AO61" i="15"/>
  <c r="AO61" i="16" s="1"/>
  <c r="AM61" i="15"/>
  <c r="AM61" i="16" s="1"/>
  <c r="AK61" i="15"/>
  <c r="AK61" i="16" s="1"/>
  <c r="AI61" i="15"/>
  <c r="AI61" i="16" s="1"/>
  <c r="AG61" i="15"/>
  <c r="AG61" i="16" s="1"/>
  <c r="AE61" i="15"/>
  <c r="AE61" i="16" s="1"/>
  <c r="AC61" i="15"/>
  <c r="AC61" i="16" s="1"/>
  <c r="AA61" i="15"/>
  <c r="AA61" i="16" s="1"/>
  <c r="Y61" i="15"/>
  <c r="Y61" i="16" s="1"/>
  <c r="W61" i="15"/>
  <c r="W61" i="16" s="1"/>
  <c r="L61" i="15"/>
  <c r="L61" i="16" s="1"/>
  <c r="AO60" i="15"/>
  <c r="AO60" i="16" s="1"/>
  <c r="AM60" i="15"/>
  <c r="AM60" i="16" s="1"/>
  <c r="AK60" i="15"/>
  <c r="AK60" i="16" s="1"/>
  <c r="AI60" i="15"/>
  <c r="AI60" i="16" s="1"/>
  <c r="AG60" i="15"/>
  <c r="AG60" i="16" s="1"/>
  <c r="AE60" i="15"/>
  <c r="AE60" i="16" s="1"/>
  <c r="AC60" i="15"/>
  <c r="AC60" i="16" s="1"/>
  <c r="AA60" i="15"/>
  <c r="AA60" i="16" s="1"/>
  <c r="Y60" i="15"/>
  <c r="Y60" i="16" s="1"/>
  <c r="W60" i="15"/>
  <c r="W60" i="16" s="1"/>
  <c r="L60" i="15"/>
  <c r="L60" i="16" s="1"/>
  <c r="AO59" i="15"/>
  <c r="AO59" i="16" s="1"/>
  <c r="AM59" i="15"/>
  <c r="AM59" i="16" s="1"/>
  <c r="AK59" i="15"/>
  <c r="AK59" i="16" s="1"/>
  <c r="AI59" i="15"/>
  <c r="AI59" i="16" s="1"/>
  <c r="AG59" i="15"/>
  <c r="AG59" i="16" s="1"/>
  <c r="AE59" i="15"/>
  <c r="AE59" i="16" s="1"/>
  <c r="AC59" i="15"/>
  <c r="AC59" i="16" s="1"/>
  <c r="AA59" i="15"/>
  <c r="AA59" i="16" s="1"/>
  <c r="Y59" i="15"/>
  <c r="Y59" i="16" s="1"/>
  <c r="W59" i="15"/>
  <c r="W59" i="16" s="1"/>
  <c r="L59" i="15"/>
  <c r="L59" i="16" s="1"/>
  <c r="AO58" i="15"/>
  <c r="AO58" i="16" s="1"/>
  <c r="AM58" i="15"/>
  <c r="AM58" i="16" s="1"/>
  <c r="AK58" i="15"/>
  <c r="AK58" i="16" s="1"/>
  <c r="AI58" i="15"/>
  <c r="AI58" i="16" s="1"/>
  <c r="AG58" i="15"/>
  <c r="AG58" i="16" s="1"/>
  <c r="AE58" i="15"/>
  <c r="AE58" i="16" s="1"/>
  <c r="AC58" i="15"/>
  <c r="AC58" i="16" s="1"/>
  <c r="AA58" i="15"/>
  <c r="AA58" i="16" s="1"/>
  <c r="Y58" i="15"/>
  <c r="Y58" i="16" s="1"/>
  <c r="W58" i="15"/>
  <c r="W58" i="16" s="1"/>
  <c r="L58" i="15"/>
  <c r="L58" i="16" s="1"/>
  <c r="AO57" i="15"/>
  <c r="AO57" i="16" s="1"/>
  <c r="AM57" i="15"/>
  <c r="AM57" i="16" s="1"/>
  <c r="AK57" i="15"/>
  <c r="AK57" i="16" s="1"/>
  <c r="AI57" i="15"/>
  <c r="AI57" i="16" s="1"/>
  <c r="AG57" i="15"/>
  <c r="AG57" i="16" s="1"/>
  <c r="AE57" i="15"/>
  <c r="AE57" i="16" s="1"/>
  <c r="AC57" i="15"/>
  <c r="AC57" i="16" s="1"/>
  <c r="AA57" i="15"/>
  <c r="AA57" i="16" s="1"/>
  <c r="Y57" i="15"/>
  <c r="Y57" i="16" s="1"/>
  <c r="W57" i="15"/>
  <c r="W57" i="16" s="1"/>
  <c r="L57" i="15"/>
  <c r="L57" i="16" s="1"/>
  <c r="AO56" i="15"/>
  <c r="AO56" i="16" s="1"/>
  <c r="AM56" i="15"/>
  <c r="AM56" i="16" s="1"/>
  <c r="AK56" i="15"/>
  <c r="AK56" i="16" s="1"/>
  <c r="AI56" i="15"/>
  <c r="AI56" i="16" s="1"/>
  <c r="AG56" i="15"/>
  <c r="AG56" i="16" s="1"/>
  <c r="AE56" i="15"/>
  <c r="AE56" i="16" s="1"/>
  <c r="AC56" i="15"/>
  <c r="AC56" i="16" s="1"/>
  <c r="AA56" i="15"/>
  <c r="AA56" i="16" s="1"/>
  <c r="Y56" i="15"/>
  <c r="Y56" i="16" s="1"/>
  <c r="W56" i="15"/>
  <c r="W56" i="16" s="1"/>
  <c r="L56" i="15"/>
  <c r="L56" i="16" s="1"/>
  <c r="AO55" i="15"/>
  <c r="AO55" i="16" s="1"/>
  <c r="AM55" i="15"/>
  <c r="AM55" i="16" s="1"/>
  <c r="AK55" i="15"/>
  <c r="AK55" i="16" s="1"/>
  <c r="AI55" i="15"/>
  <c r="AI55" i="16" s="1"/>
  <c r="AG55" i="15"/>
  <c r="AG55" i="16" s="1"/>
  <c r="AE55" i="15"/>
  <c r="AE55" i="16" s="1"/>
  <c r="AC55" i="15"/>
  <c r="AC55" i="16" s="1"/>
  <c r="AA55" i="15"/>
  <c r="AA55" i="16" s="1"/>
  <c r="Y55" i="15"/>
  <c r="Y55" i="16" s="1"/>
  <c r="W55" i="15"/>
  <c r="W55" i="16" s="1"/>
  <c r="L55" i="15"/>
  <c r="L55" i="16" s="1"/>
  <c r="AO54" i="15"/>
  <c r="AO54" i="16" s="1"/>
  <c r="AM54" i="15"/>
  <c r="AK54" i="15"/>
  <c r="AI54" i="15"/>
  <c r="AG54" i="15"/>
  <c r="AE54" i="15"/>
  <c r="AC54" i="15"/>
  <c r="AA54" i="15"/>
  <c r="Y54" i="15"/>
  <c r="W54" i="15"/>
  <c r="L54" i="15"/>
  <c r="AO51" i="15"/>
  <c r="AO51" i="16" s="1"/>
  <c r="AM51" i="15"/>
  <c r="AM51" i="16" s="1"/>
  <c r="AK51" i="15"/>
  <c r="AK51" i="16" s="1"/>
  <c r="AI51" i="15"/>
  <c r="AI51" i="16" s="1"/>
  <c r="AG51" i="15"/>
  <c r="AG51" i="16" s="1"/>
  <c r="AE51" i="15"/>
  <c r="AE51" i="16" s="1"/>
  <c r="AC51" i="15"/>
  <c r="AC51" i="16" s="1"/>
  <c r="AA51" i="15"/>
  <c r="AA51" i="16" s="1"/>
  <c r="Y51" i="15"/>
  <c r="Y51" i="16" s="1"/>
  <c r="W51" i="15"/>
  <c r="W51" i="16" s="1"/>
  <c r="L51" i="15"/>
  <c r="L51" i="16" s="1"/>
  <c r="AO50" i="15"/>
  <c r="AO50" i="16" s="1"/>
  <c r="AM50" i="15"/>
  <c r="AM50" i="16" s="1"/>
  <c r="AK50" i="15"/>
  <c r="AK50" i="16" s="1"/>
  <c r="AI50" i="15"/>
  <c r="AI50" i="16" s="1"/>
  <c r="AG50" i="15"/>
  <c r="AG50" i="16" s="1"/>
  <c r="AE50" i="15"/>
  <c r="AE50" i="16" s="1"/>
  <c r="AC50" i="15"/>
  <c r="AC50" i="16" s="1"/>
  <c r="AA50" i="15"/>
  <c r="AA50" i="16" s="1"/>
  <c r="Y50" i="15"/>
  <c r="Y50" i="16" s="1"/>
  <c r="W50" i="15"/>
  <c r="W50" i="16" s="1"/>
  <c r="L50" i="15"/>
  <c r="L50" i="16" s="1"/>
  <c r="AO49" i="15"/>
  <c r="AO49" i="16" s="1"/>
  <c r="AM49" i="15"/>
  <c r="AM49" i="16" s="1"/>
  <c r="AK49" i="15"/>
  <c r="AK49" i="16" s="1"/>
  <c r="AI49" i="15"/>
  <c r="AI49" i="16" s="1"/>
  <c r="AG49" i="15"/>
  <c r="AG49" i="16" s="1"/>
  <c r="AE49" i="15"/>
  <c r="AE49" i="16" s="1"/>
  <c r="AC49" i="15"/>
  <c r="AC49" i="16" s="1"/>
  <c r="AA49" i="15"/>
  <c r="AA49" i="16" s="1"/>
  <c r="Y49" i="15"/>
  <c r="Y49" i="16" s="1"/>
  <c r="W49" i="15"/>
  <c r="W49" i="16" s="1"/>
  <c r="L49" i="15"/>
  <c r="L49" i="16" s="1"/>
  <c r="AO48" i="15"/>
  <c r="AO48" i="16" s="1"/>
  <c r="AM48" i="15"/>
  <c r="AM48" i="16" s="1"/>
  <c r="AK48" i="15"/>
  <c r="AK48" i="16" s="1"/>
  <c r="AI48" i="15"/>
  <c r="AI48" i="16" s="1"/>
  <c r="AG48" i="15"/>
  <c r="AG48" i="16" s="1"/>
  <c r="AE48" i="15"/>
  <c r="AE48" i="16" s="1"/>
  <c r="AC48" i="15"/>
  <c r="AC48" i="16" s="1"/>
  <c r="AA48" i="15"/>
  <c r="AA48" i="16" s="1"/>
  <c r="Y48" i="15"/>
  <c r="Y48" i="16" s="1"/>
  <c r="W48" i="15"/>
  <c r="W48" i="16" s="1"/>
  <c r="L48" i="15"/>
  <c r="L48" i="16" s="1"/>
  <c r="AO47" i="15"/>
  <c r="AO47" i="16" s="1"/>
  <c r="AM47" i="15"/>
  <c r="AM47" i="16" s="1"/>
  <c r="AK47" i="15"/>
  <c r="AK47" i="16" s="1"/>
  <c r="AI47" i="15"/>
  <c r="AI47" i="16" s="1"/>
  <c r="AG47" i="15"/>
  <c r="AG47" i="16" s="1"/>
  <c r="AE47" i="15"/>
  <c r="AE47" i="16" s="1"/>
  <c r="AC47" i="15"/>
  <c r="AC47" i="16" s="1"/>
  <c r="AA47" i="15"/>
  <c r="AA47" i="16" s="1"/>
  <c r="Y47" i="15"/>
  <c r="Y47" i="16" s="1"/>
  <c r="W47" i="15"/>
  <c r="W47" i="16" s="1"/>
  <c r="L47" i="15"/>
  <c r="L47" i="16" s="1"/>
  <c r="AO46" i="15"/>
  <c r="AO46" i="16" s="1"/>
  <c r="AM46" i="15"/>
  <c r="AM46" i="16" s="1"/>
  <c r="AK46" i="15"/>
  <c r="AK46" i="16" s="1"/>
  <c r="AI46" i="15"/>
  <c r="AI46" i="16" s="1"/>
  <c r="AG46" i="15"/>
  <c r="AG46" i="16" s="1"/>
  <c r="AE46" i="15"/>
  <c r="AE46" i="16" s="1"/>
  <c r="AC46" i="15"/>
  <c r="AC46" i="16" s="1"/>
  <c r="AA46" i="15"/>
  <c r="AA46" i="16" s="1"/>
  <c r="Y46" i="15"/>
  <c r="Y46" i="16" s="1"/>
  <c r="W46" i="15"/>
  <c r="W46" i="16" s="1"/>
  <c r="L46" i="15"/>
  <c r="L46" i="16" s="1"/>
  <c r="AO45" i="15"/>
  <c r="AO45" i="16" s="1"/>
  <c r="AM45" i="15"/>
  <c r="AM45" i="16" s="1"/>
  <c r="AK45" i="15"/>
  <c r="AK45" i="16" s="1"/>
  <c r="AI45" i="15"/>
  <c r="AI45" i="16" s="1"/>
  <c r="AG45" i="15"/>
  <c r="AG45" i="16" s="1"/>
  <c r="AE45" i="15"/>
  <c r="AE45" i="16" s="1"/>
  <c r="AC45" i="15"/>
  <c r="AC45" i="16" s="1"/>
  <c r="AA45" i="15"/>
  <c r="AA45" i="16" s="1"/>
  <c r="Y45" i="15"/>
  <c r="Y45" i="16" s="1"/>
  <c r="W45" i="15"/>
  <c r="W45" i="16" s="1"/>
  <c r="L45" i="15"/>
  <c r="L45" i="16" s="1"/>
  <c r="AO44" i="15"/>
  <c r="AO44" i="16" s="1"/>
  <c r="AM44" i="15"/>
  <c r="AM44" i="16" s="1"/>
  <c r="AK44" i="15"/>
  <c r="AK44" i="16" s="1"/>
  <c r="AI44" i="15"/>
  <c r="AI44" i="16" s="1"/>
  <c r="AG44" i="15"/>
  <c r="AG44" i="16" s="1"/>
  <c r="AE44" i="15"/>
  <c r="AE44" i="16" s="1"/>
  <c r="AC44" i="15"/>
  <c r="AC44" i="16" s="1"/>
  <c r="AA44" i="15"/>
  <c r="AA44" i="16" s="1"/>
  <c r="Y44" i="15"/>
  <c r="Y44" i="16" s="1"/>
  <c r="W44" i="15"/>
  <c r="W44" i="16" s="1"/>
  <c r="L44" i="15"/>
  <c r="L44" i="16" s="1"/>
  <c r="AO43" i="15"/>
  <c r="AO43" i="16" s="1"/>
  <c r="AM43" i="15"/>
  <c r="AM43" i="16" s="1"/>
  <c r="AK43" i="15"/>
  <c r="AK43" i="16" s="1"/>
  <c r="AI43" i="15"/>
  <c r="AI43" i="16" s="1"/>
  <c r="AG43" i="15"/>
  <c r="AG43" i="16" s="1"/>
  <c r="AE43" i="15"/>
  <c r="AE43" i="16" s="1"/>
  <c r="AC43" i="15"/>
  <c r="AC43" i="16" s="1"/>
  <c r="AA43" i="15"/>
  <c r="AA43" i="16" s="1"/>
  <c r="Y43" i="15"/>
  <c r="Y43" i="16" s="1"/>
  <c r="W43" i="15"/>
  <c r="W43" i="16" s="1"/>
  <c r="L43" i="15"/>
  <c r="L43" i="16" s="1"/>
  <c r="AO42" i="15"/>
  <c r="AO42" i="16" s="1"/>
  <c r="AM42" i="15"/>
  <c r="AM42" i="16" s="1"/>
  <c r="AK42" i="15"/>
  <c r="AK42" i="16" s="1"/>
  <c r="AI42" i="15"/>
  <c r="AI42" i="16" s="1"/>
  <c r="AG42" i="15"/>
  <c r="AG42" i="16" s="1"/>
  <c r="AE42" i="15"/>
  <c r="AE42" i="16" s="1"/>
  <c r="AC42" i="15"/>
  <c r="AC42" i="16" s="1"/>
  <c r="AA42" i="15"/>
  <c r="AA42" i="16" s="1"/>
  <c r="Y42" i="15"/>
  <c r="Y42" i="16" s="1"/>
  <c r="W42" i="15"/>
  <c r="W42" i="16" s="1"/>
  <c r="L42" i="15"/>
  <c r="L42" i="16" s="1"/>
  <c r="AO41" i="15"/>
  <c r="AO41" i="16" s="1"/>
  <c r="AM41" i="15"/>
  <c r="AM41" i="16" s="1"/>
  <c r="AK41" i="15"/>
  <c r="AK41" i="16" s="1"/>
  <c r="AI41" i="15"/>
  <c r="AI41" i="16" s="1"/>
  <c r="AG41" i="15"/>
  <c r="AG41" i="16" s="1"/>
  <c r="AE41" i="15"/>
  <c r="AE41" i="16" s="1"/>
  <c r="AC41" i="15"/>
  <c r="AC41" i="16" s="1"/>
  <c r="AA41" i="15"/>
  <c r="AA41" i="16" s="1"/>
  <c r="Y41" i="15"/>
  <c r="Y41" i="16" s="1"/>
  <c r="W41" i="15"/>
  <c r="W41" i="16" s="1"/>
  <c r="L41" i="15"/>
  <c r="L41" i="16" s="1"/>
  <c r="AO40" i="15"/>
  <c r="AO40" i="16" s="1"/>
  <c r="AM40" i="15"/>
  <c r="AK40" i="15"/>
  <c r="AK40" i="16" s="1"/>
  <c r="AI40" i="15"/>
  <c r="AG40" i="15"/>
  <c r="AG40" i="16" s="1"/>
  <c r="AE40" i="15"/>
  <c r="AC40" i="15"/>
  <c r="AC40" i="16" s="1"/>
  <c r="AA40" i="15"/>
  <c r="Y40" i="15"/>
  <c r="Y40" i="16" s="1"/>
  <c r="W40" i="15"/>
  <c r="L40" i="15"/>
  <c r="L40" i="16" s="1"/>
  <c r="AO37" i="15"/>
  <c r="AO37" i="16" s="1"/>
  <c r="AM37" i="15"/>
  <c r="AM37" i="16" s="1"/>
  <c r="AK37" i="15"/>
  <c r="AK37" i="16" s="1"/>
  <c r="AI37" i="15"/>
  <c r="AI37" i="16" s="1"/>
  <c r="AG37" i="15"/>
  <c r="AG37" i="16" s="1"/>
  <c r="AE37" i="15"/>
  <c r="AE37" i="16" s="1"/>
  <c r="AC37" i="15"/>
  <c r="AC37" i="16" s="1"/>
  <c r="AA37" i="15"/>
  <c r="AA37" i="16" s="1"/>
  <c r="Y37" i="15"/>
  <c r="Y37" i="16" s="1"/>
  <c r="W37" i="15"/>
  <c r="W37" i="16" s="1"/>
  <c r="L37" i="15"/>
  <c r="L37" i="16" s="1"/>
  <c r="AO36" i="15"/>
  <c r="AO36" i="16" s="1"/>
  <c r="AM36" i="15"/>
  <c r="AM36" i="16" s="1"/>
  <c r="AK36" i="15"/>
  <c r="AK36" i="16" s="1"/>
  <c r="AI36" i="15"/>
  <c r="AI36" i="16" s="1"/>
  <c r="AG36" i="15"/>
  <c r="AG36" i="16" s="1"/>
  <c r="AE36" i="15"/>
  <c r="AE36" i="16" s="1"/>
  <c r="AC36" i="15"/>
  <c r="AC36" i="16" s="1"/>
  <c r="AA36" i="15"/>
  <c r="AA36" i="16" s="1"/>
  <c r="Y36" i="15"/>
  <c r="Y36" i="16" s="1"/>
  <c r="W36" i="15"/>
  <c r="W36" i="16" s="1"/>
  <c r="L36" i="15"/>
  <c r="L36" i="16" s="1"/>
  <c r="AO35" i="15"/>
  <c r="AO35" i="16" s="1"/>
  <c r="AM35" i="15"/>
  <c r="AM35" i="16" s="1"/>
  <c r="AK35" i="15"/>
  <c r="AK35" i="16" s="1"/>
  <c r="AI35" i="15"/>
  <c r="AI35" i="16" s="1"/>
  <c r="AG35" i="15"/>
  <c r="AG35" i="16" s="1"/>
  <c r="AE35" i="15"/>
  <c r="AE35" i="16" s="1"/>
  <c r="AC35" i="15"/>
  <c r="AC35" i="16" s="1"/>
  <c r="AA35" i="15"/>
  <c r="AA35" i="16" s="1"/>
  <c r="Y35" i="15"/>
  <c r="Y35" i="16" s="1"/>
  <c r="W35" i="15"/>
  <c r="W35" i="16" s="1"/>
  <c r="L35" i="15"/>
  <c r="L35" i="16" s="1"/>
  <c r="AO34" i="15"/>
  <c r="AO34" i="16" s="1"/>
  <c r="AM34" i="15"/>
  <c r="AM34" i="16" s="1"/>
  <c r="AK34" i="15"/>
  <c r="AK34" i="16" s="1"/>
  <c r="AI34" i="15"/>
  <c r="AI34" i="16" s="1"/>
  <c r="AG34" i="15"/>
  <c r="AG34" i="16" s="1"/>
  <c r="AE34" i="15"/>
  <c r="AE34" i="16" s="1"/>
  <c r="AC34" i="15"/>
  <c r="AC34" i="16" s="1"/>
  <c r="AA34" i="15"/>
  <c r="AA34" i="16" s="1"/>
  <c r="Y34" i="15"/>
  <c r="Y34" i="16" s="1"/>
  <c r="W34" i="15"/>
  <c r="W34" i="16" s="1"/>
  <c r="L34" i="15"/>
  <c r="L34" i="16" s="1"/>
  <c r="AO33" i="15"/>
  <c r="AO33" i="16" s="1"/>
  <c r="AM33" i="15"/>
  <c r="AM33" i="16" s="1"/>
  <c r="AK33" i="15"/>
  <c r="AK33" i="16" s="1"/>
  <c r="AI33" i="15"/>
  <c r="AI33" i="16" s="1"/>
  <c r="AG33" i="15"/>
  <c r="AG33" i="16" s="1"/>
  <c r="AE33" i="15"/>
  <c r="AE33" i="16" s="1"/>
  <c r="AC33" i="15"/>
  <c r="AC33" i="16" s="1"/>
  <c r="AA33" i="15"/>
  <c r="AA33" i="16" s="1"/>
  <c r="Y33" i="15"/>
  <c r="Y33" i="16" s="1"/>
  <c r="W33" i="15"/>
  <c r="W33" i="16" s="1"/>
  <c r="L33" i="15"/>
  <c r="L33" i="16" s="1"/>
  <c r="AO32" i="15"/>
  <c r="AO32" i="16" s="1"/>
  <c r="AM32" i="15"/>
  <c r="AM32" i="16" s="1"/>
  <c r="AK32" i="15"/>
  <c r="AK32" i="16" s="1"/>
  <c r="AI32" i="15"/>
  <c r="AI32" i="16" s="1"/>
  <c r="AG32" i="15"/>
  <c r="AG32" i="16" s="1"/>
  <c r="AE32" i="15"/>
  <c r="AE32" i="16" s="1"/>
  <c r="AC32" i="15"/>
  <c r="AC32" i="16" s="1"/>
  <c r="AA32" i="15"/>
  <c r="AA32" i="16" s="1"/>
  <c r="Y32" i="15"/>
  <c r="Y32" i="16" s="1"/>
  <c r="W32" i="15"/>
  <c r="W32" i="16" s="1"/>
  <c r="L32" i="15"/>
  <c r="L32" i="16" s="1"/>
  <c r="AO31" i="15"/>
  <c r="AO31" i="16" s="1"/>
  <c r="AM31" i="15"/>
  <c r="AM31" i="16" s="1"/>
  <c r="AK31" i="15"/>
  <c r="AK31" i="16" s="1"/>
  <c r="AI31" i="15"/>
  <c r="AI31" i="16" s="1"/>
  <c r="AG31" i="15"/>
  <c r="AG31" i="16" s="1"/>
  <c r="AE31" i="15"/>
  <c r="AE31" i="16" s="1"/>
  <c r="AC31" i="15"/>
  <c r="AC31" i="16" s="1"/>
  <c r="AA31" i="15"/>
  <c r="AA31" i="16" s="1"/>
  <c r="Y31" i="15"/>
  <c r="Y31" i="16" s="1"/>
  <c r="W31" i="15"/>
  <c r="W31" i="16" s="1"/>
  <c r="L31" i="15"/>
  <c r="L31" i="16" s="1"/>
  <c r="AO30" i="15"/>
  <c r="AO30" i="16" s="1"/>
  <c r="AM30" i="15"/>
  <c r="AM30" i="16" s="1"/>
  <c r="AK30" i="15"/>
  <c r="AK30" i="16" s="1"/>
  <c r="AI30" i="15"/>
  <c r="AI30" i="16" s="1"/>
  <c r="AG30" i="15"/>
  <c r="AG30" i="16" s="1"/>
  <c r="AE30" i="15"/>
  <c r="AE30" i="16" s="1"/>
  <c r="AC30" i="15"/>
  <c r="AC30" i="16" s="1"/>
  <c r="AA30" i="15"/>
  <c r="AA30" i="16" s="1"/>
  <c r="Y30" i="15"/>
  <c r="Y30" i="16" s="1"/>
  <c r="W30" i="15"/>
  <c r="W30" i="16" s="1"/>
  <c r="L30" i="15"/>
  <c r="L30" i="16" s="1"/>
  <c r="AO29" i="15"/>
  <c r="AO29" i="16" s="1"/>
  <c r="AM29" i="15"/>
  <c r="AM29" i="16" s="1"/>
  <c r="AK29" i="15"/>
  <c r="AK29" i="16" s="1"/>
  <c r="AI29" i="15"/>
  <c r="AI29" i="16" s="1"/>
  <c r="AG29" i="15"/>
  <c r="AG29" i="16" s="1"/>
  <c r="AE29" i="15"/>
  <c r="AE29" i="16" s="1"/>
  <c r="AC29" i="15"/>
  <c r="AC29" i="16" s="1"/>
  <c r="AA29" i="15"/>
  <c r="AA29" i="16" s="1"/>
  <c r="Y29" i="15"/>
  <c r="Y29" i="16" s="1"/>
  <c r="W29" i="15"/>
  <c r="W29" i="16" s="1"/>
  <c r="L29" i="15"/>
  <c r="L29" i="16" s="1"/>
  <c r="AO28" i="15"/>
  <c r="AO28" i="16" s="1"/>
  <c r="AM28" i="15"/>
  <c r="AM28" i="16" s="1"/>
  <c r="AK28" i="15"/>
  <c r="AK28" i="16" s="1"/>
  <c r="AI28" i="15"/>
  <c r="AI28" i="16" s="1"/>
  <c r="AG28" i="15"/>
  <c r="AG28" i="16" s="1"/>
  <c r="AE28" i="15"/>
  <c r="AE28" i="16" s="1"/>
  <c r="AC28" i="15"/>
  <c r="AC28" i="16" s="1"/>
  <c r="AA28" i="15"/>
  <c r="AA28" i="16" s="1"/>
  <c r="Y28" i="15"/>
  <c r="Y28" i="16" s="1"/>
  <c r="W28" i="15"/>
  <c r="W28" i="16" s="1"/>
  <c r="L28" i="15"/>
  <c r="L28" i="16" s="1"/>
  <c r="AO27" i="15"/>
  <c r="AO27" i="16" s="1"/>
  <c r="AM27" i="15"/>
  <c r="AM27" i="16" s="1"/>
  <c r="AK27" i="15"/>
  <c r="AK27" i="16" s="1"/>
  <c r="AI27" i="15"/>
  <c r="AI27" i="16" s="1"/>
  <c r="AG27" i="15"/>
  <c r="AG27" i="16" s="1"/>
  <c r="AE27" i="15"/>
  <c r="AE27" i="16" s="1"/>
  <c r="AC27" i="15"/>
  <c r="AC27" i="16" s="1"/>
  <c r="AA27" i="15"/>
  <c r="AA27" i="16" s="1"/>
  <c r="Y27" i="15"/>
  <c r="Y27" i="16" s="1"/>
  <c r="W27" i="15"/>
  <c r="W27" i="16" s="1"/>
  <c r="L27" i="15"/>
  <c r="L27" i="16" s="1"/>
  <c r="AO26" i="15"/>
  <c r="AO26" i="16" s="1"/>
  <c r="AM26" i="15"/>
  <c r="AM26" i="16" s="1"/>
  <c r="AK26" i="15"/>
  <c r="AK26" i="16" s="1"/>
  <c r="AI26" i="15"/>
  <c r="AI26" i="16" s="1"/>
  <c r="AG26" i="15"/>
  <c r="AG26" i="16" s="1"/>
  <c r="AE26" i="15"/>
  <c r="AE26" i="16" s="1"/>
  <c r="AC26" i="15"/>
  <c r="AC26" i="16" s="1"/>
  <c r="AA26" i="15"/>
  <c r="AA26" i="16" s="1"/>
  <c r="Y26" i="15"/>
  <c r="Y26" i="16" s="1"/>
  <c r="W26" i="15"/>
  <c r="W26" i="16" s="1"/>
  <c r="L26" i="15"/>
  <c r="L26" i="16" s="1"/>
  <c r="AO25" i="15"/>
  <c r="AM25" i="15"/>
  <c r="AM25" i="16" s="1"/>
  <c r="AK25" i="15"/>
  <c r="AI25" i="15"/>
  <c r="AI25" i="16" s="1"/>
  <c r="AG25" i="15"/>
  <c r="AE25" i="15"/>
  <c r="AE25" i="16" s="1"/>
  <c r="AC25" i="15"/>
  <c r="AA25" i="15"/>
  <c r="AA25" i="16" s="1"/>
  <c r="Y25" i="15"/>
  <c r="W25" i="15"/>
  <c r="W25" i="16" s="1"/>
  <c r="L25" i="15"/>
  <c r="AO22" i="15"/>
  <c r="AO22" i="16" s="1"/>
  <c r="AM22" i="15"/>
  <c r="AM22" i="16" s="1"/>
  <c r="AK22" i="15"/>
  <c r="AK22" i="16" s="1"/>
  <c r="AI22" i="15"/>
  <c r="AI22" i="16" s="1"/>
  <c r="AG22" i="15"/>
  <c r="AG22" i="16" s="1"/>
  <c r="AE22" i="15"/>
  <c r="AE22" i="16" s="1"/>
  <c r="AC22" i="15"/>
  <c r="AC22" i="16" s="1"/>
  <c r="AA22" i="15"/>
  <c r="AA22" i="16" s="1"/>
  <c r="Y22" i="15"/>
  <c r="Y22" i="16" s="1"/>
  <c r="W22" i="15"/>
  <c r="W22" i="16" s="1"/>
  <c r="L22" i="15"/>
  <c r="L22" i="16" s="1"/>
  <c r="AO21" i="15"/>
  <c r="AO21" i="16" s="1"/>
  <c r="AM21" i="15"/>
  <c r="AM21" i="16" s="1"/>
  <c r="AK21" i="15"/>
  <c r="AK21" i="16" s="1"/>
  <c r="AI21" i="15"/>
  <c r="AI21" i="16" s="1"/>
  <c r="AG21" i="15"/>
  <c r="AG21" i="16" s="1"/>
  <c r="AE21" i="15"/>
  <c r="AE21" i="16" s="1"/>
  <c r="AC21" i="15"/>
  <c r="AC21" i="16" s="1"/>
  <c r="AA21" i="15"/>
  <c r="AA21" i="16" s="1"/>
  <c r="Y21" i="15"/>
  <c r="Y21" i="16" s="1"/>
  <c r="W21" i="15"/>
  <c r="W21" i="16" s="1"/>
  <c r="L21" i="15"/>
  <c r="L21" i="16" s="1"/>
  <c r="AO20" i="15"/>
  <c r="AO20" i="16" s="1"/>
  <c r="AM20" i="15"/>
  <c r="AM20" i="16" s="1"/>
  <c r="AK20" i="15"/>
  <c r="AK20" i="16" s="1"/>
  <c r="AI20" i="15"/>
  <c r="AI20" i="16" s="1"/>
  <c r="AG20" i="15"/>
  <c r="AG20" i="16" s="1"/>
  <c r="AE20" i="15"/>
  <c r="AE20" i="16" s="1"/>
  <c r="AC20" i="15"/>
  <c r="AC20" i="16" s="1"/>
  <c r="AA20" i="15"/>
  <c r="AA20" i="16" s="1"/>
  <c r="Y20" i="15"/>
  <c r="Y20" i="16" s="1"/>
  <c r="W20" i="15"/>
  <c r="W20" i="16" s="1"/>
  <c r="L20" i="15"/>
  <c r="L20" i="16" s="1"/>
  <c r="AO19" i="15"/>
  <c r="AO19" i="16" s="1"/>
  <c r="AM19" i="15"/>
  <c r="AM19" i="16" s="1"/>
  <c r="AK19" i="15"/>
  <c r="AK19" i="16" s="1"/>
  <c r="AI19" i="15"/>
  <c r="AI19" i="16" s="1"/>
  <c r="AG19" i="15"/>
  <c r="AG19" i="16" s="1"/>
  <c r="AE19" i="15"/>
  <c r="AE19" i="16" s="1"/>
  <c r="AC19" i="15"/>
  <c r="AC19" i="16" s="1"/>
  <c r="AA19" i="15"/>
  <c r="AA19" i="16" s="1"/>
  <c r="Y19" i="15"/>
  <c r="Y19" i="16" s="1"/>
  <c r="W19" i="15"/>
  <c r="W19" i="16" s="1"/>
  <c r="L19" i="15"/>
  <c r="L19" i="16" s="1"/>
  <c r="AO18" i="15"/>
  <c r="AO18" i="16" s="1"/>
  <c r="AM18" i="15"/>
  <c r="AM18" i="16" s="1"/>
  <c r="AK18" i="15"/>
  <c r="AK18" i="16" s="1"/>
  <c r="AI18" i="15"/>
  <c r="AI18" i="16" s="1"/>
  <c r="AG18" i="15"/>
  <c r="AG18" i="16" s="1"/>
  <c r="AE18" i="15"/>
  <c r="AE18" i="16" s="1"/>
  <c r="AC18" i="15"/>
  <c r="AC18" i="16" s="1"/>
  <c r="AA18" i="15"/>
  <c r="AA18" i="16" s="1"/>
  <c r="Y18" i="15"/>
  <c r="Y18" i="16" s="1"/>
  <c r="W18" i="15"/>
  <c r="W18" i="16" s="1"/>
  <c r="L18" i="15"/>
  <c r="L18" i="16" s="1"/>
  <c r="AO17" i="15"/>
  <c r="AO17" i="16" s="1"/>
  <c r="AM17" i="15"/>
  <c r="AM17" i="16" s="1"/>
  <c r="AK17" i="15"/>
  <c r="AK17" i="16" s="1"/>
  <c r="AI17" i="15"/>
  <c r="AI17" i="16" s="1"/>
  <c r="AG17" i="15"/>
  <c r="AG17" i="16" s="1"/>
  <c r="AE17" i="15"/>
  <c r="AE17" i="16" s="1"/>
  <c r="AC17" i="15"/>
  <c r="AC17" i="16" s="1"/>
  <c r="AA17" i="15"/>
  <c r="AA17" i="16" s="1"/>
  <c r="Y17" i="15"/>
  <c r="Y17" i="16" s="1"/>
  <c r="W17" i="15"/>
  <c r="W17" i="16" s="1"/>
  <c r="L17" i="15"/>
  <c r="L17" i="16" s="1"/>
  <c r="AO16" i="15"/>
  <c r="AO16" i="16" s="1"/>
  <c r="AM16" i="15"/>
  <c r="AM16" i="16" s="1"/>
  <c r="AK16" i="15"/>
  <c r="AK16" i="16" s="1"/>
  <c r="AI16" i="15"/>
  <c r="AI16" i="16" s="1"/>
  <c r="AG16" i="15"/>
  <c r="AG16" i="16" s="1"/>
  <c r="AE16" i="15"/>
  <c r="AE16" i="16" s="1"/>
  <c r="AC16" i="15"/>
  <c r="AC16" i="16" s="1"/>
  <c r="AA16" i="15"/>
  <c r="AA16" i="16" s="1"/>
  <c r="Y16" i="15"/>
  <c r="Y16" i="16" s="1"/>
  <c r="W16" i="15"/>
  <c r="W16" i="16" s="1"/>
  <c r="L16" i="15"/>
  <c r="L16" i="16" s="1"/>
  <c r="AO15" i="15"/>
  <c r="AO15" i="16" s="1"/>
  <c r="AM15" i="15"/>
  <c r="AM15" i="16" s="1"/>
  <c r="AK15" i="15"/>
  <c r="AK15" i="16" s="1"/>
  <c r="AI15" i="15"/>
  <c r="AI15" i="16" s="1"/>
  <c r="AG15" i="15"/>
  <c r="AG15" i="16" s="1"/>
  <c r="AE15" i="15"/>
  <c r="AE15" i="16" s="1"/>
  <c r="AC15" i="15"/>
  <c r="AC15" i="16" s="1"/>
  <c r="AA15" i="15"/>
  <c r="AA15" i="16" s="1"/>
  <c r="Y15" i="15"/>
  <c r="Y15" i="16" s="1"/>
  <c r="W15" i="15"/>
  <c r="W15" i="16" s="1"/>
  <c r="L15" i="15"/>
  <c r="L15" i="16" s="1"/>
  <c r="AO14" i="15"/>
  <c r="AO14" i="16" s="1"/>
  <c r="AM14" i="15"/>
  <c r="AM14" i="16" s="1"/>
  <c r="AK14" i="15"/>
  <c r="AK14" i="16" s="1"/>
  <c r="AI14" i="15"/>
  <c r="AI14" i="16" s="1"/>
  <c r="AG14" i="15"/>
  <c r="AG14" i="16" s="1"/>
  <c r="AE14" i="15"/>
  <c r="AE14" i="16" s="1"/>
  <c r="AC14" i="15"/>
  <c r="AC14" i="16" s="1"/>
  <c r="AA14" i="15"/>
  <c r="AA14" i="16" s="1"/>
  <c r="Y14" i="15"/>
  <c r="Y14" i="16" s="1"/>
  <c r="W14" i="15"/>
  <c r="W14" i="16" s="1"/>
  <c r="L14" i="15"/>
  <c r="L14" i="16" s="1"/>
  <c r="AO13" i="15"/>
  <c r="AO13" i="16" s="1"/>
  <c r="AM13" i="15"/>
  <c r="AM13" i="16" s="1"/>
  <c r="AK13" i="15"/>
  <c r="AK13" i="16" s="1"/>
  <c r="AI13" i="15"/>
  <c r="AI13" i="16" s="1"/>
  <c r="AG13" i="15"/>
  <c r="AG13" i="16" s="1"/>
  <c r="AE13" i="15"/>
  <c r="AE13" i="16" s="1"/>
  <c r="AC13" i="15"/>
  <c r="AC13" i="16" s="1"/>
  <c r="AA13" i="15"/>
  <c r="AA13" i="16" s="1"/>
  <c r="Y13" i="15"/>
  <c r="Y13" i="16" s="1"/>
  <c r="W13" i="15"/>
  <c r="W13" i="16" s="1"/>
  <c r="L13" i="15"/>
  <c r="L13" i="16" s="1"/>
  <c r="AO12" i="15"/>
  <c r="AO12" i="16" s="1"/>
  <c r="AM12" i="15"/>
  <c r="AM12" i="16" s="1"/>
  <c r="AK12" i="15"/>
  <c r="AK12" i="16" s="1"/>
  <c r="AI12" i="15"/>
  <c r="AI12" i="16" s="1"/>
  <c r="AG12" i="15"/>
  <c r="AG12" i="16" s="1"/>
  <c r="AE12" i="15"/>
  <c r="AE12" i="16" s="1"/>
  <c r="AC12" i="15"/>
  <c r="AC12" i="16" s="1"/>
  <c r="AA12" i="15"/>
  <c r="AA12" i="16" s="1"/>
  <c r="Y12" i="15"/>
  <c r="Y12" i="16" s="1"/>
  <c r="W12" i="15"/>
  <c r="W12" i="16" s="1"/>
  <c r="L12" i="15"/>
  <c r="L12" i="16" s="1"/>
  <c r="AO11" i="15"/>
  <c r="AO11" i="16" s="1"/>
  <c r="AM11" i="15"/>
  <c r="AM11" i="16" s="1"/>
  <c r="AK11" i="15"/>
  <c r="AK11" i="16" s="1"/>
  <c r="AI11" i="15"/>
  <c r="AI11" i="16" s="1"/>
  <c r="AG11" i="15"/>
  <c r="AG11" i="16" s="1"/>
  <c r="AE11" i="15"/>
  <c r="AE11" i="16" s="1"/>
  <c r="AC11" i="15"/>
  <c r="AC11" i="16" s="1"/>
  <c r="AA11" i="15"/>
  <c r="AA11" i="16" s="1"/>
  <c r="Y11" i="15"/>
  <c r="Y11" i="16" s="1"/>
  <c r="W11" i="15"/>
  <c r="W11" i="16" s="1"/>
  <c r="L11" i="15"/>
  <c r="L11" i="16" s="1"/>
  <c r="AO10" i="15"/>
  <c r="AO10" i="16" s="1"/>
  <c r="AM10" i="15"/>
  <c r="AM10" i="16" s="1"/>
  <c r="AK10" i="15"/>
  <c r="AK10" i="16" s="1"/>
  <c r="AI10" i="15"/>
  <c r="AI10" i="16" s="1"/>
  <c r="AG10" i="15"/>
  <c r="AG10" i="16" s="1"/>
  <c r="AE10" i="15"/>
  <c r="AE10" i="16" s="1"/>
  <c r="AC10" i="15"/>
  <c r="AC10" i="16" s="1"/>
  <c r="AA10" i="15"/>
  <c r="AA10" i="16" s="1"/>
  <c r="Y10" i="15"/>
  <c r="Y10" i="16" s="1"/>
  <c r="W10" i="15"/>
  <c r="W10" i="16" s="1"/>
  <c r="L10" i="15"/>
  <c r="L10" i="16" s="1"/>
  <c r="AO9" i="15"/>
  <c r="AO9" i="16" s="1"/>
  <c r="AM9" i="15"/>
  <c r="AM9" i="16" s="1"/>
  <c r="AK9" i="15"/>
  <c r="AK9" i="16" s="1"/>
  <c r="AI9" i="15"/>
  <c r="AI9" i="16" s="1"/>
  <c r="AG9" i="15"/>
  <c r="AG9" i="16" s="1"/>
  <c r="AE9" i="15"/>
  <c r="AE9" i="16" s="1"/>
  <c r="AC9" i="15"/>
  <c r="AC9" i="16" s="1"/>
  <c r="AA9" i="15"/>
  <c r="AA9" i="16" s="1"/>
  <c r="Y9" i="15"/>
  <c r="Y9" i="16" s="1"/>
  <c r="W9" i="15"/>
  <c r="W9" i="16" s="1"/>
  <c r="L9" i="15"/>
  <c r="L9" i="16" s="1"/>
  <c r="AO8" i="15"/>
  <c r="AO8" i="16" s="1"/>
  <c r="AM8" i="15"/>
  <c r="AM8" i="16" s="1"/>
  <c r="AK8" i="15"/>
  <c r="AK8" i="16" s="1"/>
  <c r="AI8" i="15"/>
  <c r="AI8" i="16" s="1"/>
  <c r="AG8" i="15"/>
  <c r="AG8" i="16" s="1"/>
  <c r="AE8" i="15"/>
  <c r="AE8" i="16" s="1"/>
  <c r="AC8" i="15"/>
  <c r="AC8" i="16" s="1"/>
  <c r="AA8" i="15"/>
  <c r="AA8" i="16" s="1"/>
  <c r="Y8" i="15"/>
  <c r="Y8" i="16" s="1"/>
  <c r="W8" i="15"/>
  <c r="W8" i="16" s="1"/>
  <c r="L8" i="15"/>
  <c r="L8" i="16" s="1"/>
  <c r="AO7" i="15"/>
  <c r="AM7" i="15"/>
  <c r="AM7" i="16" s="1"/>
  <c r="AK7" i="15"/>
  <c r="AI7" i="15"/>
  <c r="AI7" i="16" s="1"/>
  <c r="AG7" i="15"/>
  <c r="AE7" i="15"/>
  <c r="AE7" i="16" s="1"/>
  <c r="AC7" i="15"/>
  <c r="AA7" i="15"/>
  <c r="AA7" i="16" s="1"/>
  <c r="Y7" i="15"/>
  <c r="W7" i="15"/>
  <c r="W7" i="16" s="1"/>
  <c r="L7" i="15"/>
  <c r="B24" i="16" l="1"/>
  <c r="AF39" i="16"/>
  <c r="B53" i="16"/>
  <c r="H24" i="16"/>
  <c r="Z39" i="16"/>
  <c r="V53" i="16"/>
  <c r="Z53" i="16"/>
  <c r="AF53" i="16"/>
  <c r="H53" i="16"/>
  <c r="V24" i="16"/>
  <c r="AF24" i="16"/>
  <c r="V39" i="16"/>
  <c r="AD53" i="16"/>
  <c r="AD24" i="16"/>
  <c r="AB39" i="16"/>
  <c r="AH53" i="16"/>
  <c r="B39" i="16"/>
  <c r="AD39" i="16"/>
  <c r="AB24" i="16"/>
  <c r="AJ39" i="16"/>
  <c r="AB53" i="16"/>
  <c r="AJ24" i="16"/>
  <c r="AL53" i="16"/>
  <c r="H39" i="16"/>
  <c r="W5" i="16"/>
  <c r="AM5" i="16"/>
  <c r="AH39" i="16"/>
  <c r="X53" i="16"/>
  <c r="AL39" i="16"/>
  <c r="AL24" i="16"/>
  <c r="Z24" i="16"/>
  <c r="AN24" i="16"/>
  <c r="AH24" i="16"/>
  <c r="AA5" i="16"/>
  <c r="AJ53" i="16"/>
  <c r="X39" i="16"/>
  <c r="X24" i="16"/>
  <c r="AN39" i="16"/>
  <c r="AI5" i="16"/>
  <c r="AE5" i="16"/>
  <c r="AO52" i="16"/>
  <c r="K24" i="16"/>
  <c r="AN53" i="16"/>
  <c r="L5" i="15"/>
  <c r="L7" i="16"/>
  <c r="L5" i="16" s="1"/>
  <c r="Y5" i="15"/>
  <c r="Y7" i="16"/>
  <c r="Y5" i="16" s="1"/>
  <c r="AC5" i="15"/>
  <c r="AC7" i="16"/>
  <c r="AC5" i="16" s="1"/>
  <c r="AG5" i="15"/>
  <c r="AG7" i="16"/>
  <c r="AG5" i="16" s="1"/>
  <c r="AK5" i="15"/>
  <c r="AK7" i="16"/>
  <c r="AK5" i="16" s="1"/>
  <c r="AO5" i="15"/>
  <c r="AO7" i="16"/>
  <c r="AO5" i="16" s="1"/>
  <c r="L23" i="15"/>
  <c r="L25" i="16"/>
  <c r="L23" i="16" s="1"/>
  <c r="Y23" i="15"/>
  <c r="Y25" i="16"/>
  <c r="Y23" i="16" s="1"/>
  <c r="AC23" i="15"/>
  <c r="AC25" i="16"/>
  <c r="AC23" i="16" s="1"/>
  <c r="AG23" i="15"/>
  <c r="AG25" i="16"/>
  <c r="AG23" i="16" s="1"/>
  <c r="AK23" i="15"/>
  <c r="AK25" i="16"/>
  <c r="AK23" i="16" s="1"/>
  <c r="AO23" i="15"/>
  <c r="AO25" i="16"/>
  <c r="AO23" i="16" s="1"/>
  <c r="W38" i="15"/>
  <c r="W40" i="16"/>
  <c r="W38" i="16" s="1"/>
  <c r="AA38" i="15"/>
  <c r="AA40" i="16"/>
  <c r="AA38" i="16" s="1"/>
  <c r="AE38" i="15"/>
  <c r="AE40" i="16"/>
  <c r="AE38" i="16" s="1"/>
  <c r="AI38" i="15"/>
  <c r="AI40" i="16"/>
  <c r="AI38" i="16" s="1"/>
  <c r="AM38" i="15"/>
  <c r="AM40" i="16"/>
  <c r="AM38" i="16" s="1"/>
  <c r="W52" i="15"/>
  <c r="W54" i="16"/>
  <c r="W52" i="16" s="1"/>
  <c r="AA52" i="15"/>
  <c r="AA54" i="16"/>
  <c r="AA52" i="16" s="1"/>
  <c r="AE52" i="15"/>
  <c r="AE54" i="16"/>
  <c r="AE52" i="16" s="1"/>
  <c r="AI52" i="15"/>
  <c r="AI54" i="16"/>
  <c r="AI52" i="16" s="1"/>
  <c r="AM52" i="15"/>
  <c r="AM54" i="16"/>
  <c r="AM52" i="16" s="1"/>
  <c r="L52" i="15"/>
  <c r="L54" i="16"/>
  <c r="L52" i="16" s="1"/>
  <c r="Y52" i="15"/>
  <c r="Y54" i="16"/>
  <c r="Y52" i="16" s="1"/>
  <c r="AC52" i="15"/>
  <c r="AC54" i="16"/>
  <c r="AC52" i="16" s="1"/>
  <c r="AG52" i="15"/>
  <c r="AG54" i="16"/>
  <c r="AG52" i="16" s="1"/>
  <c r="AK52" i="15"/>
  <c r="AK54" i="16"/>
  <c r="AK52" i="16" s="1"/>
  <c r="W23" i="16"/>
  <c r="AA23" i="16"/>
  <c r="AE23" i="16"/>
  <c r="AI23" i="16"/>
  <c r="AM23" i="16"/>
  <c r="L38" i="16"/>
  <c r="Y38" i="16"/>
  <c r="AC38" i="16"/>
  <c r="AG38" i="16"/>
  <c r="AK38" i="16"/>
  <c r="AO38" i="16"/>
  <c r="K53" i="16"/>
  <c r="C53" i="16"/>
  <c r="C24" i="16"/>
  <c r="C39" i="16"/>
  <c r="M53" i="16"/>
  <c r="M39" i="16"/>
  <c r="M24" i="16"/>
  <c r="K39" i="16"/>
  <c r="AO52" i="15"/>
  <c r="W5" i="15"/>
  <c r="AA5" i="15"/>
  <c r="AE5" i="15"/>
  <c r="AI5" i="15"/>
  <c r="AM5" i="15"/>
  <c r="W23" i="15"/>
  <c r="AA23" i="15"/>
  <c r="AE23" i="15"/>
  <c r="AI23" i="15"/>
  <c r="AM23" i="15"/>
  <c r="L38" i="15"/>
  <c r="Y38" i="15"/>
  <c r="AC38" i="15"/>
  <c r="AG38" i="15"/>
  <c r="AK38" i="15"/>
  <c r="AO38" i="15"/>
  <c r="AK4" i="15" l="1"/>
  <c r="AK24" i="15" s="1"/>
  <c r="AC4" i="15"/>
  <c r="AC6" i="15" s="1"/>
  <c r="AE4" i="16"/>
  <c r="AE39" i="16" s="1"/>
  <c r="W4" i="16"/>
  <c r="W6" i="16" s="1"/>
  <c r="AO4" i="16"/>
  <c r="AK4" i="16"/>
  <c r="AG4" i="16"/>
  <c r="AC4" i="16"/>
  <c r="Y4" i="16"/>
  <c r="L4" i="16"/>
  <c r="L6" i="16" s="1"/>
  <c r="AI4" i="16"/>
  <c r="AI24" i="16" s="1"/>
  <c r="AM4" i="16"/>
  <c r="AM24" i="16" s="1"/>
  <c r="AA4" i="16"/>
  <c r="AI4" i="15"/>
  <c r="AA4" i="15"/>
  <c r="AA24" i="15" s="1"/>
  <c r="Y4" i="15"/>
  <c r="AG4" i="15"/>
  <c r="AM4" i="15"/>
  <c r="AE4" i="15"/>
  <c r="W4" i="15"/>
  <c r="L4" i="15"/>
  <c r="AO4" i="15"/>
  <c r="CW69" i="8"/>
  <c r="CW68" i="8"/>
  <c r="CW67" i="8"/>
  <c r="CW66" i="8"/>
  <c r="CW65" i="8"/>
  <c r="CW64" i="8"/>
  <c r="CW63" i="8"/>
  <c r="CW62" i="8"/>
  <c r="CW61" i="8"/>
  <c r="CW60" i="8"/>
  <c r="CW58" i="8"/>
  <c r="CW57" i="8"/>
  <c r="CW56" i="8"/>
  <c r="CW55" i="8"/>
  <c r="CW54" i="8"/>
  <c r="CW53" i="8"/>
  <c r="CW52" i="8"/>
  <c r="CW51" i="8"/>
  <c r="CW50" i="8"/>
  <c r="CW49" i="8"/>
  <c r="CW48" i="8"/>
  <c r="CW47" i="8"/>
  <c r="CW45" i="8"/>
  <c r="CW44" i="8"/>
  <c r="CW43" i="8"/>
  <c r="CW42" i="8"/>
  <c r="CW41" i="8"/>
  <c r="CW40" i="8"/>
  <c r="CW39" i="8"/>
  <c r="CW38" i="8"/>
  <c r="CW37" i="8"/>
  <c r="CW36" i="8"/>
  <c r="CW35" i="8"/>
  <c r="CW34" i="8"/>
  <c r="CW33" i="8"/>
  <c r="CW31" i="8"/>
  <c r="CW30" i="8"/>
  <c r="CW29" i="8"/>
  <c r="CW28" i="8"/>
  <c r="CW27" i="8"/>
  <c r="CW26" i="8"/>
  <c r="CW25" i="8"/>
  <c r="CW24" i="8"/>
  <c r="CW23" i="8"/>
  <c r="CW22" i="8"/>
  <c r="CW21" i="8"/>
  <c r="CW20" i="8"/>
  <c r="CW19" i="8"/>
  <c r="CW18" i="8"/>
  <c r="CW17" i="8"/>
  <c r="CW16" i="8"/>
  <c r="AC53" i="15" l="1"/>
  <c r="AC39" i="15"/>
  <c r="AC24" i="15"/>
  <c r="AK39" i="15"/>
  <c r="AK53" i="15"/>
  <c r="AK6" i="15"/>
  <c r="W24" i="16"/>
  <c r="W53" i="16"/>
  <c r="AE53" i="16"/>
  <c r="AE6" i="16"/>
  <c r="AE24" i="16"/>
  <c r="W39" i="16"/>
  <c r="AA6" i="16"/>
  <c r="AA53" i="16"/>
  <c r="AA39" i="16"/>
  <c r="AC6" i="16"/>
  <c r="AC53" i="16"/>
  <c r="AC24" i="16"/>
  <c r="AK6" i="16"/>
  <c r="AK24" i="16"/>
  <c r="AK39" i="16"/>
  <c r="AK53" i="16"/>
  <c r="AM6" i="16"/>
  <c r="AM39" i="16"/>
  <c r="AM53" i="16"/>
  <c r="AI6" i="16"/>
  <c r="AI39" i="16"/>
  <c r="Y6" i="16"/>
  <c r="Y24" i="16"/>
  <c r="Y39" i="16"/>
  <c r="Y53" i="16"/>
  <c r="AG6" i="16"/>
  <c r="AG53" i="16"/>
  <c r="AG39" i="16"/>
  <c r="AG24" i="16"/>
  <c r="AO6" i="16"/>
  <c r="AO24" i="16"/>
  <c r="AO39" i="16"/>
  <c r="AO53" i="16"/>
  <c r="L24" i="16"/>
  <c r="L53" i="16"/>
  <c r="AC39" i="16"/>
  <c r="AI53" i="16"/>
  <c r="AA24" i="16"/>
  <c r="L39" i="16"/>
  <c r="AO39" i="15"/>
  <c r="W24" i="15"/>
  <c r="L6" i="15"/>
  <c r="L24" i="15"/>
  <c r="L53" i="15"/>
  <c r="AE6" i="15"/>
  <c r="AE53" i="15"/>
  <c r="AE39" i="15"/>
  <c r="AM24" i="15"/>
  <c r="AM53" i="15"/>
  <c r="AM39" i="15"/>
  <c r="Y6" i="15"/>
  <c r="Y24" i="15"/>
  <c r="Y53" i="15"/>
  <c r="AI24" i="15"/>
  <c r="AI39" i="15"/>
  <c r="AI53" i="15"/>
  <c r="L39" i="15"/>
  <c r="Y39" i="15"/>
  <c r="AO24" i="15"/>
  <c r="AO53" i="15"/>
  <c r="AO6" i="15"/>
  <c r="W6" i="15"/>
  <c r="W53" i="15"/>
  <c r="W39" i="15"/>
  <c r="AG24" i="15"/>
  <c r="AG6" i="15"/>
  <c r="AG53" i="15"/>
  <c r="AA6" i="15"/>
  <c r="AA39" i="15"/>
  <c r="AA53" i="15"/>
  <c r="AM6" i="15"/>
  <c r="AE24" i="15"/>
  <c r="AG39" i="15"/>
  <c r="AI6" i="15"/>
  <c r="DE69" i="8"/>
  <c r="DI68" i="8"/>
  <c r="DE67" i="8"/>
  <c r="DE66" i="8"/>
  <c r="DE65" i="8"/>
  <c r="DI64" i="8"/>
  <c r="DE63" i="8"/>
  <c r="DI62" i="8"/>
  <c r="DE61" i="8"/>
  <c r="DE60" i="8"/>
  <c r="DC13" i="8"/>
  <c r="CX13" i="8"/>
  <c r="CY13" i="8"/>
  <c r="CZ13" i="8"/>
  <c r="DB13" i="8"/>
  <c r="DA13" i="8"/>
  <c r="DE58" i="8"/>
  <c r="DE57" i="8"/>
  <c r="DE56" i="8"/>
  <c r="DE55" i="8"/>
  <c r="DE54" i="8"/>
  <c r="DE53" i="8"/>
  <c r="DE52" i="8"/>
  <c r="DE51" i="8"/>
  <c r="DE50" i="8"/>
  <c r="DE49" i="8"/>
  <c r="DE48" i="8"/>
  <c r="DE47" i="8"/>
  <c r="DC11" i="8"/>
  <c r="CX11" i="8"/>
  <c r="CY11" i="8"/>
  <c r="CZ11" i="8"/>
  <c r="DB11" i="8"/>
  <c r="DA11" i="8"/>
  <c r="DE45" i="8"/>
  <c r="DE44" i="8"/>
  <c r="DE43" i="8"/>
  <c r="DE42" i="8"/>
  <c r="DE41" i="8"/>
  <c r="DE40" i="8"/>
  <c r="DE39" i="8"/>
  <c r="DE38" i="8"/>
  <c r="DE37" i="8"/>
  <c r="DE36" i="8"/>
  <c r="DI35" i="8"/>
  <c r="DE34" i="8"/>
  <c r="DI33" i="8"/>
  <c r="DC9" i="8"/>
  <c r="CX9" i="8"/>
  <c r="CY9" i="8"/>
  <c r="CZ9" i="8"/>
  <c r="DB9" i="8"/>
  <c r="DA9" i="8"/>
  <c r="DE31" i="8"/>
  <c r="DE30" i="8"/>
  <c r="DE29" i="8"/>
  <c r="DE28" i="8"/>
  <c r="DE27" i="8"/>
  <c r="DE26" i="8"/>
  <c r="DE25" i="8"/>
  <c r="DE24" i="8"/>
  <c r="DE23" i="8"/>
  <c r="DE22" i="8"/>
  <c r="DE21" i="8"/>
  <c r="DE20" i="8"/>
  <c r="DE19" i="8"/>
  <c r="DE18" i="8"/>
  <c r="DE17" i="8"/>
  <c r="DE16" i="8"/>
  <c r="DC7" i="8"/>
  <c r="CX7" i="8"/>
  <c r="CY7" i="8"/>
  <c r="CZ7" i="8"/>
  <c r="DB7" i="8"/>
  <c r="DA7" i="8"/>
  <c r="DA6" i="8" l="1"/>
  <c r="DA8" i="8" s="1"/>
  <c r="CX6" i="8"/>
  <c r="CX12" i="8" s="1"/>
  <c r="DH29" i="8"/>
  <c r="DH21" i="8"/>
  <c r="DH40" i="8"/>
  <c r="DH25" i="8"/>
  <c r="DH36" i="8"/>
  <c r="DH44" i="8"/>
  <c r="DH23" i="8"/>
  <c r="DH27" i="8"/>
  <c r="DH31" i="8"/>
  <c r="DH38" i="8"/>
  <c r="DH42" i="8"/>
  <c r="DH57" i="8"/>
  <c r="CW13" i="8"/>
  <c r="DF13" i="8" s="1"/>
  <c r="DD21" i="8"/>
  <c r="DH22" i="8"/>
  <c r="DD23" i="8"/>
  <c r="DH24" i="8"/>
  <c r="DD25" i="8"/>
  <c r="DH26" i="8"/>
  <c r="DD27" i="8"/>
  <c r="DH28" i="8"/>
  <c r="DD29" i="8"/>
  <c r="DH30" i="8"/>
  <c r="DD31" i="8"/>
  <c r="DH33" i="8"/>
  <c r="DD36" i="8"/>
  <c r="DH37" i="8"/>
  <c r="DD38" i="8"/>
  <c r="DH39" i="8"/>
  <c r="DD40" i="8"/>
  <c r="DH41" i="8"/>
  <c r="DD42" i="8"/>
  <c r="DH43" i="8"/>
  <c r="DD44" i="8"/>
  <c r="DH45" i="8"/>
  <c r="DD57" i="8"/>
  <c r="DH58" i="8"/>
  <c r="DD22" i="8"/>
  <c r="DD24" i="8"/>
  <c r="DD26" i="8"/>
  <c r="DD28" i="8"/>
  <c r="DD30" i="8"/>
  <c r="DD33" i="8"/>
  <c r="DD37" i="8"/>
  <c r="DD39" i="8"/>
  <c r="DD41" i="8"/>
  <c r="DD43" i="8"/>
  <c r="DD45" i="8"/>
  <c r="DD58" i="8"/>
  <c r="DF16" i="8"/>
  <c r="DF17" i="8"/>
  <c r="DF18" i="8"/>
  <c r="DF19" i="8"/>
  <c r="DF20" i="8"/>
  <c r="DF21" i="8"/>
  <c r="DF22" i="8"/>
  <c r="DF23" i="8"/>
  <c r="DF24" i="8"/>
  <c r="DF25" i="8"/>
  <c r="DF26" i="8"/>
  <c r="DF27" i="8"/>
  <c r="DF28" i="8"/>
  <c r="DF29" i="8"/>
  <c r="DF30" i="8"/>
  <c r="DF31" i="8"/>
  <c r="DF33" i="8"/>
  <c r="DF36" i="8"/>
  <c r="DF37" i="8"/>
  <c r="DF38" i="8"/>
  <c r="DF39" i="8"/>
  <c r="DF40" i="8"/>
  <c r="DF41" i="8"/>
  <c r="DF42" i="8"/>
  <c r="DF43" i="8"/>
  <c r="DF44" i="8"/>
  <c r="DF45" i="8"/>
  <c r="CW11" i="8"/>
  <c r="DH11" i="8" s="1"/>
  <c r="DH47" i="8"/>
  <c r="DD47" i="8"/>
  <c r="DH48" i="8"/>
  <c r="DD48" i="8"/>
  <c r="DH49" i="8"/>
  <c r="DD49" i="8"/>
  <c r="DH50" i="8"/>
  <c r="DD50" i="8"/>
  <c r="DH51" i="8"/>
  <c r="DD51" i="8"/>
  <c r="DH52" i="8"/>
  <c r="DD52" i="8"/>
  <c r="DH53" i="8"/>
  <c r="DD53" i="8"/>
  <c r="DH54" i="8"/>
  <c r="DD54" i="8"/>
  <c r="DH55" i="8"/>
  <c r="DD55" i="8"/>
  <c r="DH56" i="8"/>
  <c r="DD56" i="8"/>
  <c r="DF60" i="8"/>
  <c r="DF61" i="8"/>
  <c r="DF62" i="8"/>
  <c r="DF65" i="8"/>
  <c r="DF66" i="8"/>
  <c r="DF67" i="8"/>
  <c r="DF68" i="8"/>
  <c r="CZ6" i="8"/>
  <c r="CZ8" i="8" s="1"/>
  <c r="CW7" i="8"/>
  <c r="DD7" i="8" s="1"/>
  <c r="DH16" i="8"/>
  <c r="DD16" i="8"/>
  <c r="DH17" i="8"/>
  <c r="DD17" i="8"/>
  <c r="DH18" i="8"/>
  <c r="DD18" i="8"/>
  <c r="DH19" i="8"/>
  <c r="DD19" i="8"/>
  <c r="DH20" i="8"/>
  <c r="DD20" i="8"/>
  <c r="DF47" i="8"/>
  <c r="DF48" i="8"/>
  <c r="DF49" i="8"/>
  <c r="DF50" i="8"/>
  <c r="DF51" i="8"/>
  <c r="DF52" i="8"/>
  <c r="DF53" i="8"/>
  <c r="DF54" i="8"/>
  <c r="DF55" i="8"/>
  <c r="DF56" i="8"/>
  <c r="DF57" i="8"/>
  <c r="DF58" i="8"/>
  <c r="DH60" i="8"/>
  <c r="DD60" i="8"/>
  <c r="DH61" i="8"/>
  <c r="DD61" i="8"/>
  <c r="DH62" i="8"/>
  <c r="DD62" i="8"/>
  <c r="DH65" i="8"/>
  <c r="DD65" i="8"/>
  <c r="DH66" i="8"/>
  <c r="DD66" i="8"/>
  <c r="DH67" i="8"/>
  <c r="DD67" i="8"/>
  <c r="DH68" i="8"/>
  <c r="DD68" i="8"/>
  <c r="DB6" i="8"/>
  <c r="DB8" i="8" s="1"/>
  <c r="CY6" i="8"/>
  <c r="DC6" i="8"/>
  <c r="DC8" i="8" s="1"/>
  <c r="DG16" i="8"/>
  <c r="DG17" i="8"/>
  <c r="DG18" i="8"/>
  <c r="DG19" i="8"/>
  <c r="DG20" i="8"/>
  <c r="DG21" i="8"/>
  <c r="DG22" i="8"/>
  <c r="DG23" i="8"/>
  <c r="DG24" i="8"/>
  <c r="DG25" i="8"/>
  <c r="DG26" i="8"/>
  <c r="DG27" i="8"/>
  <c r="DG28" i="8"/>
  <c r="DG29" i="8"/>
  <c r="DG30" i="8"/>
  <c r="DG31" i="8"/>
  <c r="CW9" i="8"/>
  <c r="DG33" i="8"/>
  <c r="DE33" i="8"/>
  <c r="DH34" i="8"/>
  <c r="DF34" i="8"/>
  <c r="DD34" i="8"/>
  <c r="DH35" i="8"/>
  <c r="DF35" i="8"/>
  <c r="DD35" i="8"/>
  <c r="DG36" i="8"/>
  <c r="DG37" i="8"/>
  <c r="DG38" i="8"/>
  <c r="DG39" i="8"/>
  <c r="DG40" i="8"/>
  <c r="DG41" i="8"/>
  <c r="DG42" i="8"/>
  <c r="DG43" i="8"/>
  <c r="DG44" i="8"/>
  <c r="DG45" i="8"/>
  <c r="DG47" i="8"/>
  <c r="DG48" i="8"/>
  <c r="DG49" i="8"/>
  <c r="DG50" i="8"/>
  <c r="DG51" i="8"/>
  <c r="DG52" i="8"/>
  <c r="DG53" i="8"/>
  <c r="DG54" i="8"/>
  <c r="DG55" i="8"/>
  <c r="DG56" i="8"/>
  <c r="DG57" i="8"/>
  <c r="DG58" i="8"/>
  <c r="DG60" i="8"/>
  <c r="DG61" i="8"/>
  <c r="DG62" i="8"/>
  <c r="DE62" i="8"/>
  <c r="DH63" i="8"/>
  <c r="DF63" i="8"/>
  <c r="DD63" i="8"/>
  <c r="DH64" i="8"/>
  <c r="DF64" i="8"/>
  <c r="DD64" i="8"/>
  <c r="DG65" i="8"/>
  <c r="DG66" i="8"/>
  <c r="DG67" i="8"/>
  <c r="DG68" i="8"/>
  <c r="DE68" i="8"/>
  <c r="DH69" i="8"/>
  <c r="DF69" i="8"/>
  <c r="DD69" i="8"/>
  <c r="DG34" i="8"/>
  <c r="DG35" i="8"/>
  <c r="DE35" i="8"/>
  <c r="DG63" i="8"/>
  <c r="DG64" i="8"/>
  <c r="DE64" i="8"/>
  <c r="DG69" i="8"/>
  <c r="AH11" i="1"/>
  <c r="AH9" i="1"/>
  <c r="AH7" i="1"/>
  <c r="AH5" i="1"/>
  <c r="AO11" i="1"/>
  <c r="AO9" i="1"/>
  <c r="AO7" i="1"/>
  <c r="AO5" i="1"/>
  <c r="BD11" i="1"/>
  <c r="BC11" i="1"/>
  <c r="BB11" i="1"/>
  <c r="BA11" i="1"/>
  <c r="AZ11" i="1"/>
  <c r="AQ11" i="1"/>
  <c r="AN11" i="1"/>
  <c r="AM11" i="1"/>
  <c r="AL11" i="1"/>
  <c r="AK11" i="1"/>
  <c r="F57" i="2" s="1"/>
  <c r="AJ11" i="1"/>
  <c r="AI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BD9" i="1"/>
  <c r="BC9" i="1"/>
  <c r="BB9" i="1"/>
  <c r="BA9" i="1"/>
  <c r="AZ9" i="1"/>
  <c r="AQ9" i="1"/>
  <c r="AN9" i="1"/>
  <c r="AM9" i="1"/>
  <c r="AL9" i="1"/>
  <c r="AK9" i="1"/>
  <c r="F43" i="2" s="1"/>
  <c r="AJ9" i="1"/>
  <c r="AI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BD7" i="1"/>
  <c r="BC7" i="1"/>
  <c r="BB7" i="1"/>
  <c r="BA7" i="1"/>
  <c r="AZ7" i="1"/>
  <c r="AQ7" i="1"/>
  <c r="AN7" i="1"/>
  <c r="AM7" i="1"/>
  <c r="AL7" i="1"/>
  <c r="AK7" i="1"/>
  <c r="F28" i="2" s="1"/>
  <c r="AJ7" i="1"/>
  <c r="AI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BD5" i="1"/>
  <c r="BC5" i="1"/>
  <c r="BB5" i="1"/>
  <c r="BA5" i="1"/>
  <c r="AZ5" i="1"/>
  <c r="AY5" i="1"/>
  <c r="AY4" i="1" s="1"/>
  <c r="AW5" i="1"/>
  <c r="AW4" i="1" s="1"/>
  <c r="AQ5" i="1"/>
  <c r="V5" i="1"/>
  <c r="U5" i="1"/>
  <c r="T5" i="1"/>
  <c r="S5" i="1"/>
  <c r="R5" i="1"/>
  <c r="Q5" i="1"/>
  <c r="P5" i="1"/>
  <c r="O5" i="1"/>
  <c r="N5" i="1"/>
  <c r="M5" i="1"/>
  <c r="L5" i="1"/>
  <c r="K5" i="1"/>
  <c r="J5" i="1"/>
  <c r="I5" i="1"/>
  <c r="H5" i="1"/>
  <c r="G5" i="1"/>
  <c r="F5" i="1"/>
  <c r="E5" i="1"/>
  <c r="D5" i="1"/>
  <c r="C5" i="1"/>
  <c r="B5" i="1"/>
  <c r="AN5" i="1"/>
  <c r="AM5" i="1"/>
  <c r="AL5" i="1"/>
  <c r="AK5" i="1"/>
  <c r="F10" i="2" s="1"/>
  <c r="AJ5" i="1"/>
  <c r="AI5" i="1"/>
  <c r="AG5" i="1"/>
  <c r="AF5" i="1"/>
  <c r="AE5" i="1"/>
  <c r="AD5" i="1"/>
  <c r="AC5" i="1"/>
  <c r="AB5" i="1"/>
  <c r="AA5" i="1"/>
  <c r="Z5" i="1"/>
  <c r="Y5" i="1"/>
  <c r="X5" i="1"/>
  <c r="W5" i="1"/>
  <c r="CQ16" i="8"/>
  <c r="CR16" i="8"/>
  <c r="CS16" i="8"/>
  <c r="CT16" i="8"/>
  <c r="CU16" i="8"/>
  <c r="CQ17" i="8"/>
  <c r="CR17" i="8"/>
  <c r="CS17" i="8"/>
  <c r="CT17" i="8"/>
  <c r="CU17" i="8"/>
  <c r="CQ18" i="8"/>
  <c r="CR18" i="8"/>
  <c r="CS18" i="8"/>
  <c r="CT18" i="8"/>
  <c r="CU18" i="8"/>
  <c r="CQ19" i="8"/>
  <c r="CR19" i="8"/>
  <c r="CS19" i="8"/>
  <c r="CT19" i="8"/>
  <c r="CU19" i="8"/>
  <c r="CQ20" i="8"/>
  <c r="CR20" i="8"/>
  <c r="CS20" i="8"/>
  <c r="CT20" i="8"/>
  <c r="CU20" i="8"/>
  <c r="CQ21" i="8"/>
  <c r="CR21" i="8"/>
  <c r="CS21" i="8"/>
  <c r="CT21" i="8"/>
  <c r="CU21" i="8"/>
  <c r="CQ22" i="8"/>
  <c r="CR22" i="8"/>
  <c r="CS22" i="8"/>
  <c r="CT22" i="8"/>
  <c r="CU22" i="8"/>
  <c r="CQ23" i="8"/>
  <c r="CR23" i="8"/>
  <c r="CS23" i="8"/>
  <c r="CT23" i="8"/>
  <c r="CU23" i="8"/>
  <c r="CQ24" i="8"/>
  <c r="CR24" i="8"/>
  <c r="CS24" i="8"/>
  <c r="CT24" i="8"/>
  <c r="CU24" i="8"/>
  <c r="CQ25" i="8"/>
  <c r="CR25" i="8"/>
  <c r="CS25" i="8"/>
  <c r="CT25" i="8"/>
  <c r="CU25" i="8"/>
  <c r="CQ26" i="8"/>
  <c r="CR26" i="8"/>
  <c r="CS26" i="8"/>
  <c r="CT26" i="8"/>
  <c r="CU26" i="8"/>
  <c r="CQ27" i="8"/>
  <c r="CR27" i="8"/>
  <c r="CS27" i="8"/>
  <c r="CT27" i="8"/>
  <c r="CU27" i="8"/>
  <c r="CQ28" i="8"/>
  <c r="CR28" i="8"/>
  <c r="CS28" i="8"/>
  <c r="CT28" i="8"/>
  <c r="CU28" i="8"/>
  <c r="CQ29" i="8"/>
  <c r="CR29" i="8"/>
  <c r="CS29" i="8"/>
  <c r="CT29" i="8"/>
  <c r="CU29" i="8"/>
  <c r="CQ30" i="8"/>
  <c r="CR30" i="8"/>
  <c r="CS30" i="8"/>
  <c r="CT30" i="8"/>
  <c r="CU30" i="8"/>
  <c r="CQ31" i="8"/>
  <c r="CR31" i="8"/>
  <c r="CS31" i="8"/>
  <c r="CT31" i="8"/>
  <c r="CU31" i="8"/>
  <c r="CQ33" i="8"/>
  <c r="CR33" i="8"/>
  <c r="CS33" i="8"/>
  <c r="CT33" i="8"/>
  <c r="CU33" i="8"/>
  <c r="CQ34" i="8"/>
  <c r="CR34" i="8"/>
  <c r="CS34" i="8"/>
  <c r="CT34" i="8"/>
  <c r="CU34" i="8"/>
  <c r="CQ35" i="8"/>
  <c r="CR35" i="8"/>
  <c r="CS35" i="8"/>
  <c r="CT35" i="8"/>
  <c r="CU35" i="8"/>
  <c r="CQ36" i="8"/>
  <c r="CR36" i="8"/>
  <c r="CS36" i="8"/>
  <c r="CT36" i="8"/>
  <c r="CU36" i="8"/>
  <c r="CQ60" i="8"/>
  <c r="CR60" i="8"/>
  <c r="CS60" i="8"/>
  <c r="CT60" i="8"/>
  <c r="CU60" i="8"/>
  <c r="CQ37" i="8"/>
  <c r="CR37" i="8"/>
  <c r="CS37" i="8"/>
  <c r="CT37" i="8"/>
  <c r="CU37" i="8"/>
  <c r="CQ38" i="8"/>
  <c r="CR38" i="8"/>
  <c r="CS38" i="8"/>
  <c r="CT38" i="8"/>
  <c r="CU38" i="8"/>
  <c r="CQ47" i="8"/>
  <c r="CR47" i="8"/>
  <c r="CS47" i="8"/>
  <c r="CT47" i="8"/>
  <c r="CU47" i="8"/>
  <c r="CQ48" i="8"/>
  <c r="CR48" i="8"/>
  <c r="CS48" i="8"/>
  <c r="CT48" i="8"/>
  <c r="CU48" i="8"/>
  <c r="CQ49" i="8"/>
  <c r="CR49" i="8"/>
  <c r="CS49" i="8"/>
  <c r="CT49" i="8"/>
  <c r="CU49" i="8"/>
  <c r="CQ50" i="8"/>
  <c r="CR50" i="8"/>
  <c r="CS50" i="8"/>
  <c r="CT50" i="8"/>
  <c r="CU50" i="8"/>
  <c r="CQ61" i="8"/>
  <c r="CR61" i="8"/>
  <c r="CS61" i="8"/>
  <c r="CT61" i="8"/>
  <c r="CU61" i="8"/>
  <c r="CQ62" i="8"/>
  <c r="CR62" i="8"/>
  <c r="CS62" i="8"/>
  <c r="CT62" i="8"/>
  <c r="CU62" i="8"/>
  <c r="CQ51" i="8"/>
  <c r="CR51" i="8"/>
  <c r="CS51" i="8"/>
  <c r="CT51" i="8"/>
  <c r="CU51" i="8"/>
  <c r="CQ52" i="8"/>
  <c r="CR52" i="8"/>
  <c r="CS52" i="8"/>
  <c r="CT52" i="8"/>
  <c r="CU52" i="8"/>
  <c r="CQ53" i="8"/>
  <c r="CR53" i="8"/>
  <c r="CS53" i="8"/>
  <c r="CT53" i="8"/>
  <c r="CU53" i="8"/>
  <c r="CQ39" i="8"/>
  <c r="CR39" i="8"/>
  <c r="CS39" i="8"/>
  <c r="CT39" i="8"/>
  <c r="CU39" i="8"/>
  <c r="CQ54" i="8"/>
  <c r="CR54" i="8"/>
  <c r="CS54" i="8"/>
  <c r="CT54" i="8"/>
  <c r="CU54" i="8"/>
  <c r="CQ40" i="8"/>
  <c r="CR40" i="8"/>
  <c r="CS40" i="8"/>
  <c r="CT40" i="8"/>
  <c r="CU40" i="8"/>
  <c r="CQ63" i="8"/>
  <c r="CR63" i="8"/>
  <c r="CS63" i="8"/>
  <c r="CT63" i="8"/>
  <c r="CU63" i="8"/>
  <c r="CQ64" i="8"/>
  <c r="CR64" i="8"/>
  <c r="CS64" i="8"/>
  <c r="CT64" i="8"/>
  <c r="CU64" i="8"/>
  <c r="CQ41" i="8"/>
  <c r="CR41" i="8"/>
  <c r="CS41" i="8"/>
  <c r="CT41" i="8"/>
  <c r="CU41" i="8"/>
  <c r="CQ65" i="8"/>
  <c r="CR65" i="8"/>
  <c r="CS65" i="8"/>
  <c r="CT65" i="8"/>
  <c r="CU65" i="8"/>
  <c r="CQ55" i="8"/>
  <c r="CR55" i="8"/>
  <c r="CS55" i="8"/>
  <c r="CT55" i="8"/>
  <c r="CU55" i="8"/>
  <c r="CQ56" i="8"/>
  <c r="CR56" i="8"/>
  <c r="CS56" i="8"/>
  <c r="CT56" i="8"/>
  <c r="CU56" i="8"/>
  <c r="CQ42" i="8"/>
  <c r="CR42" i="8"/>
  <c r="CS42" i="8"/>
  <c r="CT42" i="8"/>
  <c r="CU42" i="8"/>
  <c r="CQ66" i="8"/>
  <c r="CR66" i="8"/>
  <c r="CS66" i="8"/>
  <c r="CT66" i="8"/>
  <c r="CU66" i="8"/>
  <c r="CQ67" i="8"/>
  <c r="CR67" i="8"/>
  <c r="CS67" i="8"/>
  <c r="CT67" i="8"/>
  <c r="CU67" i="8"/>
  <c r="CQ57" i="8"/>
  <c r="CR57" i="8"/>
  <c r="CS57" i="8"/>
  <c r="CT57" i="8"/>
  <c r="CU57" i="8"/>
  <c r="CQ43" i="8"/>
  <c r="CR43" i="8"/>
  <c r="CS43" i="8"/>
  <c r="CT43" i="8"/>
  <c r="CU43" i="8"/>
  <c r="CQ68" i="8"/>
  <c r="CR68" i="8"/>
  <c r="CS68" i="8"/>
  <c r="CT68" i="8"/>
  <c r="CU68" i="8"/>
  <c r="CQ44" i="8"/>
  <c r="CR44" i="8"/>
  <c r="CS44" i="8"/>
  <c r="CT44" i="8"/>
  <c r="CU44" i="8"/>
  <c r="CQ58" i="8"/>
  <c r="CR58" i="8"/>
  <c r="CS58" i="8"/>
  <c r="CT58" i="8"/>
  <c r="CU58" i="8"/>
  <c r="CQ45" i="8"/>
  <c r="CR45" i="8"/>
  <c r="CS45" i="8"/>
  <c r="CT45" i="8"/>
  <c r="CU45" i="8"/>
  <c r="CQ69" i="8"/>
  <c r="CR69" i="8"/>
  <c r="CS69" i="8"/>
  <c r="CT69" i="8"/>
  <c r="CU69" i="8"/>
  <c r="AZ4" i="1" l="1"/>
  <c r="AZ10" i="1" s="1"/>
  <c r="DJ69" i="8"/>
  <c r="CU9" i="8"/>
  <c r="CT7" i="8"/>
  <c r="CR13" i="8"/>
  <c r="CQ13" i="8"/>
  <c r="CU7" i="8"/>
  <c r="CT9" i="8"/>
  <c r="CR9" i="8"/>
  <c r="CR7" i="8"/>
  <c r="CU13" i="8"/>
  <c r="CQ9" i="8"/>
  <c r="CQ7" i="8"/>
  <c r="CS11" i="8"/>
  <c r="CU11" i="8"/>
  <c r="CT13" i="8"/>
  <c r="CT11" i="8"/>
  <c r="CS13" i="8"/>
  <c r="DG7" i="8"/>
  <c r="DJ16" i="8"/>
  <c r="CR11" i="8"/>
  <c r="CQ11" i="8"/>
  <c r="CS9" i="8"/>
  <c r="CS7" i="8"/>
  <c r="BA4" i="1"/>
  <c r="BB4" i="1"/>
  <c r="BB10" i="1" s="1"/>
  <c r="BC4" i="1"/>
  <c r="BC10" i="1" s="1"/>
  <c r="BD4" i="1"/>
  <c r="DE7" i="8"/>
  <c r="D4" i="1"/>
  <c r="D8" i="1" s="1"/>
  <c r="L4" i="1"/>
  <c r="L8" i="1" s="1"/>
  <c r="T4" i="1"/>
  <c r="T10" i="1" s="1"/>
  <c r="AF4" i="1"/>
  <c r="X4" i="1"/>
  <c r="X12" i="1" s="1"/>
  <c r="Z4" i="1"/>
  <c r="Z12" i="1" s="1"/>
  <c r="W4" i="1"/>
  <c r="W12" i="1" s="1"/>
  <c r="AE4" i="1"/>
  <c r="AE8" i="1" s="1"/>
  <c r="AN4" i="1"/>
  <c r="AN6" i="1" s="1"/>
  <c r="DJ47" i="8"/>
  <c r="DJ64" i="8"/>
  <c r="CZ12" i="8"/>
  <c r="DJ19" i="8"/>
  <c r="AL4" i="1"/>
  <c r="AL10" i="1" s="1"/>
  <c r="AD4" i="1"/>
  <c r="AD8" i="1" s="1"/>
  <c r="AC4" i="1"/>
  <c r="AC8" i="1" s="1"/>
  <c r="G4" i="1"/>
  <c r="G8" i="1" s="1"/>
  <c r="O4" i="1"/>
  <c r="O8" i="1" s="1"/>
  <c r="AB4" i="1"/>
  <c r="AB10" i="1" s="1"/>
  <c r="AK4" i="1"/>
  <c r="E4" i="1"/>
  <c r="E12" i="1" s="1"/>
  <c r="M4" i="1"/>
  <c r="M6" i="1" s="1"/>
  <c r="U4" i="1"/>
  <c r="U12" i="1" s="1"/>
  <c r="C4" i="1"/>
  <c r="C12" i="1" s="1"/>
  <c r="K4" i="1"/>
  <c r="K8" i="1" s="1"/>
  <c r="S4" i="1"/>
  <c r="S10" i="1" s="1"/>
  <c r="AJ4" i="1"/>
  <c r="AJ8" i="1" s="1"/>
  <c r="BA12" i="1"/>
  <c r="I4" i="1"/>
  <c r="I12" i="1" s="1"/>
  <c r="Q4" i="1"/>
  <c r="Q12" i="1" s="1"/>
  <c r="AQ4" i="1"/>
  <c r="AQ12" i="1" s="1"/>
  <c r="AA4" i="1"/>
  <c r="AA12" i="1" s="1"/>
  <c r="AI4" i="1"/>
  <c r="B4" i="1"/>
  <c r="B6" i="1" s="1"/>
  <c r="J4" i="1"/>
  <c r="J8" i="1" s="1"/>
  <c r="R4" i="1"/>
  <c r="R6" i="1" s="1"/>
  <c r="Y4" i="1"/>
  <c r="Y8" i="1" s="1"/>
  <c r="AG4" i="1"/>
  <c r="AG12" i="1" s="1"/>
  <c r="H4" i="1"/>
  <c r="H12" i="1" s="1"/>
  <c r="P4" i="1"/>
  <c r="P12" i="1" s="1"/>
  <c r="AM4" i="1"/>
  <c r="AM8" i="1" s="1"/>
  <c r="F4" i="1"/>
  <c r="F10" i="1" s="1"/>
  <c r="N4" i="1"/>
  <c r="N10" i="1" s="1"/>
  <c r="V4" i="1"/>
  <c r="V10" i="1" s="1"/>
  <c r="DJ56" i="8"/>
  <c r="DJ48" i="8"/>
  <c r="DJ25" i="8"/>
  <c r="DJ55" i="8"/>
  <c r="DJ39" i="8"/>
  <c r="DJ34" i="8"/>
  <c r="DJ28" i="8"/>
  <c r="DJ20" i="8"/>
  <c r="DJ57" i="8"/>
  <c r="DJ49" i="8"/>
  <c r="DJ67" i="8"/>
  <c r="DJ22" i="8"/>
  <c r="DJ58" i="8"/>
  <c r="DJ43" i="8"/>
  <c r="DJ40" i="8"/>
  <c r="DJ29" i="8"/>
  <c r="DJ21" i="8"/>
  <c r="DJ63" i="8"/>
  <c r="DJ30" i="8"/>
  <c r="DJ50" i="8"/>
  <c r="DJ42" i="8"/>
  <c r="DJ23" i="8"/>
  <c r="DJ31" i="8"/>
  <c r="DA14" i="8"/>
  <c r="DJ51" i="8"/>
  <c r="DJ24" i="8"/>
  <c r="DJ52" i="8"/>
  <c r="DJ60" i="8"/>
  <c r="DJ53" i="8"/>
  <c r="DJ61" i="8"/>
  <c r="DJ44" i="8"/>
  <c r="DJ36" i="8"/>
  <c r="DJ17" i="8"/>
  <c r="DJ54" i="8"/>
  <c r="DJ45" i="8"/>
  <c r="DJ37" i="8"/>
  <c r="DJ26" i="8"/>
  <c r="DJ18" i="8"/>
  <c r="DJ66" i="8"/>
  <c r="DJ41" i="8"/>
  <c r="DJ65" i="8"/>
  <c r="DJ38" i="8"/>
  <c r="DJ27" i="8"/>
  <c r="DJ62" i="8"/>
  <c r="DA10" i="8"/>
  <c r="CX10" i="8"/>
  <c r="CX14" i="8"/>
  <c r="DA12" i="8"/>
  <c r="CX8" i="8"/>
  <c r="DJ35" i="8"/>
  <c r="DJ33" i="8"/>
  <c r="DE13" i="8"/>
  <c r="DD13" i="8"/>
  <c r="DJ68" i="8"/>
  <c r="DH7" i="8"/>
  <c r="DF11" i="8"/>
  <c r="CZ14" i="8"/>
  <c r="CZ10" i="8"/>
  <c r="DI13" i="8"/>
  <c r="DG13" i="8"/>
  <c r="DF7" i="8"/>
  <c r="DD11" i="8"/>
  <c r="DG11" i="8"/>
  <c r="CY8" i="8"/>
  <c r="DE11" i="8"/>
  <c r="DH13" i="8"/>
  <c r="DI11" i="8"/>
  <c r="DC14" i="8"/>
  <c r="DC12" i="8"/>
  <c r="DC10" i="8"/>
  <c r="DB14" i="8"/>
  <c r="DB12" i="8"/>
  <c r="DB10" i="8"/>
  <c r="DI9" i="8"/>
  <c r="DG9" i="8"/>
  <c r="DD9" i="8"/>
  <c r="DH9" i="8"/>
  <c r="CY14" i="8"/>
  <c r="CY12" i="8"/>
  <c r="CY10" i="8"/>
  <c r="CW6" i="8"/>
  <c r="DE9" i="8"/>
  <c r="DF9" i="8"/>
  <c r="AY12" i="1"/>
  <c r="AH4" i="1"/>
  <c r="AO4" i="1"/>
  <c r="AO10" i="1" s="1"/>
  <c r="CV45" i="8"/>
  <c r="CV44" i="8"/>
  <c r="CV43" i="8"/>
  <c r="CV67" i="8"/>
  <c r="CV42" i="8"/>
  <c r="CV55" i="8"/>
  <c r="CV41" i="8"/>
  <c r="CV63" i="8"/>
  <c r="CV54" i="8"/>
  <c r="CV53" i="8"/>
  <c r="CV51" i="8"/>
  <c r="CV61" i="8"/>
  <c r="CV49" i="8"/>
  <c r="CV47" i="8"/>
  <c r="CV37" i="8"/>
  <c r="CV36" i="8"/>
  <c r="CV34" i="8"/>
  <c r="CV31" i="8"/>
  <c r="CV29" i="8"/>
  <c r="CV27" i="8"/>
  <c r="CV25" i="8"/>
  <c r="CV23" i="8"/>
  <c r="CV21" i="8"/>
  <c r="CV19" i="8"/>
  <c r="CV17" i="8"/>
  <c r="CV69" i="8"/>
  <c r="CV58" i="8"/>
  <c r="CV68" i="8"/>
  <c r="CV57" i="8"/>
  <c r="CV66" i="8"/>
  <c r="CV56" i="8"/>
  <c r="CV65" i="8"/>
  <c r="CV64" i="8"/>
  <c r="CV40" i="8"/>
  <c r="CV39" i="8"/>
  <c r="CV52" i="8"/>
  <c r="CV62" i="8"/>
  <c r="CV50" i="8"/>
  <c r="CV48" i="8"/>
  <c r="CV38" i="8"/>
  <c r="CV60" i="8"/>
  <c r="CV35" i="8"/>
  <c r="CV33" i="8"/>
  <c r="CV30" i="8"/>
  <c r="CV28" i="8"/>
  <c r="CV26" i="8"/>
  <c r="CV24" i="8"/>
  <c r="CV22" i="8"/>
  <c r="CV20" i="8"/>
  <c r="CV18" i="8"/>
  <c r="CV16" i="8"/>
  <c r="AK8" i="1" l="1"/>
  <c r="F9" i="2"/>
  <c r="AI8" i="1"/>
  <c r="L6" i="1"/>
  <c r="CV7" i="8"/>
  <c r="CV13" i="8"/>
  <c r="CV11" i="8"/>
  <c r="CV9" i="8"/>
  <c r="AE12" i="1"/>
  <c r="S8" i="1"/>
  <c r="O12" i="1"/>
  <c r="K12" i="1"/>
  <c r="B8" i="1"/>
  <c r="AM10" i="1"/>
  <c r="T12" i="1"/>
  <c r="L12" i="1"/>
  <c r="AE10" i="1"/>
  <c r="D12" i="1"/>
  <c r="T6" i="1"/>
  <c r="G10" i="1"/>
  <c r="P6" i="1"/>
  <c r="AN10" i="1"/>
  <c r="AH12" i="1"/>
  <c r="AI10" i="1"/>
  <c r="AN8" i="1"/>
  <c r="B12" i="1"/>
  <c r="T8" i="1"/>
  <c r="AI12" i="1"/>
  <c r="G12" i="1"/>
  <c r="X8" i="1"/>
  <c r="W6" i="1"/>
  <c r="Z8" i="1"/>
  <c r="K6" i="1"/>
  <c r="W8" i="1"/>
  <c r="O6" i="1"/>
  <c r="X10" i="1"/>
  <c r="AN12" i="1"/>
  <c r="AZ6" i="1"/>
  <c r="S6" i="1"/>
  <c r="Z10" i="1"/>
  <c r="AZ12" i="1"/>
  <c r="AF8" i="1"/>
  <c r="AF10" i="1"/>
  <c r="AE6" i="1"/>
  <c r="W10" i="1"/>
  <c r="AI6" i="1"/>
  <c r="AA10" i="1"/>
  <c r="AM12" i="1"/>
  <c r="AF12" i="1"/>
  <c r="AF6" i="1"/>
  <c r="X6" i="1"/>
  <c r="U6" i="1"/>
  <c r="Z6" i="1"/>
  <c r="D10" i="1"/>
  <c r="AD6" i="1"/>
  <c r="D6" i="1"/>
  <c r="I8" i="1"/>
  <c r="C6" i="1"/>
  <c r="K10" i="1"/>
  <c r="L10" i="1"/>
  <c r="F6" i="1"/>
  <c r="F8" i="1"/>
  <c r="E6" i="1"/>
  <c r="O10" i="1"/>
  <c r="P10" i="1"/>
  <c r="S12" i="1"/>
  <c r="J6" i="1"/>
  <c r="G6" i="1"/>
  <c r="BD8" i="1"/>
  <c r="AG8" i="1"/>
  <c r="AK12" i="1"/>
  <c r="P8" i="1"/>
  <c r="AC10" i="1"/>
  <c r="M12" i="1"/>
  <c r="M8" i="1"/>
  <c r="C10" i="1"/>
  <c r="V8" i="1"/>
  <c r="AL6" i="1"/>
  <c r="BA8" i="1"/>
  <c r="AB8" i="1"/>
  <c r="BC12" i="1"/>
  <c r="M10" i="1"/>
  <c r="AJ12" i="1"/>
  <c r="Y6" i="1"/>
  <c r="BD6" i="1"/>
  <c r="AL8" i="1"/>
  <c r="AK10" i="1"/>
  <c r="BD10" i="1"/>
  <c r="AL12" i="1"/>
  <c r="AA6" i="1"/>
  <c r="AQ6" i="1"/>
  <c r="AA8" i="1"/>
  <c r="R8" i="1"/>
  <c r="Q6" i="1"/>
  <c r="Q10" i="1"/>
  <c r="AQ10" i="1"/>
  <c r="AC12" i="1"/>
  <c r="AC6" i="1"/>
  <c r="AB6" i="1"/>
  <c r="AQ8" i="1"/>
  <c r="BA10" i="1"/>
  <c r="R12" i="1"/>
  <c r="BB6" i="1"/>
  <c r="N6" i="1"/>
  <c r="BB12" i="1"/>
  <c r="AJ6" i="1"/>
  <c r="AY6" i="1"/>
  <c r="Q8" i="1"/>
  <c r="I6" i="1"/>
  <c r="U10" i="1"/>
  <c r="E10" i="1"/>
  <c r="BD12" i="1"/>
  <c r="AB12" i="1"/>
  <c r="J12" i="1"/>
  <c r="AK6" i="1"/>
  <c r="BA6" i="1"/>
  <c r="C8" i="1"/>
  <c r="H10" i="1"/>
  <c r="AD12" i="1"/>
  <c r="AM6" i="1"/>
  <c r="V6" i="1"/>
  <c r="U8" i="1"/>
  <c r="E8" i="1"/>
  <c r="H8" i="1"/>
  <c r="BB8" i="1"/>
  <c r="Y10" i="1"/>
  <c r="I10" i="1"/>
  <c r="AD10" i="1"/>
  <c r="J10" i="1"/>
  <c r="N12" i="1"/>
  <c r="H6" i="1"/>
  <c r="N8" i="1"/>
  <c r="AJ10" i="1"/>
  <c r="R10" i="1"/>
  <c r="B10" i="1"/>
  <c r="Y12" i="1"/>
  <c r="V12" i="1"/>
  <c r="F12" i="1"/>
  <c r="AG6" i="1"/>
  <c r="BC8" i="1"/>
  <c r="AG10" i="1"/>
  <c r="DJ7" i="8"/>
  <c r="DJ11" i="8"/>
  <c r="DJ9" i="8"/>
  <c r="DJ13" i="8"/>
  <c r="AW10" i="1"/>
  <c r="AW12" i="1"/>
  <c r="AX10" i="1"/>
  <c r="AX12" i="1"/>
  <c r="AY8" i="1"/>
  <c r="AY10" i="1"/>
  <c r="AW8" i="1"/>
  <c r="AX8" i="1"/>
  <c r="AW6" i="1"/>
  <c r="AX6" i="1"/>
  <c r="BC6" i="1"/>
  <c r="AZ8" i="1"/>
  <c r="CW10" i="8"/>
  <c r="DE6" i="8"/>
  <c r="CW14" i="8"/>
  <c r="CW12" i="8"/>
  <c r="DD6" i="8"/>
  <c r="DF6" i="8"/>
  <c r="DH6" i="8"/>
  <c r="CW8" i="8"/>
  <c r="DG6" i="8"/>
  <c r="DI6" i="8"/>
  <c r="AH10" i="1"/>
  <c r="AO12" i="1"/>
  <c r="AH6" i="1"/>
  <c r="AH8" i="1"/>
  <c r="AO6" i="1"/>
  <c r="AO8" i="1"/>
  <c r="E6" i="8"/>
  <c r="M6" i="8"/>
  <c r="Q6" i="8"/>
  <c r="X6" i="8"/>
  <c r="AD6" i="8"/>
  <c r="AJ6" i="8"/>
  <c r="AK6" i="8"/>
  <c r="AL6" i="8"/>
  <c r="AM6" i="8"/>
  <c r="AN6" i="8"/>
  <c r="AT6" i="8"/>
  <c r="AZ6" i="8"/>
  <c r="BF6" i="8"/>
  <c r="BL6" i="8"/>
  <c r="BR6" i="8"/>
  <c r="BX6" i="8"/>
  <c r="BY6" i="8"/>
  <c r="BZ6" i="8"/>
  <c r="CA6" i="8"/>
  <c r="CB6" i="8"/>
  <c r="CC6" i="8"/>
  <c r="CD6" i="8"/>
  <c r="CK6" i="8"/>
  <c r="CL6" i="8"/>
  <c r="CM6" i="8"/>
  <c r="CN6" i="8"/>
  <c r="CO6" i="8"/>
  <c r="CP6" i="8"/>
  <c r="E16" i="8"/>
  <c r="M16" i="8"/>
  <c r="O16" i="8"/>
  <c r="P16" i="8"/>
  <c r="Q16" i="8"/>
  <c r="X16" i="8"/>
  <c r="AD16" i="8"/>
  <c r="AJ16" i="8"/>
  <c r="AK16" i="8"/>
  <c r="AL16" i="8"/>
  <c r="AM16" i="8"/>
  <c r="AN16" i="8"/>
  <c r="AT16" i="8"/>
  <c r="AZ16" i="8"/>
  <c r="BF16" i="8"/>
  <c r="BL16" i="8"/>
  <c r="BR16" i="8"/>
  <c r="BX16" i="8"/>
  <c r="CE16" i="8"/>
  <c r="CF16" i="8"/>
  <c r="CG16" i="8"/>
  <c r="CH16" i="8"/>
  <c r="CI16" i="8"/>
  <c r="E17" i="8"/>
  <c r="M17" i="8"/>
  <c r="O17" i="8"/>
  <c r="P17" i="8"/>
  <c r="Q17" i="8"/>
  <c r="X17" i="8"/>
  <c r="AD17" i="8"/>
  <c r="AJ17" i="8"/>
  <c r="AK17" i="8"/>
  <c r="AL17" i="8"/>
  <c r="AM17" i="8"/>
  <c r="AN17" i="8"/>
  <c r="AT17" i="8"/>
  <c r="AZ17" i="8"/>
  <c r="BF17" i="8"/>
  <c r="BL17" i="8"/>
  <c r="BR17" i="8"/>
  <c r="BX17" i="8"/>
  <c r="CE17" i="8"/>
  <c r="CF17" i="8"/>
  <c r="CG17" i="8"/>
  <c r="CH17" i="8"/>
  <c r="CI17" i="8"/>
  <c r="C18" i="8"/>
  <c r="C7" i="8" s="1"/>
  <c r="D18" i="8"/>
  <c r="D7" i="8" s="1"/>
  <c r="E18" i="8"/>
  <c r="G18" i="8"/>
  <c r="G7" i="8" s="1"/>
  <c r="M18" i="8"/>
  <c r="O18" i="8"/>
  <c r="P18" i="8"/>
  <c r="Q18" i="8"/>
  <c r="X18" i="8"/>
  <c r="AD18" i="8"/>
  <c r="AJ18" i="8"/>
  <c r="AK18" i="8"/>
  <c r="AL18" i="8"/>
  <c r="AM18" i="8"/>
  <c r="AN18" i="8"/>
  <c r="AT18" i="8"/>
  <c r="AZ18" i="8"/>
  <c r="BF18" i="8"/>
  <c r="BL18" i="8"/>
  <c r="BR18" i="8"/>
  <c r="BX18" i="8"/>
  <c r="CE18" i="8"/>
  <c r="CF18" i="8"/>
  <c r="CG18" i="8"/>
  <c r="CH18" i="8"/>
  <c r="CI18" i="8"/>
  <c r="E19" i="8"/>
  <c r="M19" i="8"/>
  <c r="O19" i="8"/>
  <c r="P19" i="8"/>
  <c r="Q19" i="8"/>
  <c r="X19" i="8"/>
  <c r="AD19" i="8"/>
  <c r="AJ19" i="8"/>
  <c r="AK19" i="8"/>
  <c r="AL19" i="8"/>
  <c r="AM19" i="8"/>
  <c r="AN19" i="8"/>
  <c r="AT19" i="8"/>
  <c r="AZ19" i="8"/>
  <c r="BF19" i="8"/>
  <c r="BL19" i="8"/>
  <c r="BR19" i="8"/>
  <c r="BX19" i="8"/>
  <c r="CE19" i="8"/>
  <c r="CF19" i="8"/>
  <c r="CG19" i="8"/>
  <c r="CH19" i="8"/>
  <c r="CI19" i="8"/>
  <c r="E20" i="8"/>
  <c r="M20" i="8"/>
  <c r="O20" i="8"/>
  <c r="P20" i="8" s="1"/>
  <c r="Q20" i="8" s="1"/>
  <c r="X20" i="8"/>
  <c r="AD20" i="8"/>
  <c r="AJ20" i="8"/>
  <c r="AK20" i="8"/>
  <c r="AL20" i="8"/>
  <c r="AM20" i="8"/>
  <c r="AN20" i="8"/>
  <c r="AT20" i="8"/>
  <c r="AZ20" i="8"/>
  <c r="BF20" i="8"/>
  <c r="BL20" i="8"/>
  <c r="BR20" i="8"/>
  <c r="BX20" i="8"/>
  <c r="CE20" i="8"/>
  <c r="CF20" i="8"/>
  <c r="CG20" i="8"/>
  <c r="CH20" i="8"/>
  <c r="CI20" i="8"/>
  <c r="E21" i="8"/>
  <c r="M21" i="8"/>
  <c r="O21" i="8"/>
  <c r="P21" i="8"/>
  <c r="Q21" i="8"/>
  <c r="X21" i="8"/>
  <c r="AD21" i="8"/>
  <c r="AJ21" i="8"/>
  <c r="AK21" i="8"/>
  <c r="AL21" i="8"/>
  <c r="AM21" i="8"/>
  <c r="AN21" i="8"/>
  <c r="AT21" i="8"/>
  <c r="AZ21" i="8"/>
  <c r="BF21" i="8"/>
  <c r="BL21" i="8"/>
  <c r="BR21" i="8"/>
  <c r="BX21" i="8"/>
  <c r="CE21" i="8"/>
  <c r="CF21" i="8"/>
  <c r="CG21" i="8"/>
  <c r="CH21" i="8"/>
  <c r="CI21" i="8"/>
  <c r="M22" i="8"/>
  <c r="O22" i="8"/>
  <c r="P22" i="8"/>
  <c r="Q22" i="8"/>
  <c r="X22" i="8"/>
  <c r="AD22" i="8"/>
  <c r="AJ22" i="8"/>
  <c r="AK22" i="8"/>
  <c r="AL22" i="8"/>
  <c r="AM22" i="8"/>
  <c r="AN22" i="8"/>
  <c r="AT22" i="8"/>
  <c r="AZ22" i="8"/>
  <c r="BF22" i="8"/>
  <c r="BL22" i="8"/>
  <c r="BR22" i="8"/>
  <c r="BX22" i="8"/>
  <c r="CE22" i="8"/>
  <c r="CF22" i="8"/>
  <c r="CG22" i="8"/>
  <c r="CH22" i="8"/>
  <c r="CI22" i="8"/>
  <c r="E23" i="8"/>
  <c r="M23" i="8"/>
  <c r="O23" i="8"/>
  <c r="P23" i="8"/>
  <c r="Q23" i="8"/>
  <c r="X23" i="8"/>
  <c r="AD23" i="8"/>
  <c r="AJ23" i="8"/>
  <c r="AK23" i="8"/>
  <c r="AL23" i="8"/>
  <c r="AM23" i="8"/>
  <c r="AN23" i="8"/>
  <c r="AT23" i="8"/>
  <c r="AZ23" i="8"/>
  <c r="BF23" i="8"/>
  <c r="BL23" i="8"/>
  <c r="BR23" i="8"/>
  <c r="BX23" i="8"/>
  <c r="CE23" i="8"/>
  <c r="CF23" i="8"/>
  <c r="CG23" i="8"/>
  <c r="CH23" i="8"/>
  <c r="CI23" i="8"/>
  <c r="E24" i="8"/>
  <c r="M24" i="8"/>
  <c r="O24" i="8"/>
  <c r="P24" i="8"/>
  <c r="Q24" i="8"/>
  <c r="X24" i="8"/>
  <c r="AD24" i="8"/>
  <c r="AJ24" i="8"/>
  <c r="AK24" i="8"/>
  <c r="AL24" i="8"/>
  <c r="AM24" i="8"/>
  <c r="AN24" i="8"/>
  <c r="AT24" i="8"/>
  <c r="AZ24" i="8"/>
  <c r="BF24" i="8"/>
  <c r="BL24" i="8"/>
  <c r="BR24" i="8"/>
  <c r="BX24" i="8"/>
  <c r="CE24" i="8"/>
  <c r="CF24" i="8"/>
  <c r="CG24" i="8"/>
  <c r="CH24" i="8"/>
  <c r="CI24" i="8"/>
  <c r="E25" i="8"/>
  <c r="M25" i="8"/>
  <c r="O25" i="8"/>
  <c r="P25" i="8"/>
  <c r="Q25" i="8"/>
  <c r="X25" i="8"/>
  <c r="AD25" i="8"/>
  <c r="AJ25" i="8"/>
  <c r="AK25" i="8"/>
  <c r="AL25" i="8"/>
  <c r="AM25" i="8"/>
  <c r="AN25" i="8"/>
  <c r="AT25" i="8"/>
  <c r="AZ25" i="8"/>
  <c r="BF25" i="8"/>
  <c r="BL25" i="8"/>
  <c r="BR25" i="8"/>
  <c r="BX25" i="8"/>
  <c r="CE25" i="8"/>
  <c r="CF25" i="8"/>
  <c r="CG25" i="8"/>
  <c r="CH25" i="8"/>
  <c r="CI25" i="8"/>
  <c r="E26" i="8"/>
  <c r="M26" i="8"/>
  <c r="O26" i="8"/>
  <c r="P26" i="8"/>
  <c r="Q26" i="8"/>
  <c r="X26" i="8"/>
  <c r="AD26" i="8"/>
  <c r="AJ26" i="8"/>
  <c r="AK26" i="8"/>
  <c r="AL26" i="8"/>
  <c r="AM26" i="8"/>
  <c r="AN26" i="8"/>
  <c r="AT26" i="8"/>
  <c r="AZ26" i="8"/>
  <c r="BF26" i="8"/>
  <c r="BL26" i="8"/>
  <c r="BR26" i="8"/>
  <c r="BX26" i="8"/>
  <c r="CE26" i="8"/>
  <c r="CF26" i="8"/>
  <c r="CG26" i="8"/>
  <c r="CH26" i="8"/>
  <c r="CI26" i="8"/>
  <c r="E27" i="8"/>
  <c r="M27" i="8"/>
  <c r="O27" i="8"/>
  <c r="P27" i="8"/>
  <c r="Q27" i="8"/>
  <c r="X27" i="8"/>
  <c r="AD27" i="8"/>
  <c r="AJ27" i="8"/>
  <c r="AK27" i="8"/>
  <c r="AL27" i="8"/>
  <c r="AM27" i="8"/>
  <c r="AN27" i="8"/>
  <c r="AT27" i="8"/>
  <c r="AZ27" i="8"/>
  <c r="BF27" i="8"/>
  <c r="BL27" i="8"/>
  <c r="BR27" i="8"/>
  <c r="BX27" i="8"/>
  <c r="CE27" i="8"/>
  <c r="CF27" i="8"/>
  <c r="CG27" i="8"/>
  <c r="CH27" i="8"/>
  <c r="CI27" i="8"/>
  <c r="E28" i="8"/>
  <c r="M28" i="8"/>
  <c r="O28" i="8"/>
  <c r="P28" i="8"/>
  <c r="Q28" i="8"/>
  <c r="X28" i="8"/>
  <c r="AD28" i="8"/>
  <c r="AJ28" i="8"/>
  <c r="AK28" i="8"/>
  <c r="AL28" i="8"/>
  <c r="AM28" i="8"/>
  <c r="AN28" i="8"/>
  <c r="AT28" i="8"/>
  <c r="AZ28" i="8"/>
  <c r="BF28" i="8"/>
  <c r="BL28" i="8"/>
  <c r="BR28" i="8"/>
  <c r="BX28" i="8"/>
  <c r="CE28" i="8"/>
  <c r="CF28" i="8"/>
  <c r="CG28" i="8"/>
  <c r="CH28" i="8"/>
  <c r="CI28" i="8"/>
  <c r="E29" i="8"/>
  <c r="M29" i="8"/>
  <c r="O29" i="8"/>
  <c r="P29" i="8"/>
  <c r="Q29" i="8"/>
  <c r="X29" i="8"/>
  <c r="AD29" i="8"/>
  <c r="AJ29" i="8"/>
  <c r="AK29" i="8"/>
  <c r="AL29" i="8"/>
  <c r="AM29" i="8"/>
  <c r="AN29" i="8"/>
  <c r="AT29" i="8"/>
  <c r="AZ29" i="8"/>
  <c r="BF29" i="8"/>
  <c r="BL29" i="8"/>
  <c r="BR29" i="8"/>
  <c r="BX29" i="8"/>
  <c r="CE29" i="8"/>
  <c r="CF29" i="8"/>
  <c r="CG29" i="8"/>
  <c r="CH29" i="8"/>
  <c r="CI29" i="8"/>
  <c r="E30" i="8"/>
  <c r="M30" i="8"/>
  <c r="O30" i="8"/>
  <c r="P30" i="8" s="1"/>
  <c r="Q30" i="8" s="1"/>
  <c r="X30" i="8"/>
  <c r="AD30" i="8"/>
  <c r="AJ30" i="8"/>
  <c r="AK30" i="8"/>
  <c r="AL30" i="8"/>
  <c r="AM30" i="8"/>
  <c r="AN30" i="8"/>
  <c r="AT30" i="8"/>
  <c r="AZ30" i="8"/>
  <c r="BF30" i="8"/>
  <c r="BL30" i="8"/>
  <c r="BR30" i="8"/>
  <c r="BX30" i="8"/>
  <c r="CE30" i="8"/>
  <c r="CF30" i="8"/>
  <c r="CG30" i="8"/>
  <c r="CH30" i="8"/>
  <c r="CI30" i="8"/>
  <c r="E31" i="8"/>
  <c r="M31" i="8"/>
  <c r="O31" i="8"/>
  <c r="P31" i="8"/>
  <c r="Q31" i="8"/>
  <c r="X31" i="8"/>
  <c r="AD31" i="8"/>
  <c r="AJ31" i="8"/>
  <c r="AK31" i="8"/>
  <c r="AL31" i="8"/>
  <c r="AM31" i="8"/>
  <c r="AN31" i="8"/>
  <c r="AT31" i="8"/>
  <c r="AZ31" i="8"/>
  <c r="BF31" i="8"/>
  <c r="BL31" i="8"/>
  <c r="BR31" i="8"/>
  <c r="BX31" i="8"/>
  <c r="CE31" i="8"/>
  <c r="CF31" i="8"/>
  <c r="CG31" i="8"/>
  <c r="CH31" i="8"/>
  <c r="CI31" i="8"/>
  <c r="M33" i="8"/>
  <c r="X33" i="8"/>
  <c r="AD33" i="8"/>
  <c r="AJ33" i="8"/>
  <c r="AK33" i="8"/>
  <c r="AL33" i="8"/>
  <c r="AM33" i="8"/>
  <c r="AN33" i="8"/>
  <c r="AT33" i="8"/>
  <c r="AZ33" i="8"/>
  <c r="BF33" i="8"/>
  <c r="BL33" i="8"/>
  <c r="BR33" i="8"/>
  <c r="BX33" i="8"/>
  <c r="CE33" i="8"/>
  <c r="CF33" i="8"/>
  <c r="CG33" i="8"/>
  <c r="CH33" i="8"/>
  <c r="CI33" i="8"/>
  <c r="M34" i="8"/>
  <c r="X34" i="8"/>
  <c r="AD34" i="8"/>
  <c r="AJ34" i="8"/>
  <c r="AK34" i="8"/>
  <c r="AL34" i="8"/>
  <c r="AM34" i="8"/>
  <c r="AN34" i="8"/>
  <c r="AT34" i="8"/>
  <c r="AZ34" i="8"/>
  <c r="BF34" i="8"/>
  <c r="BL34" i="8"/>
  <c r="BR34" i="8"/>
  <c r="BX34" i="8"/>
  <c r="CE34" i="8"/>
  <c r="CF34" i="8"/>
  <c r="CG34" i="8"/>
  <c r="CH34" i="8"/>
  <c r="CI34" i="8"/>
  <c r="M35" i="8"/>
  <c r="X35" i="8"/>
  <c r="AD35" i="8"/>
  <c r="AJ35" i="8"/>
  <c r="AK35" i="8"/>
  <c r="AL35" i="8"/>
  <c r="AM35" i="8"/>
  <c r="AN35" i="8"/>
  <c r="AT35" i="8"/>
  <c r="AZ35" i="8"/>
  <c r="BF35" i="8"/>
  <c r="BL35" i="8"/>
  <c r="BR35" i="8"/>
  <c r="BX35" i="8"/>
  <c r="CE35" i="8"/>
  <c r="CF35" i="8"/>
  <c r="CG35" i="8"/>
  <c r="CH35" i="8"/>
  <c r="CI35" i="8"/>
  <c r="M36" i="8"/>
  <c r="X36" i="8"/>
  <c r="AD36" i="8"/>
  <c r="AJ36" i="8"/>
  <c r="AK36" i="8"/>
  <c r="AL36" i="8"/>
  <c r="AM36" i="8"/>
  <c r="AN36" i="8"/>
  <c r="AT36" i="8"/>
  <c r="AZ36" i="8"/>
  <c r="BF36" i="8"/>
  <c r="BL36" i="8"/>
  <c r="BR36" i="8"/>
  <c r="BX36" i="8"/>
  <c r="CE36" i="8"/>
  <c r="CF36" i="8"/>
  <c r="CG36" i="8"/>
  <c r="CH36" i="8"/>
  <c r="CI36" i="8"/>
  <c r="M60" i="8"/>
  <c r="X60" i="8"/>
  <c r="AD60" i="8"/>
  <c r="AJ60" i="8"/>
  <c r="AK60" i="8"/>
  <c r="AL60" i="8"/>
  <c r="AM60" i="8"/>
  <c r="AN60" i="8"/>
  <c r="AT60" i="8"/>
  <c r="AZ60" i="8"/>
  <c r="BF60" i="8"/>
  <c r="BL60" i="8"/>
  <c r="BR60" i="8"/>
  <c r="BX60" i="8"/>
  <c r="CE60" i="8"/>
  <c r="CF60" i="8"/>
  <c r="CG60" i="8"/>
  <c r="CH60" i="8"/>
  <c r="CI60" i="8"/>
  <c r="M37" i="8"/>
  <c r="X37" i="8"/>
  <c r="AD37" i="8"/>
  <c r="AJ37" i="8"/>
  <c r="AK37" i="8"/>
  <c r="AL37" i="8"/>
  <c r="AM37" i="8"/>
  <c r="AN37" i="8"/>
  <c r="AT37" i="8"/>
  <c r="AZ37" i="8"/>
  <c r="BF37" i="8"/>
  <c r="BL37" i="8"/>
  <c r="BR37" i="8"/>
  <c r="BX37" i="8"/>
  <c r="CE37" i="8"/>
  <c r="CF37" i="8"/>
  <c r="CG37" i="8"/>
  <c r="CH37" i="8"/>
  <c r="CI37" i="8"/>
  <c r="M38" i="8"/>
  <c r="X38" i="8"/>
  <c r="AD38" i="8"/>
  <c r="AJ38" i="8"/>
  <c r="AK38" i="8"/>
  <c r="AL38" i="8"/>
  <c r="AM38" i="8"/>
  <c r="AN38" i="8"/>
  <c r="AT38" i="8"/>
  <c r="AZ38" i="8"/>
  <c r="BF38" i="8"/>
  <c r="BL38" i="8"/>
  <c r="BR38" i="8"/>
  <c r="BX38" i="8"/>
  <c r="CE38" i="8"/>
  <c r="CF38" i="8"/>
  <c r="CG38" i="8"/>
  <c r="CH38" i="8"/>
  <c r="CI38" i="8"/>
  <c r="M47" i="8"/>
  <c r="X47" i="8"/>
  <c r="AD47" i="8"/>
  <c r="AJ47" i="8"/>
  <c r="AK47" i="8"/>
  <c r="AL47" i="8"/>
  <c r="AM47" i="8"/>
  <c r="AN47" i="8"/>
  <c r="AT47" i="8"/>
  <c r="AZ47" i="8"/>
  <c r="BF47" i="8"/>
  <c r="BL47" i="8"/>
  <c r="BR47" i="8"/>
  <c r="BX47" i="8"/>
  <c r="CE47" i="8"/>
  <c r="CF47" i="8"/>
  <c r="CG47" i="8"/>
  <c r="CH47" i="8"/>
  <c r="CI47" i="8"/>
  <c r="M48" i="8"/>
  <c r="X48" i="8"/>
  <c r="AD48" i="8"/>
  <c r="AJ48" i="8"/>
  <c r="AK48" i="8"/>
  <c r="AL48" i="8"/>
  <c r="AM48" i="8"/>
  <c r="AN48" i="8"/>
  <c r="AT48" i="8"/>
  <c r="AZ48" i="8"/>
  <c r="BF48" i="8"/>
  <c r="BL48" i="8"/>
  <c r="BR48" i="8"/>
  <c r="BX48" i="8"/>
  <c r="CE48" i="8"/>
  <c r="CF48" i="8"/>
  <c r="CG48" i="8"/>
  <c r="CH48" i="8"/>
  <c r="CI48" i="8"/>
  <c r="M49" i="8"/>
  <c r="X49" i="8"/>
  <c r="AD49" i="8"/>
  <c r="AJ49" i="8"/>
  <c r="AK49" i="8"/>
  <c r="AL49" i="8"/>
  <c r="AM49" i="8"/>
  <c r="AN49" i="8"/>
  <c r="AT49" i="8"/>
  <c r="AZ49" i="8"/>
  <c r="BF49" i="8"/>
  <c r="BL49" i="8"/>
  <c r="BR49" i="8"/>
  <c r="BX49" i="8"/>
  <c r="CE49" i="8"/>
  <c r="CF49" i="8"/>
  <c r="CG49" i="8"/>
  <c r="CH49" i="8"/>
  <c r="CI49" i="8"/>
  <c r="M50" i="8"/>
  <c r="X50" i="8"/>
  <c r="AD50" i="8"/>
  <c r="AJ50" i="8"/>
  <c r="AK50" i="8"/>
  <c r="AL50" i="8"/>
  <c r="AM50" i="8"/>
  <c r="AN50" i="8"/>
  <c r="AT50" i="8"/>
  <c r="AZ50" i="8"/>
  <c r="BF50" i="8"/>
  <c r="BL50" i="8"/>
  <c r="BR50" i="8"/>
  <c r="BX50" i="8"/>
  <c r="CE50" i="8"/>
  <c r="CF50" i="8"/>
  <c r="CG50" i="8"/>
  <c r="CH50" i="8"/>
  <c r="CI50" i="8"/>
  <c r="M61" i="8"/>
  <c r="X61" i="8"/>
  <c r="AD61" i="8"/>
  <c r="AJ61" i="8"/>
  <c r="AK61" i="8"/>
  <c r="AL61" i="8"/>
  <c r="AM61" i="8"/>
  <c r="AN61" i="8"/>
  <c r="AT61" i="8"/>
  <c r="AZ61" i="8"/>
  <c r="BF61" i="8"/>
  <c r="BL61" i="8"/>
  <c r="BR61" i="8"/>
  <c r="BX61" i="8"/>
  <c r="CE61" i="8"/>
  <c r="CF61" i="8"/>
  <c r="CG61" i="8"/>
  <c r="CH61" i="8"/>
  <c r="CI61" i="8"/>
  <c r="M62" i="8"/>
  <c r="X62" i="8"/>
  <c r="AD62" i="8"/>
  <c r="AJ62" i="8"/>
  <c r="AK62" i="8"/>
  <c r="AL62" i="8"/>
  <c r="AM62" i="8"/>
  <c r="AN62" i="8"/>
  <c r="AT62" i="8"/>
  <c r="AZ62" i="8"/>
  <c r="BF62" i="8"/>
  <c r="BL62" i="8"/>
  <c r="BR62" i="8"/>
  <c r="BX62" i="8"/>
  <c r="CE62" i="8"/>
  <c r="CF62" i="8"/>
  <c r="CG62" i="8"/>
  <c r="CH62" i="8"/>
  <c r="CI62" i="8"/>
  <c r="M51" i="8"/>
  <c r="X51" i="8"/>
  <c r="AD51" i="8"/>
  <c r="AJ51" i="8"/>
  <c r="AK51" i="8"/>
  <c r="AL51" i="8"/>
  <c r="AM51" i="8"/>
  <c r="AN51" i="8"/>
  <c r="AT51" i="8"/>
  <c r="AZ51" i="8"/>
  <c r="BF51" i="8"/>
  <c r="BL51" i="8"/>
  <c r="BR51" i="8"/>
  <c r="BX51" i="8"/>
  <c r="CE51" i="8"/>
  <c r="CF51" i="8"/>
  <c r="CG51" i="8"/>
  <c r="CH51" i="8"/>
  <c r="CI51" i="8"/>
  <c r="M52" i="8"/>
  <c r="X52" i="8"/>
  <c r="AD52" i="8"/>
  <c r="AJ52" i="8"/>
  <c r="AK52" i="8"/>
  <c r="AL52" i="8"/>
  <c r="AM52" i="8"/>
  <c r="AN52" i="8"/>
  <c r="AT52" i="8"/>
  <c r="AZ52" i="8"/>
  <c r="BF52" i="8"/>
  <c r="BL52" i="8"/>
  <c r="BR52" i="8"/>
  <c r="BX52" i="8"/>
  <c r="CE52" i="8"/>
  <c r="CF52" i="8"/>
  <c r="CG52" i="8"/>
  <c r="CH52" i="8"/>
  <c r="CI52" i="8"/>
  <c r="M53" i="8"/>
  <c r="X53" i="8"/>
  <c r="AD53" i="8"/>
  <c r="AJ53" i="8"/>
  <c r="AK53" i="8"/>
  <c r="AL53" i="8"/>
  <c r="AM53" i="8"/>
  <c r="AN53" i="8"/>
  <c r="AT53" i="8"/>
  <c r="AZ53" i="8"/>
  <c r="BF53" i="8"/>
  <c r="BL53" i="8"/>
  <c r="BR53" i="8"/>
  <c r="BX53" i="8"/>
  <c r="CE53" i="8"/>
  <c r="CF53" i="8"/>
  <c r="CG53" i="8"/>
  <c r="CH53" i="8"/>
  <c r="CI53" i="8"/>
  <c r="M39" i="8"/>
  <c r="X39" i="8"/>
  <c r="AD39" i="8"/>
  <c r="AJ39" i="8"/>
  <c r="AK39" i="8"/>
  <c r="AL39" i="8"/>
  <c r="AM39" i="8"/>
  <c r="AN39" i="8"/>
  <c r="AT39" i="8"/>
  <c r="AZ39" i="8"/>
  <c r="BF39" i="8"/>
  <c r="BL39" i="8"/>
  <c r="BR39" i="8"/>
  <c r="BX39" i="8"/>
  <c r="CE39" i="8"/>
  <c r="CF39" i="8"/>
  <c r="CG39" i="8"/>
  <c r="CH39" i="8"/>
  <c r="CI39" i="8"/>
  <c r="M54" i="8"/>
  <c r="X54" i="8"/>
  <c r="AD54" i="8"/>
  <c r="AJ54" i="8"/>
  <c r="AK54" i="8"/>
  <c r="AL54" i="8"/>
  <c r="AM54" i="8"/>
  <c r="AN54" i="8"/>
  <c r="AT54" i="8"/>
  <c r="AZ54" i="8"/>
  <c r="BF54" i="8"/>
  <c r="BL54" i="8"/>
  <c r="BR54" i="8"/>
  <c r="BX54" i="8"/>
  <c r="CE54" i="8"/>
  <c r="CF54" i="8"/>
  <c r="CG54" i="8"/>
  <c r="CH54" i="8"/>
  <c r="CI54" i="8"/>
  <c r="M40" i="8"/>
  <c r="X40" i="8"/>
  <c r="AD40" i="8"/>
  <c r="AJ40" i="8"/>
  <c r="AK40" i="8"/>
  <c r="AL40" i="8"/>
  <c r="AM40" i="8"/>
  <c r="AN40" i="8"/>
  <c r="AT40" i="8"/>
  <c r="AZ40" i="8"/>
  <c r="BF40" i="8"/>
  <c r="BL40" i="8"/>
  <c r="BR40" i="8"/>
  <c r="BX40" i="8"/>
  <c r="CE40" i="8"/>
  <c r="CF40" i="8"/>
  <c r="CG40" i="8"/>
  <c r="CH40" i="8"/>
  <c r="CI40" i="8"/>
  <c r="M63" i="8"/>
  <c r="X63" i="8"/>
  <c r="AD63" i="8"/>
  <c r="AJ63" i="8"/>
  <c r="AK63" i="8"/>
  <c r="AL63" i="8"/>
  <c r="AM63" i="8"/>
  <c r="AN63" i="8"/>
  <c r="AT63" i="8"/>
  <c r="AZ63" i="8"/>
  <c r="BF63" i="8"/>
  <c r="BL63" i="8"/>
  <c r="BR63" i="8"/>
  <c r="BX63" i="8"/>
  <c r="CE63" i="8"/>
  <c r="CF63" i="8"/>
  <c r="CG63" i="8"/>
  <c r="CH63" i="8"/>
  <c r="CI63" i="8"/>
  <c r="M64" i="8"/>
  <c r="X64" i="8"/>
  <c r="AD64" i="8"/>
  <c r="AJ64" i="8"/>
  <c r="AL64" i="8"/>
  <c r="AM64" i="8"/>
  <c r="AN64" i="8"/>
  <c r="AT64" i="8"/>
  <c r="AZ64" i="8"/>
  <c r="BF64" i="8"/>
  <c r="BL64" i="8"/>
  <c r="BR64" i="8"/>
  <c r="BX64" i="8"/>
  <c r="CE64" i="8"/>
  <c r="CF64" i="8"/>
  <c r="CG64" i="8"/>
  <c r="CH64" i="8"/>
  <c r="CI64" i="8"/>
  <c r="M41" i="8"/>
  <c r="X41" i="8"/>
  <c r="AD41" i="8"/>
  <c r="AJ41" i="8"/>
  <c r="AK41" i="8"/>
  <c r="AL41" i="8"/>
  <c r="AM41" i="8"/>
  <c r="AN41" i="8"/>
  <c r="AT41" i="8"/>
  <c r="AZ41" i="8"/>
  <c r="BF41" i="8"/>
  <c r="BL41" i="8"/>
  <c r="BR41" i="8"/>
  <c r="BX41" i="8"/>
  <c r="CE41" i="8"/>
  <c r="CF41" i="8"/>
  <c r="CG41" i="8"/>
  <c r="CH41" i="8"/>
  <c r="CI41" i="8"/>
  <c r="M65" i="8"/>
  <c r="X65" i="8"/>
  <c r="AD65" i="8"/>
  <c r="AJ65" i="8"/>
  <c r="AK65" i="8"/>
  <c r="AL65" i="8"/>
  <c r="AM65" i="8"/>
  <c r="AN65" i="8"/>
  <c r="AT65" i="8"/>
  <c r="AZ65" i="8"/>
  <c r="BF65" i="8"/>
  <c r="BL65" i="8"/>
  <c r="BR65" i="8"/>
  <c r="BX65" i="8"/>
  <c r="CE65" i="8"/>
  <c r="CF65" i="8"/>
  <c r="CG65" i="8"/>
  <c r="CH65" i="8"/>
  <c r="CI65" i="8"/>
  <c r="M55" i="8"/>
  <c r="X55" i="8"/>
  <c r="AD55" i="8"/>
  <c r="AJ55" i="8"/>
  <c r="AK55" i="8"/>
  <c r="AL55" i="8"/>
  <c r="AM55" i="8"/>
  <c r="AN55" i="8"/>
  <c r="AT55" i="8"/>
  <c r="AZ55" i="8"/>
  <c r="BF55" i="8"/>
  <c r="BL55" i="8"/>
  <c r="BR55" i="8"/>
  <c r="BX55" i="8"/>
  <c r="CE55" i="8"/>
  <c r="CF55" i="8"/>
  <c r="CG55" i="8"/>
  <c r="CH55" i="8"/>
  <c r="CI55" i="8"/>
  <c r="M56" i="8"/>
  <c r="X56" i="8"/>
  <c r="AD56" i="8"/>
  <c r="AJ56" i="8"/>
  <c r="AK56" i="8"/>
  <c r="AL56" i="8"/>
  <c r="AM56" i="8"/>
  <c r="AN56" i="8"/>
  <c r="AT56" i="8"/>
  <c r="AZ56" i="8"/>
  <c r="BF56" i="8"/>
  <c r="BL56" i="8"/>
  <c r="BR56" i="8"/>
  <c r="BX56" i="8"/>
  <c r="CE56" i="8"/>
  <c r="CF56" i="8"/>
  <c r="CG56" i="8"/>
  <c r="CH56" i="8"/>
  <c r="CI56" i="8"/>
  <c r="M42" i="8"/>
  <c r="X42" i="8"/>
  <c r="AD42" i="8"/>
  <c r="AJ42" i="8"/>
  <c r="AK42" i="8"/>
  <c r="AL42" i="8"/>
  <c r="AM42" i="8"/>
  <c r="AN42" i="8"/>
  <c r="AT42" i="8"/>
  <c r="AZ42" i="8"/>
  <c r="BF42" i="8"/>
  <c r="BL42" i="8"/>
  <c r="BR42" i="8"/>
  <c r="BX42" i="8"/>
  <c r="CE42" i="8"/>
  <c r="CF42" i="8"/>
  <c r="CG42" i="8"/>
  <c r="CH42" i="8"/>
  <c r="CI42" i="8"/>
  <c r="M66" i="8"/>
  <c r="X66" i="8"/>
  <c r="AD66" i="8"/>
  <c r="AJ66" i="8"/>
  <c r="AK66" i="8"/>
  <c r="AL66" i="8"/>
  <c r="AM66" i="8"/>
  <c r="AN66" i="8"/>
  <c r="AT66" i="8"/>
  <c r="AZ66" i="8"/>
  <c r="BF66" i="8"/>
  <c r="BL66" i="8"/>
  <c r="BR66" i="8"/>
  <c r="BX66" i="8"/>
  <c r="CE66" i="8"/>
  <c r="CF66" i="8"/>
  <c r="CG66" i="8"/>
  <c r="CH66" i="8"/>
  <c r="CI66" i="8"/>
  <c r="M67" i="8"/>
  <c r="X67" i="8"/>
  <c r="AD67" i="8"/>
  <c r="AJ67" i="8"/>
  <c r="AK67" i="8"/>
  <c r="AL67" i="8"/>
  <c r="AM67" i="8"/>
  <c r="AN67" i="8"/>
  <c r="AT67" i="8"/>
  <c r="AZ67" i="8"/>
  <c r="BF67" i="8"/>
  <c r="BL67" i="8"/>
  <c r="BR67" i="8"/>
  <c r="BX67" i="8"/>
  <c r="CE67" i="8"/>
  <c r="CF67" i="8"/>
  <c r="CG67" i="8"/>
  <c r="CH67" i="8"/>
  <c r="CI67" i="8"/>
  <c r="M57" i="8"/>
  <c r="X57" i="8"/>
  <c r="AD57" i="8"/>
  <c r="AJ57" i="8"/>
  <c r="AK57" i="8"/>
  <c r="AL57" i="8"/>
  <c r="AM57" i="8"/>
  <c r="AN57" i="8"/>
  <c r="AT57" i="8"/>
  <c r="AZ57" i="8"/>
  <c r="BF57" i="8"/>
  <c r="BL57" i="8"/>
  <c r="BR57" i="8"/>
  <c r="BX57" i="8"/>
  <c r="CE57" i="8"/>
  <c r="CF57" i="8"/>
  <c r="CG57" i="8"/>
  <c r="CH57" i="8"/>
  <c r="CI57" i="8"/>
  <c r="M43" i="8"/>
  <c r="X43" i="8"/>
  <c r="AD43" i="8"/>
  <c r="AJ43" i="8"/>
  <c r="AK43" i="8"/>
  <c r="AL43" i="8"/>
  <c r="AM43" i="8"/>
  <c r="AN43" i="8"/>
  <c r="AT43" i="8"/>
  <c r="AZ43" i="8"/>
  <c r="BF43" i="8"/>
  <c r="BL43" i="8"/>
  <c r="BR43" i="8"/>
  <c r="BX43" i="8"/>
  <c r="CE43" i="8"/>
  <c r="CF43" i="8"/>
  <c r="CG43" i="8"/>
  <c r="CH43" i="8"/>
  <c r="CI43" i="8"/>
  <c r="M68" i="8"/>
  <c r="X68" i="8"/>
  <c r="AD68" i="8"/>
  <c r="AJ68" i="8"/>
  <c r="AK68" i="8"/>
  <c r="AL68" i="8"/>
  <c r="AM68" i="8"/>
  <c r="AN68" i="8"/>
  <c r="AT68" i="8"/>
  <c r="AZ68" i="8"/>
  <c r="BF68" i="8"/>
  <c r="BL68" i="8"/>
  <c r="BR68" i="8"/>
  <c r="BX68" i="8"/>
  <c r="CE68" i="8"/>
  <c r="CF68" i="8"/>
  <c r="CG68" i="8"/>
  <c r="CH68" i="8"/>
  <c r="CI68" i="8"/>
  <c r="M44" i="8"/>
  <c r="X44" i="8"/>
  <c r="AD44" i="8"/>
  <c r="AJ44" i="8"/>
  <c r="AK44" i="8"/>
  <c r="AL44" i="8"/>
  <c r="AM44" i="8"/>
  <c r="AN44" i="8"/>
  <c r="AT44" i="8"/>
  <c r="AZ44" i="8"/>
  <c r="BF44" i="8"/>
  <c r="BL44" i="8"/>
  <c r="BR44" i="8"/>
  <c r="BX44" i="8"/>
  <c r="CE44" i="8"/>
  <c r="CF44" i="8"/>
  <c r="CG44" i="8"/>
  <c r="CH44" i="8"/>
  <c r="CI44" i="8"/>
  <c r="M58" i="8"/>
  <c r="X58" i="8"/>
  <c r="AD58" i="8"/>
  <c r="AJ58" i="8"/>
  <c r="AK58" i="8"/>
  <c r="AL58" i="8"/>
  <c r="AM58" i="8"/>
  <c r="AN58" i="8"/>
  <c r="AT58" i="8"/>
  <c r="AZ58" i="8"/>
  <c r="BF58" i="8"/>
  <c r="BL58" i="8"/>
  <c r="BR58" i="8"/>
  <c r="BX58" i="8"/>
  <c r="CE58" i="8"/>
  <c r="CF58" i="8"/>
  <c r="CG58" i="8"/>
  <c r="CH58" i="8"/>
  <c r="CI58" i="8"/>
  <c r="M45" i="8"/>
  <c r="X45" i="8"/>
  <c r="AD45" i="8"/>
  <c r="AJ45" i="8"/>
  <c r="AK45" i="8"/>
  <c r="AL45" i="8"/>
  <c r="AM45" i="8"/>
  <c r="AN45" i="8"/>
  <c r="AT45" i="8"/>
  <c r="AZ45" i="8"/>
  <c r="BF45" i="8"/>
  <c r="BL45" i="8"/>
  <c r="BR45" i="8"/>
  <c r="BX45" i="8"/>
  <c r="CE45" i="8"/>
  <c r="CF45" i="8"/>
  <c r="CG45" i="8"/>
  <c r="CH45" i="8"/>
  <c r="CI45" i="8"/>
  <c r="M69" i="8"/>
  <c r="X69" i="8"/>
  <c r="AD69" i="8"/>
  <c r="AJ69" i="8"/>
  <c r="AK69" i="8"/>
  <c r="AL69" i="8"/>
  <c r="AM69" i="8"/>
  <c r="AN69" i="8"/>
  <c r="AT69" i="8"/>
  <c r="AZ69" i="8"/>
  <c r="BF69" i="8"/>
  <c r="BL69" i="8"/>
  <c r="BR69" i="8"/>
  <c r="BX69" i="8"/>
  <c r="CE69" i="8"/>
  <c r="CF69" i="8"/>
  <c r="CG69" i="8"/>
  <c r="CH69" i="8"/>
  <c r="CI69" i="8"/>
  <c r="CI11" i="8" l="1"/>
  <c r="BL13" i="8"/>
  <c r="AN9" i="8"/>
  <c r="CH7" i="8"/>
  <c r="AL9" i="8"/>
  <c r="CG7" i="8"/>
  <c r="CE11" i="8"/>
  <c r="CF13" i="8"/>
  <c r="AN13" i="8"/>
  <c r="BL9" i="8"/>
  <c r="CE7" i="8"/>
  <c r="AM7" i="8"/>
  <c r="O7" i="8"/>
  <c r="CI13" i="8"/>
  <c r="CE9" i="8"/>
  <c r="CH13" i="8"/>
  <c r="Q7" i="8"/>
  <c r="AM11" i="8"/>
  <c r="BX11" i="8"/>
  <c r="AL11" i="8"/>
  <c r="CE13" i="8"/>
  <c r="AM13" i="8"/>
  <c r="CI9" i="8"/>
  <c r="BX7" i="8"/>
  <c r="AL7" i="8"/>
  <c r="BR11" i="8"/>
  <c r="AK11" i="8"/>
  <c r="BX13" i="8"/>
  <c r="AL13" i="8"/>
  <c r="CH9" i="8"/>
  <c r="BR7" i="8"/>
  <c r="AK7" i="8"/>
  <c r="E7" i="8"/>
  <c r="BL11" i="8"/>
  <c r="BR13" i="8"/>
  <c r="AK13" i="8"/>
  <c r="CG9" i="8"/>
  <c r="BL7" i="8"/>
  <c r="CF9" i="8"/>
  <c r="CI7" i="8"/>
  <c r="CH11" i="8"/>
  <c r="AM9" i="8"/>
  <c r="CG11" i="8"/>
  <c r="BX9" i="8"/>
  <c r="CF11" i="8"/>
  <c r="AN11" i="8"/>
  <c r="CG13" i="8"/>
  <c r="BR9" i="8"/>
  <c r="AK9" i="8"/>
  <c r="CF7" i="8"/>
  <c r="AN7" i="8"/>
  <c r="P7" i="8"/>
  <c r="CF6" i="8"/>
  <c r="CR6" i="8"/>
  <c r="CT6" i="8"/>
  <c r="DJ6" i="8"/>
  <c r="CH6" i="8"/>
  <c r="CU6" i="8"/>
  <c r="CI6" i="8"/>
  <c r="CE6" i="8"/>
  <c r="CJ63" i="8"/>
  <c r="CJ40" i="8"/>
  <c r="CJ29" i="8"/>
  <c r="CJ27" i="8"/>
  <c r="CJ25" i="8"/>
  <c r="CJ23" i="8"/>
  <c r="CJ21" i="8"/>
  <c r="CJ54" i="8"/>
  <c r="CJ39" i="8"/>
  <c r="CJ53" i="8"/>
  <c r="CJ52" i="8"/>
  <c r="CJ51" i="8"/>
  <c r="CJ62" i="8"/>
  <c r="CJ61" i="8"/>
  <c r="CJ50" i="8"/>
  <c r="CJ49" i="8"/>
  <c r="CJ48" i="8"/>
  <c r="CJ47" i="8"/>
  <c r="CJ38" i="8"/>
  <c r="CJ37" i="8"/>
  <c r="CJ60" i="8"/>
  <c r="CJ36" i="8"/>
  <c r="CJ35" i="8"/>
  <c r="CJ34" i="8"/>
  <c r="CJ33" i="8"/>
  <c r="CJ31" i="8"/>
  <c r="CJ19" i="8"/>
  <c r="CJ16" i="8"/>
  <c r="CG6" i="8"/>
  <c r="CJ69" i="8"/>
  <c r="CJ45" i="8"/>
  <c r="CJ58" i="8"/>
  <c r="CJ44" i="8"/>
  <c r="CJ68" i="8"/>
  <c r="CJ43" i="8"/>
  <c r="CJ57" i="8"/>
  <c r="CJ67" i="8"/>
  <c r="CJ66" i="8"/>
  <c r="CJ42" i="8"/>
  <c r="CJ56" i="8"/>
  <c r="CJ55" i="8"/>
  <c r="CJ65" i="8"/>
  <c r="CJ41" i="8"/>
  <c r="CJ64" i="8"/>
  <c r="CJ30" i="8"/>
  <c r="CJ28" i="8"/>
  <c r="CJ26" i="8"/>
  <c r="CJ24" i="8"/>
  <c r="CJ22" i="8"/>
  <c r="CJ20" i="8"/>
  <c r="CJ18" i="8"/>
  <c r="CJ17" i="8"/>
  <c r="M7" i="8"/>
  <c r="CS6" i="8"/>
  <c r="CQ6" i="8"/>
  <c r="CJ11" i="8" l="1"/>
  <c r="CJ13" i="8"/>
  <c r="CJ7" i="8"/>
  <c r="CJ9" i="8"/>
  <c r="CJ6" i="8"/>
  <c r="CV6" i="8"/>
  <c r="EN16" i="8"/>
  <c r="EN7" i="8" s="1"/>
  <c r="EN8" i="8" l="1"/>
  <c r="EU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O20" authorId="0" shapeId="0" xr:uid="{00000000-0006-0000-0100-000001000000}">
      <text>
        <r>
          <rPr>
            <b/>
            <sz val="8"/>
            <color indexed="81"/>
            <rFont val="Tahoma"/>
            <family val="2"/>
          </rPr>
          <t>jmarks:</t>
        </r>
        <r>
          <rPr>
            <sz val="8"/>
            <color indexed="81"/>
            <rFont val="Tahoma"/>
            <family val="2"/>
          </rPr>
          <t xml:space="preserve">
extrapolated, none reported.</t>
        </r>
      </text>
    </comment>
    <comment ref="P20" authorId="0" shapeId="0" xr:uid="{00000000-0006-0000-0100-000002000000}">
      <text>
        <r>
          <rPr>
            <b/>
            <sz val="8"/>
            <color indexed="81"/>
            <rFont val="Tahoma"/>
            <family val="2"/>
          </rPr>
          <t>jmarks:</t>
        </r>
        <r>
          <rPr>
            <sz val="8"/>
            <color indexed="81"/>
            <rFont val="Tahoma"/>
            <family val="2"/>
          </rPr>
          <t xml:space="preserve">
extrapolated, none reported.</t>
        </r>
      </text>
    </comment>
    <comment ref="Q20" authorId="0" shapeId="0" xr:uid="{00000000-0006-0000-0100-000003000000}">
      <text>
        <r>
          <rPr>
            <b/>
            <sz val="8"/>
            <color indexed="81"/>
            <rFont val="Tahoma"/>
            <family val="2"/>
          </rPr>
          <t>jmarks:</t>
        </r>
        <r>
          <rPr>
            <sz val="8"/>
            <color indexed="81"/>
            <rFont val="Tahoma"/>
            <family val="2"/>
          </rPr>
          <t xml:space="preserve">
extrapolated, none reported.</t>
        </r>
      </text>
    </comment>
    <comment ref="O30" authorId="0" shapeId="0" xr:uid="{00000000-0006-0000-0100-000004000000}">
      <text>
        <r>
          <rPr>
            <b/>
            <sz val="8"/>
            <color indexed="81"/>
            <rFont val="Tahoma"/>
            <family val="2"/>
          </rPr>
          <t>jmarks:</t>
        </r>
        <r>
          <rPr>
            <sz val="8"/>
            <color indexed="81"/>
            <rFont val="Tahoma"/>
            <family val="2"/>
          </rPr>
          <t xml:space="preserve">
extrapolated, none reported.</t>
        </r>
      </text>
    </comment>
    <comment ref="P30" authorId="0" shapeId="0" xr:uid="{00000000-0006-0000-0100-000005000000}">
      <text>
        <r>
          <rPr>
            <b/>
            <sz val="8"/>
            <color indexed="81"/>
            <rFont val="Tahoma"/>
            <family val="2"/>
          </rPr>
          <t>jmarks:</t>
        </r>
        <r>
          <rPr>
            <sz val="8"/>
            <color indexed="81"/>
            <rFont val="Tahoma"/>
            <family val="2"/>
          </rPr>
          <t xml:space="preserve">
extrapolated, none reported.</t>
        </r>
      </text>
    </comment>
    <comment ref="Q30" authorId="0" shapeId="0" xr:uid="{00000000-0006-0000-0100-000006000000}">
      <text>
        <r>
          <rPr>
            <b/>
            <sz val="8"/>
            <color indexed="81"/>
            <rFont val="Tahoma"/>
            <family val="2"/>
          </rPr>
          <t>jmarks:</t>
        </r>
        <r>
          <rPr>
            <sz val="8"/>
            <color indexed="81"/>
            <rFont val="Tahoma"/>
            <family val="2"/>
          </rPr>
          <t xml:space="preserve">
extrapolated, none reported.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Susan Lounsbury</author>
  </authors>
  <commentList>
    <comment ref="AH3" authorId="0" shapeId="0" xr:uid="{00000000-0006-0000-0200-000001000000}">
      <text>
        <r>
          <rPr>
            <b/>
            <sz val="8"/>
            <color indexed="81"/>
            <rFont val="Tahoma"/>
            <family val="2"/>
          </rPr>
          <t>mperry:</t>
        </r>
        <r>
          <rPr>
            <sz val="8"/>
            <color indexed="81"/>
            <rFont val="Tahoma"/>
            <family val="2"/>
          </rPr>
          <t xml:space="preserve">
Revised w/ updated NCES data.
5/25/11</t>
        </r>
      </text>
    </comment>
    <comment ref="AR3" authorId="1" shapeId="0" xr:uid="{00000000-0006-0000-0200-000002000000}">
      <text>
        <r>
          <rPr>
            <b/>
            <sz val="9"/>
            <color indexed="81"/>
            <rFont val="Tahoma"/>
            <family val="2"/>
          </rPr>
          <t>Susan Lounsbury:</t>
        </r>
        <r>
          <rPr>
            <sz val="9"/>
            <color indexed="81"/>
            <rFont val="Tahoma"/>
            <family val="2"/>
          </rPr>
          <t xml:space="preserve">
Entered 2011 actual enrollment in April 2014.</t>
        </r>
      </text>
    </comment>
    <comment ref="AS3" authorId="1" shapeId="0" xr:uid="{00000000-0006-0000-0200-000003000000}">
      <text>
        <r>
          <rPr>
            <b/>
            <sz val="9"/>
            <color indexed="81"/>
            <rFont val="Tahoma"/>
            <family val="2"/>
          </rPr>
          <t>Susan Lounsbury:</t>
        </r>
        <r>
          <rPr>
            <sz val="9"/>
            <color indexed="81"/>
            <rFont val="Tahoma"/>
            <family val="2"/>
          </rPr>
          <t xml:space="preserve">
ELSI 2012-13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mperry</author>
    <author>JLM</author>
  </authors>
  <commentList>
    <comment ref="C3" authorId="0" shapeId="0" xr:uid="{00000000-0006-0000-0300-000001000000}">
      <text>
        <r>
          <rPr>
            <b/>
            <sz val="8"/>
            <color indexed="81"/>
            <rFont val="Tahoma"/>
            <family val="2"/>
          </rPr>
          <t>jmarks:</t>
        </r>
        <r>
          <rPr>
            <sz val="8"/>
            <color indexed="81"/>
            <rFont val="Tahoma"/>
            <family val="2"/>
          </rPr>
          <t xml:space="preserve">
spring</t>
        </r>
      </text>
    </comment>
    <comment ref="D3" authorId="1" shapeId="0" xr:uid="{00000000-0006-0000-0300-000002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E3" authorId="1" shapeId="0" xr:uid="{00000000-0006-0000-0300-000003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F3" authorId="1" shapeId="0" xr:uid="{00000000-0006-0000-0300-000004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G3" authorId="1" shapeId="0" xr:uid="{00000000-0006-0000-0300-000005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I3" authorId="1" shapeId="0" xr:uid="{00000000-0006-0000-0300-000006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J3" authorId="1" shapeId="0" xr:uid="{00000000-0006-0000-0300-000007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N3" authorId="1" shapeId="0" xr:uid="{00000000-0006-0000-0300-000008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O3" authorId="1" shapeId="0" xr:uid="{00000000-0006-0000-0300-000009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P3" authorId="1" shapeId="0" xr:uid="{00000000-0006-0000-0300-00000A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Q3" authorId="1" shapeId="0" xr:uid="{00000000-0006-0000-0300-00000B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R3" authorId="1" shapeId="0" xr:uid="{00000000-0006-0000-0300-00000C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S3" authorId="1" shapeId="0" xr:uid="{00000000-0006-0000-0300-00000D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T3" authorId="1" shapeId="0" xr:uid="{00000000-0006-0000-0300-00000E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U3" authorId="1" shapeId="0" xr:uid="{00000000-0006-0000-0300-00000F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AD3" authorId="2" shapeId="0" xr:uid="{00000000-0006-0000-0300-000010000000}">
      <text>
        <r>
          <rPr>
            <b/>
            <sz val="10"/>
            <color indexed="81"/>
            <rFont val="Tahoma"/>
            <family val="2"/>
          </rPr>
          <t>JLM:</t>
        </r>
        <r>
          <rPr>
            <sz val="10"/>
            <color indexed="81"/>
            <rFont val="Tahoma"/>
            <family val="2"/>
          </rPr>
          <t xml:space="preserve">
Now includes pre-K
</t>
        </r>
      </text>
    </comment>
    <comment ref="AF3" authorId="2" shapeId="0" xr:uid="{00000000-0006-0000-0300-000011000000}">
      <text>
        <r>
          <rPr>
            <b/>
            <sz val="10"/>
            <color indexed="81"/>
            <rFont val="Tahoma"/>
            <family val="2"/>
          </rPr>
          <t>JLM:</t>
        </r>
        <r>
          <rPr>
            <sz val="10"/>
            <color indexed="81"/>
            <rFont val="Tahoma"/>
            <family val="2"/>
          </rPr>
          <t xml:space="preserve">
Now includes pre-K
</t>
        </r>
      </text>
    </comment>
    <comment ref="AH3" authorId="2" shapeId="0" xr:uid="{00000000-0006-0000-0300-000012000000}">
      <text>
        <r>
          <rPr>
            <b/>
            <sz val="10"/>
            <color indexed="81"/>
            <rFont val="Tahoma"/>
            <family val="2"/>
          </rPr>
          <t>JLM:</t>
        </r>
        <r>
          <rPr>
            <sz val="10"/>
            <color indexed="81"/>
            <rFont val="Tahoma"/>
            <family val="2"/>
          </rPr>
          <t xml:space="preserve">
Now includes pre-K
</t>
        </r>
      </text>
    </comment>
    <comment ref="AJ3" authorId="2" shapeId="0" xr:uid="{00000000-0006-0000-0300-000013000000}">
      <text>
        <r>
          <rPr>
            <b/>
            <sz val="10"/>
            <color indexed="81"/>
            <rFont val="Tahoma"/>
            <family val="2"/>
          </rPr>
          <t>JLM:</t>
        </r>
        <r>
          <rPr>
            <sz val="10"/>
            <color indexed="81"/>
            <rFont val="Tahoma"/>
            <family val="2"/>
          </rPr>
          <t xml:space="preserve">
Now includes pre-K
</t>
        </r>
      </text>
    </comment>
    <comment ref="AL3" authorId="2" shapeId="0" xr:uid="{00000000-0006-0000-0300-000014000000}">
      <text>
        <r>
          <rPr>
            <b/>
            <sz val="10"/>
            <color indexed="81"/>
            <rFont val="Tahoma"/>
            <family val="2"/>
          </rPr>
          <t>JLM:</t>
        </r>
        <r>
          <rPr>
            <sz val="10"/>
            <color indexed="81"/>
            <rFont val="Tahoma"/>
            <family val="2"/>
          </rPr>
          <t xml:space="preserve">
Now includes pre-K
</t>
        </r>
      </text>
    </comment>
    <comment ref="AN3" authorId="2" shapeId="0" xr:uid="{00000000-0006-0000-0300-000015000000}">
      <text>
        <r>
          <rPr>
            <b/>
            <sz val="10"/>
            <color indexed="81"/>
            <rFont val="Tahoma"/>
            <family val="2"/>
          </rPr>
          <t>JLM:</t>
        </r>
        <r>
          <rPr>
            <sz val="10"/>
            <color indexed="81"/>
            <rFont val="Tahoma"/>
            <family val="2"/>
          </rPr>
          <t xml:space="preserve">
Now includes pre-K
</t>
        </r>
      </text>
    </comment>
    <comment ref="AP3" authorId="2" shapeId="0" xr:uid="{00000000-0006-0000-0300-000016000000}">
      <text>
        <r>
          <rPr>
            <b/>
            <sz val="10"/>
            <color indexed="81"/>
            <rFont val="Tahoma"/>
            <family val="2"/>
          </rPr>
          <t>JLM:</t>
        </r>
        <r>
          <rPr>
            <sz val="10"/>
            <color indexed="81"/>
            <rFont val="Tahoma"/>
            <family val="2"/>
          </rPr>
          <t xml:space="preserve">
Now includes pre-K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400-000001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E3" authorId="0" shapeId="0" xr:uid="{00000000-0006-0000-0400-000002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F3" authorId="0" shapeId="0" xr:uid="{00000000-0006-0000-0400-000003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G3" authorId="0" shapeId="0" xr:uid="{00000000-0006-0000-0400-000004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I3" authorId="0" shapeId="0" xr:uid="{00000000-0006-0000-0400-000005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J3" authorId="0" shapeId="0" xr:uid="{00000000-0006-0000-0400-000006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N3" authorId="0" shapeId="0" xr:uid="{00000000-0006-0000-0400-000007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O3" authorId="0" shapeId="0" xr:uid="{00000000-0006-0000-0400-000008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P3" authorId="0" shapeId="0" xr:uid="{00000000-0006-0000-0400-000009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Q3" authorId="0" shapeId="0" xr:uid="{00000000-0006-0000-0400-00000A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R3" authorId="0" shapeId="0" xr:uid="{00000000-0006-0000-0400-00000B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S3" authorId="0" shapeId="0" xr:uid="{00000000-0006-0000-0400-00000C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T3" authorId="0" shapeId="0" xr:uid="{00000000-0006-0000-0400-00000D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U3" authorId="0" shapeId="0" xr:uid="{00000000-0006-0000-0400-00000E000000}">
      <text>
        <r>
          <rPr>
            <b/>
            <sz val="8"/>
            <color indexed="81"/>
            <rFont val="Tahoma"/>
            <family val="2"/>
          </rPr>
          <t xml:space="preserve">mperry:
</t>
        </r>
        <r>
          <rPr>
            <sz val="8"/>
            <color indexed="81"/>
            <rFont val="Tahoma"/>
            <family val="2"/>
          </rPr>
          <t xml:space="preserve">Placeholder Column - Private School data not available for this year.  6/7/11
</t>
        </r>
      </text>
    </comment>
    <comment ref="AH3" authorId="0" shapeId="0" xr:uid="{00000000-0006-0000-0400-00000F000000}">
      <text>
        <r>
          <rPr>
            <b/>
            <sz val="8"/>
            <color indexed="81"/>
            <rFont val="Tahoma"/>
            <family val="2"/>
          </rPr>
          <t>mperry:</t>
        </r>
        <r>
          <rPr>
            <sz val="8"/>
            <color indexed="81"/>
            <rFont val="Tahoma"/>
            <family val="2"/>
          </rPr>
          <t xml:space="preserve">
Revised w/ updated NCES data.
5/25/11</t>
        </r>
      </text>
    </comment>
  </commentList>
</comments>
</file>

<file path=xl/sharedStrings.xml><?xml version="1.0" encoding="utf-8"?>
<sst xmlns="http://schemas.openxmlformats.org/spreadsheetml/2006/main" count="1257" uniqueCount="349">
  <si>
    <t>1971-72</t>
  </si>
  <si>
    <t>1980-81</t>
  </si>
  <si>
    <t>1981-82</t>
  </si>
  <si>
    <t>1984-85</t>
  </si>
  <si>
    <t>1970</t>
  </si>
  <si>
    <t xml:space="preserve"> 1975</t>
  </si>
  <si>
    <t>1978</t>
  </si>
  <si>
    <t>1980</t>
  </si>
  <si>
    <t>1989</t>
  </si>
  <si>
    <t>1993</t>
  </si>
  <si>
    <t>1976-77</t>
  </si>
  <si>
    <t>F 1986</t>
  </si>
  <si>
    <t>F 1989</t>
  </si>
  <si>
    <t>F 1990</t>
  </si>
  <si>
    <t>F 1991</t>
  </si>
  <si>
    <t>U.S.</t>
  </si>
  <si>
    <t>National</t>
  </si>
  <si>
    <t>Center</t>
  </si>
  <si>
    <t>Dept of</t>
  </si>
  <si>
    <t>Education</t>
  </si>
  <si>
    <t>for</t>
  </si>
  <si>
    <t>Dept</t>
  </si>
  <si>
    <t>Education,</t>
  </si>
  <si>
    <t>Statistics,</t>
  </si>
  <si>
    <t>of</t>
  </si>
  <si>
    <t>Planning</t>
  </si>
  <si>
    <t>"Digest</t>
  </si>
  <si>
    <t>and</t>
  </si>
  <si>
    <t>NCES</t>
  </si>
  <si>
    <t>Evaluation</t>
  </si>
  <si>
    <t>Digest</t>
  </si>
  <si>
    <t>Service,</t>
  </si>
  <si>
    <t>1980"</t>
  </si>
  <si>
    <t>1981"</t>
  </si>
  <si>
    <t>1996"</t>
  </si>
  <si>
    <t>1993"</t>
  </si>
  <si>
    <t>"State</t>
  </si>
  <si>
    <t>1985-86"</t>
  </si>
  <si>
    <t>(Washington,</t>
  </si>
  <si>
    <t>NCES 96-133</t>
  </si>
  <si>
    <t>1987"</t>
  </si>
  <si>
    <t>D.C.:</t>
  </si>
  <si>
    <t>1991"</t>
  </si>
  <si>
    <t>1992"</t>
  </si>
  <si>
    <t>Government</t>
  </si>
  <si>
    <t>1972</t>
  </si>
  <si>
    <t>(October</t>
  </si>
  <si>
    <t>(November</t>
  </si>
  <si>
    <t>Printing</t>
  </si>
  <si>
    <t>1991)</t>
  </si>
  <si>
    <t>1992)</t>
  </si>
  <si>
    <t>1993)</t>
  </si>
  <si>
    <t>Office,</t>
  </si>
  <si>
    <t>1982,"</t>
  </si>
  <si>
    <t>Table 44</t>
  </si>
  <si>
    <t>[SREB &amp; US</t>
  </si>
  <si>
    <t>Table 46</t>
  </si>
  <si>
    <t>Table 47</t>
  </si>
  <si>
    <t>1996)</t>
  </si>
  <si>
    <t>January</t>
  </si>
  <si>
    <t>February</t>
  </si>
  <si>
    <t>[SREB</t>
  </si>
  <si>
    <t>=</t>
  </si>
  <si>
    <t>1981,</t>
  </si>
  <si>
    <t>Week,</t>
  </si>
  <si>
    <t>median</t>
  </si>
  <si>
    <t>1986,</t>
  </si>
  <si>
    <t>May</t>
  </si>
  <si>
    <t>state]</t>
  </si>
  <si>
    <t>18,</t>
  </si>
  <si>
    <t>Table</t>
  </si>
  <si>
    <t>1987,</t>
  </si>
  <si>
    <t>Data not</t>
  </si>
  <si>
    <t>1984.</t>
  </si>
  <si>
    <t>1980,</t>
  </si>
  <si>
    <t>33, p.</t>
  </si>
  <si>
    <t>page 60</t>
  </si>
  <si>
    <t>available for</t>
  </si>
  <si>
    <t>39).</t>
  </si>
  <si>
    <t>35, p.</t>
  </si>
  <si>
    <t>US and GA.</t>
  </si>
  <si>
    <t>36, p.</t>
  </si>
  <si>
    <t>46).</t>
  </si>
  <si>
    <t>42).</t>
  </si>
  <si>
    <t>47).</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</si>
  <si>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</si>
  <si>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</si>
  <si>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</si>
  <si>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</si>
  <si>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</si>
  <si>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</si>
  <si>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</si>
  <si>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</si>
  <si>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</si>
  <si>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</si>
  <si>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</si>
  <si>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</si>
  <si>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</si>
  <si>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</si>
  <si>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</si>
  <si>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1997"</t>
  </si>
  <si>
    <t>NCES 98-015</t>
  </si>
  <si>
    <t>(December</t>
  </si>
  <si>
    <t>1997)</t>
  </si>
  <si>
    <t>Table 45</t>
  </si>
  <si>
    <t>1978-79</t>
  </si>
  <si>
    <t>Delaware</t>
  </si>
  <si>
    <t>Fall 1965</t>
  </si>
  <si>
    <t>SREB states</t>
  </si>
  <si>
    <t>--</t>
  </si>
  <si>
    <t>Sources:</t>
  </si>
  <si>
    <t>1998"</t>
  </si>
  <si>
    <t>F 1996</t>
  </si>
  <si>
    <t>NCES 9-036</t>
  </si>
  <si>
    <t>1999)</t>
  </si>
  <si>
    <t>1999",</t>
  </si>
  <si>
    <t>F 1997</t>
  </si>
  <si>
    <t>NCES 2000-031</t>
  </si>
  <si>
    <t>(March</t>
  </si>
  <si>
    <t>2000)</t>
  </si>
  <si>
    <t>page 60.</t>
  </si>
  <si>
    <t>F 1992</t>
  </si>
  <si>
    <t>1990</t>
  </si>
  <si>
    <t>F1998</t>
  </si>
  <si>
    <t>2000",</t>
  </si>
  <si>
    <t>NCES 2001-034</t>
  </si>
  <si>
    <t>(Jan</t>
  </si>
  <si>
    <t>2001)</t>
  </si>
  <si>
    <t>p. 58</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</si>
  <si>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</si>
  <si>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</si>
  <si>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</si>
  <si>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</si>
  <si>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</si>
  <si>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</si>
  <si>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</si>
  <si>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</si>
  <si>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</si>
  <si>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</si>
  <si>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</si>
  <si>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</si>
  <si>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</si>
  <si>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</si>
  <si>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</si>
  <si>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</si>
  <si>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</si>
  <si>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</si>
  <si>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</si>
  <si>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</si>
  <si>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</si>
  <si>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</si>
  <si>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</si>
  <si>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</si>
  <si>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</si>
  <si>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</si>
  <si>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</si>
  <si>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</si>
  <si>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</si>
  <si>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</si>
  <si>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</si>
  <si>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</si>
  <si>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</si>
  <si>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</si>
  <si>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2001",</t>
  </si>
  <si>
    <t>NCES 2002-130</t>
  </si>
  <si>
    <t>(Feb</t>
  </si>
  <si>
    <t>2002)</t>
  </si>
  <si>
    <t>Table 42</t>
  </si>
  <si>
    <t>F1999</t>
  </si>
  <si>
    <t xml:space="preserve"> </t>
  </si>
  <si>
    <t>Hispanic</t>
  </si>
  <si>
    <t>District of Columbia</t>
  </si>
  <si>
    <t>Fall 1986</t>
  </si>
  <si>
    <t>% minority</t>
  </si>
  <si>
    <t>Fall 2000</t>
  </si>
  <si>
    <t>White</t>
  </si>
  <si>
    <t>Black</t>
  </si>
  <si>
    <t>As/Pac. Isld.</t>
  </si>
  <si>
    <t>Native Am</t>
  </si>
  <si>
    <t>2002"</t>
  </si>
  <si>
    <t>Feb. 2002)</t>
  </si>
  <si>
    <t>Fall 2002</t>
  </si>
  <si>
    <t>Fall 2001</t>
  </si>
  <si>
    <t>#</t>
  </si>
  <si>
    <t>Off. For</t>
  </si>
  <si>
    <t>Civil Rights</t>
  </si>
  <si>
    <t>86 St Sum</t>
  </si>
  <si>
    <t>of Elem/Sec</t>
  </si>
  <si>
    <t>School Civil</t>
  </si>
  <si>
    <t>Rights Surv</t>
  </si>
  <si>
    <t>NCES, Com</t>
  </si>
  <si>
    <t>Core of Data</t>
  </si>
  <si>
    <t>survey</t>
  </si>
  <si>
    <t>(February</t>
  </si>
  <si>
    <t>2004",</t>
  </si>
  <si>
    <t>2000</t>
  </si>
  <si>
    <t>extrapolated</t>
  </si>
  <si>
    <t>Fall 1993</t>
  </si>
  <si>
    <t>2005",</t>
  </si>
  <si>
    <t>Table 38</t>
  </si>
  <si>
    <t>Fall 2003</t>
  </si>
  <si>
    <t>Fall 2004</t>
  </si>
  <si>
    <t>Fall 2005</t>
  </si>
  <si>
    <t>Fall 1995</t>
  </si>
  <si>
    <t>*</t>
  </si>
  <si>
    <t>* Less than 0.05 percent.</t>
  </si>
  <si>
    <t>Fall 1994</t>
  </si>
  <si>
    <t>-</t>
  </si>
  <si>
    <t>DC numbers: U.S.</t>
  </si>
  <si>
    <t>Fall 2006</t>
  </si>
  <si>
    <t>NCES Digest 2007, Table 40.</t>
  </si>
  <si>
    <t>Jennifer Sable and Amber Noel, Public Elementary and Secondary School Student Enrollment and Staff From the Common Core of Data: School Year 2006–07 — First Look NCES, Nov. 2008 (2009-305).</t>
  </si>
  <si>
    <t>Am Indian/ Alakan Native</t>
  </si>
  <si>
    <t>Asian/Pacific Isl</t>
  </si>
  <si>
    <t>Hisp</t>
  </si>
  <si>
    <t>Black, non-Hisp</t>
  </si>
  <si>
    <t>White, non-Hisp</t>
  </si>
  <si>
    <t>Projections of Education Statistics to 2017 (NCES 2008-078); Table 4. U.S. Department of Education. Washington, DC: National Center for EducationStatistics (2008).</t>
  </si>
  <si>
    <t>Fall 2007</t>
  </si>
  <si>
    <t>Public Prekindergarden, Elementary and Secondary School Enrollment</t>
  </si>
  <si>
    <r>
      <t xml:space="preserve"> </t>
    </r>
    <r>
      <rPr>
        <sz val="10"/>
        <color indexed="8"/>
        <rFont val="Arial"/>
        <family val="2"/>
      </rPr>
      <t>Total students reported</t>
    </r>
  </si>
  <si>
    <r>
      <t xml:space="preserve">Hoffman, L., and Sable, J. (2006). </t>
    </r>
    <r>
      <rPr>
        <i/>
        <sz val="10"/>
        <rFont val="Arial"/>
        <family val="2"/>
      </rPr>
      <t xml:space="preserve">Public Elementary and Secondary Students, Staff, Schools, and School Districts: School Year 2003–04 </t>
    </r>
    <r>
      <rPr>
        <sz val="10"/>
        <rFont val="Arial"/>
        <family val="2"/>
      </rPr>
      <t>(NCES 2006-307). U.S. Department of Education. Washington, DC: National Center for Education Statistics.</t>
    </r>
  </si>
  <si>
    <r>
      <t>Sable, J., and Hill, J. (2006</t>
    </r>
    <r>
      <rPr>
        <i/>
        <sz val="10"/>
        <rFont val="Arial"/>
        <family val="2"/>
      </rPr>
      <t xml:space="preserve">). Overview of Public Elementary and Secondary Students, Staff, Schools, School Districts, Revenues, and Expenditures: School Year 2004–05 and Fiscal Year 2004 </t>
    </r>
    <r>
      <rPr>
        <sz val="10"/>
        <rFont val="Arial"/>
        <family val="2"/>
      </rPr>
      <t>(NCES 2007-309). U.S. Department of Education. Washington, DC: National Center for Education Statistics.</t>
    </r>
  </si>
  <si>
    <t>NCES, Public Elementary and Secondary School Student Enrollment and Staff Counts From the Common Core of Data: School Year 2007-08,First Look, (NCES2010-309) Nov. '09, Table 2</t>
  </si>
  <si>
    <t>National Center for Education Statistics, "Digest of Education Statistics, 1966" (Washington, D.C.: U.S. Government Printing Office, 1966) Table 26, p. 22</t>
  </si>
  <si>
    <t>National Center for Education Statistics, "State Comparisons of Education Statistis: 1969-70 to 1996-97 (NCES 98-018) (Washington, D.C.: U.S. Government Printing Office, Nov. 1998) Table 10, pp.35-37</t>
  </si>
  <si>
    <t>National Center for Education Statistics, "Digest of Education Statistics, 1996" (NCES 96-133) (Washington, D.C.: U.S. Government Printing Office, Nov. 1996) Table 39, pp.52-53</t>
  </si>
  <si>
    <t>National Center for Education Statistics, "Digest of Education Statistics, 2000" (NCES 2001-034) (Washington, D.C.: U.S. Government Printing Office, January 2001) Table 39, pp. 50-51</t>
  </si>
  <si>
    <t>National Center for Education Statistics, "Digest of Education Statistics 2005" Table 33 (Oct. 2005)</t>
  </si>
  <si>
    <t>National Center for Education Statistics, "Projections of Education Statistics, to 2015"  (NCES 2006-084) (Washington, D.C.: U.S. Government Printing Office, Sep. 2006) Table 4, pp.43-44</t>
  </si>
  <si>
    <t>National Center for Education Statistics, "Digest of Education Statistics 2008" Table 33 (Mar. 2009)</t>
  </si>
  <si>
    <t>National Center for Education Statistics, "Digest of Education Statistics 2009" Table 34 (Mar. 2010)</t>
  </si>
  <si>
    <t>National Rank</t>
  </si>
  <si>
    <t>National Center for Education Statistics, "Digest of Education Statistics 2009" Table 62. Online: http://nces.ed.gov</t>
  </si>
  <si>
    <t>National Center for Education Statistics, "Digest of Education Statistics 2008" Table 62. Online: http://nces.ed.gov</t>
  </si>
  <si>
    <t>National Center for Education Statistics, "Digest of Education Statistics 2007" Table 59. Online: http://nces.ed.gov</t>
  </si>
  <si>
    <t xml:space="preserve">National Center for Education Statistics, "State Comparisons of Education Statistics: 1969-70 to 1996-97" NCES 98-018, (Washington, D.C.: U.S. Government Printing Office, Nov. 1998) Table 8. </t>
  </si>
  <si>
    <t xml:space="preserve">National Center for Education Statistics, "Digest of Education Statistics 2001" (Washington, D.C.: U.S. Government Printing Office (Feb. 2002)Table 63. </t>
  </si>
  <si>
    <t xml:space="preserve">National Center for Education Statistics, "Digest of Education Statistics 1989" (Washington, D.C.: U.S. Government Printing Office (Dec. 1989)Table 54. </t>
  </si>
  <si>
    <t xml:space="preserve">National Center for Education Statistics, "Digest of Education Statistics 1981" (Washington, D.C.: U.S. Government Printing Office (Feb. 1981)Table 39. </t>
  </si>
  <si>
    <t xml:space="preserve">National Center for Education Statistics, "Digest of Education Statistics 1975" (Washington, D.C.: U.S. Government Printing Office (1976)Table 40. </t>
  </si>
  <si>
    <t xml:space="preserve">National Center for Education Statistics, "Digest of Education Statistics 1979" (Washington, D.C.: U.S. Government Printing Office (Jan. 1979) Table 41. </t>
  </si>
  <si>
    <t xml:space="preserve">National Center for Education Statistics, "Digest of Education Statistics 1965" (Washington, D.C.: U.S. Government Printing Office (1965) Table 8. </t>
  </si>
  <si>
    <t>50 states and D.C.</t>
  </si>
  <si>
    <t xml:space="preserve">   as a percent of U.S.</t>
  </si>
  <si>
    <t>West</t>
  </si>
  <si>
    <t>Midwest</t>
  </si>
  <si>
    <t>Northeast</t>
  </si>
  <si>
    <t xml:space="preserve">    as a percent of U.S.</t>
  </si>
  <si>
    <t>Public PK-12 Enrollment</t>
  </si>
  <si>
    <t>Public PK-12 Enrollment by Race</t>
  </si>
  <si>
    <t>Private Enrollment (K-12 through 1996, PK-12 1997 to present)</t>
  </si>
  <si>
    <t>Actual Enrollment</t>
  </si>
  <si>
    <t>Projected Enrollment</t>
  </si>
  <si>
    <t>National Center for Education Statistics, Digest of Education Statistics, 2010 Table 36: Enrollment in Public Elementary &amp; Secondary Schools by State or Jurisdiction (11/2010).</t>
  </si>
  <si>
    <t>National Center for Education Statistics, "Digest of Education Statistics, 2010"
Table 36: Enrollment in Public Elementary &amp; Secondary Schools by State or Jurisdiction (11/2010).</t>
  </si>
  <si>
    <t>Fall 2008</t>
  </si>
  <si>
    <t>% Minority</t>
  </si>
  <si>
    <r>
      <t>Total students reported</t>
    </r>
    <r>
      <rPr>
        <vertAlign val="superscript"/>
        <sz val="10"/>
        <rFont val="Arial"/>
        <family val="2"/>
      </rPr>
      <t xml:space="preserve">2 </t>
    </r>
  </si>
  <si>
    <t xml:space="preserve">American 
Indian/
Alaska 
Native </t>
  </si>
  <si>
    <t>Asian/
Pacific
Islander</t>
  </si>
  <si>
    <t>Two or more races</t>
  </si>
  <si>
    <r>
      <t xml:space="preserve">1 </t>
    </r>
    <r>
      <rPr>
        <sz val="10"/>
        <rFont val="Arial"/>
        <family val="2"/>
      </rPr>
      <t>Black includes African American, Hispanic includes Latino, and Asian/Pacific Islander includes Native Hawaiian or Other Pacific Islander. Race categories exclude persons of Hispanic ethnicity.</t>
    </r>
  </si>
  <si>
    <r>
      <t xml:space="preserve">2 </t>
    </r>
    <r>
      <rPr>
        <sz val="10"/>
        <rFont val="Arial"/>
        <family val="2"/>
      </rPr>
      <t xml:space="preserve">Totals exclude students for whom race/ethnicity was not reported.  </t>
    </r>
  </si>
  <si>
    <t>NOTE: Detail may not sum to totals because of rounding.</t>
  </si>
  <si>
    <t>SOURCE:  U.S. Department of Education, National Center for Education Statistics, Common Core of Data (CCD), "State Nonfiscal Survey of Public Elementary/Secondary Education," 2008–09, Version 1a.</t>
  </si>
  <si>
    <t>Total</t>
  </si>
  <si>
    <r>
      <t>First Look Table 2:  Public school student membership and percentage distribution of public school student membership, by race/ethnicity</t>
    </r>
    <r>
      <rPr>
        <vertAlign val="superscript"/>
        <sz val="10"/>
        <rFont val="Arial"/>
        <family val="2"/>
      </rPr>
      <t>1</t>
    </r>
    <r>
      <rPr>
        <sz val="10"/>
        <rFont val="Arial"/>
        <family val="2"/>
      </rPr>
      <t xml:space="preserve"> and state or jurisdiction: School year 2008–09.</t>
    </r>
  </si>
  <si>
    <t>[Regions</t>
  </si>
  <si>
    <t>Actual</t>
  </si>
  <si>
    <t>Projected</t>
  </si>
  <si>
    <t>Percent Change</t>
  </si>
  <si>
    <t>18, 1984.</t>
  </si>
  <si>
    <t>National Center for Education Statistics, Stephen P. Broughman and Nancy L. Swaim. "Characteristics of Private Schools in the United States: Results from the 2009-10 Private Schools Universe Survey -- First Look" Table 15. (NCES2011-339) Online: http://nces.ed.gov</t>
  </si>
  <si>
    <t>Total PK-12 Public &amp; Private Enrollment</t>
  </si>
  <si>
    <r>
      <t>Percent Minority</t>
    </r>
    <r>
      <rPr>
        <vertAlign val="superscript"/>
        <sz val="10"/>
        <rFont val="Arial"/>
        <family val="2"/>
      </rPr>
      <t>1,2</t>
    </r>
  </si>
  <si>
    <t>Number of students</t>
  </si>
  <si>
    <t>Number of students eligible for free/reduced-price lunch</t>
  </si>
  <si>
    <t>Percent of students eligible for free/reduced-price lunch</t>
  </si>
  <si>
    <t>2000-01</t>
  </si>
  <si>
    <t>2004-05</t>
  </si>
  <si>
    <t>2005-06</t>
  </si>
  <si>
    <t>2006-07</t>
  </si>
  <si>
    <t>2007-08</t>
  </si>
  <si>
    <t>2008-09</t>
  </si>
  <si>
    <t>---</t>
  </si>
  <si>
    <t>Digest 10, Tab 44</t>
  </si>
  <si>
    <t>Digest 08, Tab 42</t>
  </si>
  <si>
    <t>Digest 09, Tab 42</t>
  </si>
  <si>
    <t xml:space="preserve">Notes: U.S. total includes imputation for nonreporting states. Table reflects counts of students enrolled in schools for which both enrollment data and free/reduced-price lunch eligibility data were reported. </t>
  </si>
  <si>
    <t>Percent Eligible For</t>
  </si>
  <si>
    <t>Fall 2009</t>
  </si>
  <si>
    <r>
      <t>First Look Table 2:  Public school student membership and percentage distribution of public school student membership, by race/ethnicity</t>
    </r>
    <r>
      <rPr>
        <vertAlign val="superscript"/>
        <sz val="10"/>
        <rFont val="Arial"/>
        <family val="2"/>
      </rPr>
      <t>1</t>
    </r>
    <r>
      <rPr>
        <sz val="10"/>
        <rFont val="Arial"/>
        <family val="2"/>
      </rPr>
      <t xml:space="preserve"> and state or jurisdiction: School year 2009–10.</t>
    </r>
  </si>
  <si>
    <t>2009-10</t>
  </si>
  <si>
    <t>Digest 10 (2011)</t>
  </si>
  <si>
    <t>National Center for Education Statistics, "Digest of Education Statistics, 2012"
Table 36: Enrollment in Public Elementary &amp; Secondary Schools by State or Jurisdiction (2012).</t>
  </si>
  <si>
    <t>National Center for Education Statistics, "Projections of Education Statistics to 2021"
Table 6 (2013).</t>
  </si>
  <si>
    <t>SOURCE:  U.S. Department of Education, National Center for Education Statistics, Common Core of Data (CCD), "State Nonfiscal Survey of Public Elementary/Secondary Education," 2009–10, Version 1a.</t>
  </si>
  <si>
    <t>SOURCE:  U.S. Department of Education, National Center for Education Statistics, Common Core of Data (CCD), "State Nonfiscal Survey of Public Elementary/Secondary Education," 2010–11, Version 1a.</t>
  </si>
  <si>
    <t>2010-11</t>
  </si>
  <si>
    <r>
      <rPr>
        <vertAlign val="superscript"/>
        <sz val="10"/>
        <rFont val="Arial"/>
        <family val="2"/>
      </rPr>
      <t xml:space="preserve">1 </t>
    </r>
    <r>
      <rPr>
        <sz val="10"/>
        <rFont val="Arial"/>
        <family val="2"/>
      </rPr>
      <t>Minority indicates non-white students; calculated based on a total that excludes students whose race is unknown.</t>
    </r>
  </si>
  <si>
    <r>
      <rPr>
        <vertAlign val="superscript"/>
        <sz val="10"/>
        <rFont val="Arial"/>
        <family val="2"/>
      </rPr>
      <t xml:space="preserve">2 </t>
    </r>
    <r>
      <rPr>
        <sz val="10"/>
        <rFont val="Arial"/>
        <family val="2"/>
      </rPr>
      <t xml:space="preserve">The regional percent minority figures are the median state in each region. </t>
    </r>
  </si>
  <si>
    <t>Table 8</t>
  </si>
  <si>
    <t>Number and percentage of public school students eligible for free or reduced-price lunch*</t>
  </si>
  <si>
    <t>* eligibility for free meals requires family income of 130% of the Federal Poverty Guideline (set annually and varies by family size) and eligibility for reduced lunch prices requires family income above 130% of the Federal Poverty Guideline (varies by family size)up to 185% of the Federal Poverty guideline.</t>
  </si>
  <si>
    <r>
      <t>Free or Reduced-Price Lunches</t>
    </r>
    <r>
      <rPr>
        <vertAlign val="superscript"/>
        <sz val="10"/>
        <rFont val="Arial"/>
        <family val="2"/>
      </rPr>
      <t>3</t>
    </r>
  </si>
  <si>
    <t>2011-12</t>
  </si>
  <si>
    <t>Digest 2012, Table 45 (2013)</t>
  </si>
  <si>
    <t>Digest 2013, Advance Release Table 204.10 (2014)</t>
  </si>
  <si>
    <t>National Center for Education Statistics, "Advance Release Digest of Education Statistics, 2013"
Table 203:20: Enrollment in Public Elementary &amp; Secondary Schools by State or Jurisdiction (2014).</t>
  </si>
  <si>
    <t>National Center for Education Statistics, "Digest of Education Statistics 2013" Table 205.80. Online: Advance release of 2013 tables at http://nces.ed.gov/programs/digest/2013menu_tables.asp.</t>
  </si>
  <si>
    <t>doesn't match total of 5,488,490 in Digest of Education Statistics, but can't find number in column that differs</t>
  </si>
  <si>
    <t>National Center for Education Statistics, "Digest of Education Statistics 2011" Table 67. Online: http://nces.ed.gov; Table 74 in 2012 Digest.</t>
  </si>
  <si>
    <t>Total 10 more than what NCES reported in 2009</t>
  </si>
  <si>
    <t xml:space="preserve">SOURCE: U.S. Department of Education, National Center for Education Statistics, Common Core of Data (CCD), "Public Elementary/Secondary School Universe Survey," 2000-01, 2005-06, 2010-11, and 2011-12. (This table was prepared September 2013.)  </t>
  </si>
  <si>
    <t>2001-02</t>
  </si>
  <si>
    <t>2002-03</t>
  </si>
  <si>
    <t>2003-04</t>
  </si>
  <si>
    <t>—</t>
  </si>
  <si>
    <t>Note: 2001-02, 2002-03, 2003-04 data reported in Common Core of Data Table 1, "Percent of students eligible for free or reduced-price lunch by state and eligibility status:  School years 1999-2000 through 2009-10" did not include numbers, only percentages.</t>
  </si>
  <si>
    <t>Pacific Islander</t>
  </si>
  <si>
    <t>Asian</t>
  </si>
  <si>
    <t>American Indian/Alaska Native</t>
  </si>
  <si>
    <t xml:space="preserve">1990-91 through 2002-03, and Projections of Education Statistics to 2014.  (This table was prepared April 2005.)  </t>
  </si>
  <si>
    <t>Source for 2001-02 and 2002-03 enrollment:  U.S. Department of Education, National Center for Education Statistics, The NCES Common Core of Data (CCD), "State Nonfiscal Survey of Public Elementary/Secondary Education,"</t>
  </si>
  <si>
    <t>2012-13</t>
  </si>
  <si>
    <t>‡</t>
  </si>
  <si>
    <t>Data Source: U.S. Department of Education, National Center for Education Statistics, Common Core of Data (CCD), "Public Elementary/Secondary School Universe Survey", 2010-11 v.2a,  2011-12 v.1a,  2012-13 v.1a; "State Nonfiscal Public Elementary/Secondary Education Survey", 2010-11 v.1a,  2011-12 v.1a,  2012-13 v.1a.</t>
  </si>
  <si>
    <r>
      <rPr>
        <vertAlign val="superscript"/>
        <sz val="10"/>
        <rFont val="Arial"/>
        <family val="2"/>
      </rPr>
      <t xml:space="preserve">3 </t>
    </r>
    <r>
      <rPr>
        <sz val="10"/>
        <rFont val="Arial"/>
        <family val="2"/>
      </rPr>
      <t>Eligibility for free meals requires family income of 130 percent of the Federal Poverty Guideline (set annually and varies by family size) and eligibility for reduced lunch prices requires family income above 130 percent and up to 185 percent of the Federal Poverty Guideline.</t>
    </r>
  </si>
  <si>
    <t>NCES reported numbers in red</t>
  </si>
  <si>
    <t>National Center for Education Statistics, "Advance Release Digest of Education Statistics, 2013"
Table 203:20: Enrollment in Public Elementary &amp; Secondary Schools by State or Jurisdiction (August 2015).</t>
  </si>
  <si>
    <t>National Center for Education Statistics, "Advance Release Digest of Education Statistics, 2013" Table 203:20 ; Source: US ED, NCES Common Core of Data (CCD), "State Nonfiscal Survey of Public Elementary/Secondary Education," 1990-91 through 2012-13; and State Elementary and Secondary Enrollment Projection Model, 1980-2024
Table 203:20: Enrollment in Public Elementary &amp; Secondary Schools by State or Jurisdiction (August 2015).</t>
  </si>
  <si>
    <t>US ED, NCES, Common Core of Data, "Public/Elementary/Secondary Education Survey", 2012-13 v.1a, 2013-14 v. 1a. ELSI export from http://nces.ed.gov/ccd/elsi/.</t>
  </si>
  <si>
    <t>2013-14</t>
  </si>
  <si>
    <t>Data Source: U.S. Department of Education, National Center for Education Statistics, Common Core of Data (CCD), "Public Elementary/Secondary School Universe Survey", 2013-14 v.1a; "State Nonfiscal Public Elementary/Secondary Education Survey", 2011-12 v.1a,  2012-13 v.1a,  2013-14 v.1a.</t>
  </si>
  <si>
    <t>`</t>
  </si>
  <si>
    <t>ELSI report generated 12/17/15. See http://nces.ed.gov/ccd/elsi/</t>
  </si>
  <si>
    <t>Data Source: U.S. Department of Education, National Center for Education Statistics, Common Core of Data (CCD), "State Nonfiscal Public Elementary/Secondary Education Survey Directory Data", 2014-15 v.1a; "State Nonfiscal Public Elementary/Secondary Education Survey Membership Data", 2014-15 v.1a.</t>
  </si>
  <si>
    <t>† indicates that the data are not applicable.</t>
  </si>
  <si>
    <t>– indicates that the data are missing.</t>
  </si>
  <si>
    <t>‡ indicates that the data do not meet NCES data quality standards.</t>
  </si>
  <si>
    <t>2014-15</t>
  </si>
  <si>
    <t>Fall 2014</t>
  </si>
  <si>
    <t>2004 to</t>
  </si>
  <si>
    <t>2014 to</t>
  </si>
  <si>
    <t>Data Source: U.S. Department of Education, National Center for Education Statistics, Common Core of Data (CCD), "Public Elementary/Secondary School Universe Survey Free Lunch Data", 2014-15 v.1a; "State Nonfiscal Public Elementary/Secondary Education Survey Directory Data", 2014-15 v.1a.</t>
  </si>
  <si>
    <t>U.S. Department of Education, National Center for Education Statistics, Common Core of Data (CCD), "State Nonfiscal Public Elementary/Secondary Education Survey Directory Data", 2014-15 v.1a; "State Nonfiscal Public Elementary/Secondary Education Survey Membership Data", 2014-15 v.1a.</t>
  </si>
  <si>
    <t xml:space="preserve">National Center for Education Statistics: Digest of Education Statistics 2014 (2016); Projections of Education Statistics to 2024 (2016); and Common Core of Data (CCD), State Nonfiscal Survey of Public Elementary/Secondary Education Survey, 2014-15 (2017).
</t>
  </si>
  <si>
    <t>Nov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</si>
</sst>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_)"/>
    <numFmt numFmtId="165" formatCode="0.0_)"/>
    <numFmt numFmtId="166" formatCode="#,##0.0_);\(#,##0.0\)"/>
    <numFmt numFmtId="167" formatCode="0.0%"/>
    <numFmt numFmtId="168" formatCode="0.0"/>
    <numFmt numFmtId="169" formatCode="#,##0.0"/>
    <numFmt numFmtId="170" formatCode="0_);\(0\)"/>
    <numFmt numFmtId="171" formatCode="0.00_)"/>
  </numFmts>
  <fonts count="40">
    <font>
      <sz val="10"/>
      <name val="Helv"/>
    </font>
    <font>
      <sz val="12"/>
      <name val="AGaramond"/>
      <family val="3"/>
    </font>
    <font>
      <sz val="10"/>
      <name val="Arial"/>
      <family val="2"/>
    </font>
    <font>
      <b/>
      <sz val="10"/>
      <name val="Arial"/>
      <family val="2"/>
    </font>
    <font>
      <sz val="10"/>
      <color indexed="20"/>
      <name val="ARIAL"/>
      <family val="2"/>
    </font>
    <font>
      <sz val="10"/>
      <color indexed="12"/>
      <name val="Arial"/>
      <family val="2"/>
    </font>
    <font>
      <vertAlign val="superscript"/>
      <sz val="10"/>
      <name val="Arial"/>
      <family val="2"/>
    </font>
    <font>
      <sz val="10"/>
      <name val="Helv"/>
    </font>
    <font>
      <sz val="8"/>
      <color indexed="81"/>
      <name val="Tahoma"/>
      <family val="2"/>
    </font>
    <font>
      <b/>
      <sz val="8"/>
      <color indexed="81"/>
      <name val="Tahoma"/>
      <family val="2"/>
    </font>
    <font>
      <sz val="8"/>
      <name val="Helv"/>
    </font>
    <font>
      <u/>
      <sz val="10"/>
      <color indexed="12"/>
      <name val="Helv"/>
    </font>
    <font>
      <sz val="10"/>
      <name val="Courier"/>
      <family val="3"/>
    </font>
    <font>
      <i/>
      <sz val="10"/>
      <name val="Arial"/>
      <family val="2"/>
    </font>
    <font>
      <sz val="10"/>
      <name val="Arial"/>
      <family val="2"/>
    </font>
    <font>
      <sz val="8"/>
      <name val="Arial"/>
      <family val="2"/>
    </font>
    <font>
      <sz val="10"/>
      <color indexed="81"/>
      <name val="Tahoma"/>
      <family val="2"/>
    </font>
    <font>
      <b/>
      <sz val="10"/>
      <color indexed="81"/>
      <name val="Tahoma"/>
      <family val="2"/>
    </font>
    <font>
      <b/>
      <sz val="8"/>
      <name val="Arial"/>
      <family val="2"/>
    </font>
    <font>
      <sz val="10"/>
      <color indexed="8"/>
      <name val="Arial"/>
      <family val="2"/>
    </font>
    <font>
      <sz val="9"/>
      <color indexed="56"/>
      <name val="Helv"/>
    </font>
    <font>
      <sz val="10"/>
      <color indexed="12"/>
      <name val="Arial"/>
      <family val="2"/>
    </font>
    <font>
      <sz val="10"/>
      <color rgb="FF0000FF"/>
      <name val="Arial"/>
      <family val="2"/>
    </font>
    <font>
      <sz val="10"/>
      <name val="AGaramond"/>
      <family val="3"/>
    </font>
    <font>
      <b/>
      <sz val="10"/>
      <color indexed="12"/>
      <name val="Arial"/>
      <family val="2"/>
    </font>
    <font>
      <sz val="10"/>
      <color rgb="FFFF0000"/>
      <name val="Arial"/>
      <family val="2"/>
    </font>
    <font>
      <b/>
      <sz val="10"/>
      <color rgb="FFFF0000"/>
      <name val="Arial"/>
      <family val="2"/>
    </font>
    <font>
      <vertAlign val="superscript"/>
      <sz val="10"/>
      <color rgb="FFFF0000"/>
      <name val="Arial"/>
      <family val="2"/>
    </font>
    <font>
      <sz val="11"/>
      <color theme="1"/>
      <name val="Calibri"/>
      <family val="2"/>
      <scheme val="minor"/>
    </font>
    <font>
      <sz val="11"/>
      <color rgb="FF9C0006"/>
      <name val="Calibri"/>
      <family val="2"/>
      <scheme val="minor"/>
    </font>
    <font>
      <sz val="11"/>
      <color rgb="FF0000FF"/>
      <name val="Calibri"/>
      <family val="2"/>
      <scheme val="minor"/>
    </font>
    <font>
      <sz val="10"/>
      <name val="Courier New"/>
      <family val="3"/>
    </font>
    <font>
      <sz val="9"/>
      <color indexed="81"/>
      <name val="Tahoma"/>
      <family val="2"/>
    </font>
    <font>
      <b/>
      <sz val="9"/>
      <color indexed="81"/>
      <name val="Tahoma"/>
      <family val="2"/>
    </font>
    <font>
      <sz val="10"/>
      <color theme="1"/>
      <name val="Arial"/>
      <family val="2"/>
    </font>
    <font>
      <sz val="10"/>
      <color rgb="FF0000CC"/>
      <name val="Arial"/>
      <family val="2"/>
    </font>
    <font>
      <sz val="11"/>
      <name val="Calibri"/>
      <family val="2"/>
    </font>
    <font>
      <sz val="10"/>
      <color rgb="FF0070C0"/>
      <name val="Arial"/>
      <family val="2"/>
    </font>
    <font>
      <sz val="10"/>
      <color rgb="FF0000FF"/>
      <name val="Calibri"/>
      <family val="2"/>
    </font>
    <font>
      <sz val="10"/>
      <color rgb="FF0070C0"/>
      <name val="Calibri"/>
      <family val="2"/>
    </font>
  </fonts>
  <fills count="11">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7CE"/>
      </patternFill>
    </fill>
    <fill>
      <patternFill patternType="solid">
        <fgColor rgb="FF92D050"/>
        <bgColor indexed="64"/>
      </patternFill>
    </fill>
  </fills>
  <borders count="28">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right style="thin">
        <color indexed="64"/>
      </right>
      <top/>
      <bottom style="thin">
        <color indexed="8"/>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rgb="FFFF0000"/>
      </left>
      <right/>
      <top style="thin">
        <color indexed="64"/>
      </top>
      <bottom style="thin">
        <color indexed="64"/>
      </bottom>
      <diagonal/>
    </border>
    <border>
      <left style="thin">
        <color rgb="FFFF0000"/>
      </left>
      <right/>
      <top/>
      <bottom/>
      <diagonal/>
    </border>
    <border>
      <left style="thin">
        <color rgb="FFFF0000"/>
      </left>
      <right/>
      <top/>
      <bottom style="thin">
        <color indexed="64"/>
      </bottom>
      <diagonal/>
    </border>
    <border>
      <left style="thin">
        <color indexed="64"/>
      </left>
      <right/>
      <top/>
      <bottom style="thin">
        <color rgb="FFFF0000"/>
      </bottom>
      <diagonal/>
    </border>
    <border>
      <left style="thin">
        <color indexed="64"/>
      </left>
      <right/>
      <top style="medium">
        <color indexed="64"/>
      </top>
      <bottom style="thin">
        <color indexed="64"/>
      </bottom>
      <diagonal/>
    </border>
    <border>
      <left/>
      <right/>
      <top style="medium">
        <color auto="1"/>
      </top>
      <bottom/>
      <diagonal/>
    </border>
  </borders>
  <cellStyleXfs count="13">
    <xf numFmtId="37" fontId="0" fillId="0" borderId="0"/>
    <xf numFmtId="0" fontId="11" fillId="0" borderId="0" applyNumberFormat="0" applyFill="0" applyBorder="0" applyAlignment="0" applyProtection="0">
      <alignment vertical="top"/>
      <protection locked="0"/>
    </xf>
    <xf numFmtId="39" fontId="12" fillId="0" borderId="0"/>
    <xf numFmtId="9" fontId="1" fillId="0" borderId="0" applyFont="0" applyFill="0" applyBorder="0" applyAlignment="0" applyProtection="0"/>
    <xf numFmtId="0" fontId="14" fillId="0" borderId="0">
      <alignment horizontal="left" wrapText="1"/>
    </xf>
    <xf numFmtId="0" fontId="2" fillId="0" borderId="0"/>
    <xf numFmtId="0" fontId="7" fillId="0" borderId="0">
      <alignment horizontal="left" wrapText="1"/>
    </xf>
    <xf numFmtId="43" fontId="23" fillId="0" borderId="0" applyFont="0" applyFill="0" applyBorder="0" applyAlignment="0" applyProtection="0"/>
    <xf numFmtId="43" fontId="7" fillId="0" borderId="0" applyFont="0" applyFill="0" applyBorder="0" applyAlignment="0" applyProtection="0"/>
    <xf numFmtId="0" fontId="12" fillId="0" borderId="0"/>
    <xf numFmtId="39" fontId="12" fillId="0" borderId="0"/>
    <xf numFmtId="0" fontId="28" fillId="0" borderId="0"/>
    <xf numFmtId="0" fontId="29" fillId="9" borderId="0" applyNumberFormat="0" applyBorder="0" applyAlignment="0" applyProtection="0"/>
  </cellStyleXfs>
  <cellXfs count="524">
    <xf numFmtId="37" fontId="0" fillId="0" borderId="0" xfId="0"/>
    <xf numFmtId="37" fontId="2" fillId="0" borderId="0" xfId="0" applyFont="1"/>
    <xf numFmtId="0" fontId="2" fillId="0" borderId="0" xfId="0" applyNumberFormat="1" applyFont="1"/>
    <xf numFmtId="37" fontId="2" fillId="0" borderId="0" xfId="0" applyFont="1" applyProtection="1"/>
    <xf numFmtId="37" fontId="2" fillId="0" borderId="0" xfId="0" applyFont="1" applyBorder="1" applyProtection="1"/>
    <xf numFmtId="37" fontId="3" fillId="0" borderId="0" xfId="0" applyFont="1" applyProtection="1"/>
    <xf numFmtId="3" fontId="2" fillId="0" borderId="0" xfId="0" applyNumberFormat="1" applyFont="1"/>
    <xf numFmtId="37" fontId="2" fillId="0" borderId="0" xfId="0" applyFont="1" applyAlignment="1" applyProtection="1">
      <alignment horizontal="fill"/>
    </xf>
    <xf numFmtId="37" fontId="2" fillId="0" borderId="0" xfId="0" applyFont="1" applyAlignment="1">
      <alignment horizontal="right"/>
    </xf>
    <xf numFmtId="37" fontId="2" fillId="0" borderId="0" xfId="0" applyFont="1" applyAlignment="1" applyProtection="1">
      <alignment horizontal="right"/>
    </xf>
    <xf numFmtId="37" fontId="2" fillId="0" borderId="1" xfId="0" applyFont="1" applyBorder="1" applyProtection="1"/>
    <xf numFmtId="37" fontId="2" fillId="0" borderId="0" xfId="0" applyFont="1" applyBorder="1"/>
    <xf numFmtId="3" fontId="2" fillId="0" borderId="1" xfId="0" applyNumberFormat="1" applyFont="1" applyBorder="1"/>
    <xf numFmtId="3" fontId="2" fillId="0" borderId="0" xfId="0" applyNumberFormat="1" applyFont="1" applyBorder="1"/>
    <xf numFmtId="37" fontId="2" fillId="0" borderId="1" xfId="0" applyFont="1" applyBorder="1"/>
    <xf numFmtId="37" fontId="2" fillId="0" borderId="0" xfId="0" applyFont="1" applyAlignment="1" applyProtection="1">
      <alignment horizontal="left"/>
    </xf>
    <xf numFmtId="37" fontId="2" fillId="0" borderId="0" xfId="0" applyFont="1" applyAlignment="1">
      <alignment horizontal="left"/>
    </xf>
    <xf numFmtId="37" fontId="2" fillId="0" borderId="0" xfId="0" applyFont="1" applyBorder="1" applyAlignment="1" applyProtection="1">
      <alignment horizontal="left"/>
    </xf>
    <xf numFmtId="37" fontId="4" fillId="0" borderId="0" xfId="0" applyFont="1" applyBorder="1" applyProtection="1"/>
    <xf numFmtId="37" fontId="5" fillId="0" borderId="0" xfId="0" applyFont="1" applyProtection="1"/>
    <xf numFmtId="37" fontId="2" fillId="0" borderId="0" xfId="0" applyFont="1" applyFill="1" applyProtection="1"/>
    <xf numFmtId="37" fontId="2" fillId="0" borderId="0" xfId="0" quotePrefix="1" applyFont="1" applyBorder="1" applyAlignment="1" applyProtection="1">
      <alignment horizontal="left"/>
    </xf>
    <xf numFmtId="37" fontId="2" fillId="0" borderId="0" xfId="0" applyFont="1" applyFill="1" applyBorder="1" applyAlignment="1"/>
    <xf numFmtId="3" fontId="2" fillId="0" borderId="0" xfId="0" applyNumberFormat="1" applyFont="1" applyFill="1" applyAlignment="1">
      <alignment horizontal="right"/>
    </xf>
    <xf numFmtId="3" fontId="2" fillId="0" borderId="0"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0" xfId="0" applyNumberFormat="1" applyFont="1" applyBorder="1" applyAlignment="1">
      <alignment horizontal="right"/>
    </xf>
    <xf numFmtId="37" fontId="2" fillId="0" borderId="0" xfId="0" applyFont="1" applyBorder="1" applyAlignment="1" applyProtection="1">
      <alignment horizontal="fill"/>
    </xf>
    <xf numFmtId="3" fontId="2" fillId="0" borderId="0" xfId="0" applyNumberFormat="1" applyFont="1" applyProtection="1"/>
    <xf numFmtId="3" fontId="2" fillId="0" borderId="0" xfId="0" applyNumberFormat="1" applyFont="1" applyBorder="1" applyAlignment="1" applyProtection="1">
      <alignment horizontal="right"/>
    </xf>
    <xf numFmtId="3" fontId="2" fillId="0" borderId="1" xfId="0" applyNumberFormat="1" applyFont="1" applyBorder="1" applyProtection="1"/>
    <xf numFmtId="3" fontId="2" fillId="0" borderId="1" xfId="0" applyNumberFormat="1" applyFont="1" applyBorder="1" applyAlignment="1" applyProtection="1">
      <alignment horizontal="right"/>
    </xf>
    <xf numFmtId="3" fontId="2" fillId="0" borderId="0" xfId="0" applyNumberFormat="1" applyFont="1" applyAlignment="1">
      <alignment horizontal="right"/>
    </xf>
    <xf numFmtId="3" fontId="2" fillId="0" borderId="0" xfId="0" applyNumberFormat="1" applyFont="1" applyAlignment="1" applyProtection="1">
      <alignment horizontal="right"/>
    </xf>
    <xf numFmtId="3" fontId="2" fillId="0" borderId="0" xfId="0" applyNumberFormat="1" applyFont="1" applyFill="1" applyAlignment="1" applyProtection="1">
      <alignment horizontal="right"/>
    </xf>
    <xf numFmtId="3" fontId="2" fillId="0" borderId="1" xfId="0" applyNumberFormat="1" applyFont="1" applyFill="1" applyBorder="1" applyAlignment="1" applyProtection="1">
      <alignment horizontal="right"/>
    </xf>
    <xf numFmtId="3" fontId="4" fillId="0" borderId="0" xfId="0" applyNumberFormat="1" applyFont="1" applyBorder="1" applyAlignment="1" applyProtection="1">
      <alignment horizontal="right"/>
    </xf>
    <xf numFmtId="3" fontId="2" fillId="0" borderId="0" xfId="0" quotePrefix="1" applyNumberFormat="1" applyFont="1" applyBorder="1" applyAlignment="1" applyProtection="1">
      <alignment horizontal="right"/>
    </xf>
    <xf numFmtId="3" fontId="2" fillId="0" borderId="2" xfId="0" applyNumberFormat="1" applyFont="1" applyBorder="1"/>
    <xf numFmtId="37" fontId="2" fillId="0" borderId="0" xfId="0" applyFont="1" applyFill="1" applyBorder="1" applyAlignment="1">
      <alignment horizontal="left"/>
    </xf>
    <xf numFmtId="37" fontId="2" fillId="0" borderId="0" xfId="0" applyFont="1" applyFill="1" applyBorder="1" applyAlignment="1" applyProtection="1">
      <alignment horizontal="left"/>
    </xf>
    <xf numFmtId="37" fontId="2" fillId="0" borderId="0" xfId="0" applyFont="1" applyFill="1" applyBorder="1" applyProtection="1"/>
    <xf numFmtId="37" fontId="2" fillId="0" borderId="0" xfId="0" applyFont="1" applyBorder="1" applyAlignment="1" applyProtection="1">
      <alignment horizontal="centerContinuous"/>
    </xf>
    <xf numFmtId="165" fontId="2" fillId="0" borderId="0" xfId="2" applyNumberFormat="1" applyFont="1" applyProtection="1"/>
    <xf numFmtId="165" fontId="2" fillId="0" borderId="1" xfId="2" applyNumberFormat="1" applyFont="1" applyBorder="1" applyProtection="1"/>
    <xf numFmtId="165" fontId="2" fillId="0" borderId="0" xfId="2" applyNumberFormat="1" applyFont="1" applyFill="1" applyProtection="1"/>
    <xf numFmtId="165" fontId="2" fillId="0" borderId="1" xfId="2" applyNumberFormat="1" applyFont="1" applyFill="1" applyBorder="1" applyProtection="1"/>
    <xf numFmtId="37" fontId="2" fillId="0" borderId="0" xfId="0" applyFont="1" applyFill="1" applyAlignment="1" applyProtection="1">
      <alignment horizontal="left"/>
    </xf>
    <xf numFmtId="171" fontId="2" fillId="0" borderId="0" xfId="2" applyNumberFormat="1" applyFont="1" applyAlignment="1" applyProtection="1">
      <alignment horizontal="right"/>
    </xf>
    <xf numFmtId="37" fontId="2" fillId="0" borderId="6" xfId="0" applyFont="1" applyBorder="1"/>
    <xf numFmtId="3" fontId="2" fillId="0" borderId="1" xfId="0" applyNumberFormat="1" applyFont="1" applyBorder="1" applyAlignment="1">
      <alignment horizontal="right"/>
    </xf>
    <xf numFmtId="37" fontId="2" fillId="0" borderId="2" xfId="0" applyFont="1" applyFill="1" applyBorder="1" applyProtection="1"/>
    <xf numFmtId="165" fontId="2" fillId="0" borderId="2" xfId="2" applyNumberFormat="1" applyFont="1" applyFill="1" applyBorder="1" applyProtection="1"/>
    <xf numFmtId="165" fontId="2" fillId="0" borderId="3" xfId="2" applyNumberFormat="1" applyFont="1" applyFill="1" applyBorder="1" applyProtection="1"/>
    <xf numFmtId="37" fontId="2" fillId="0" borderId="2" xfId="0" applyFont="1" applyBorder="1" applyAlignment="1" applyProtection="1">
      <alignment horizontal="left"/>
    </xf>
    <xf numFmtId="37" fontId="2" fillId="0" borderId="6" xfId="0" applyFont="1" applyFill="1" applyBorder="1" applyAlignment="1" applyProtection="1">
      <alignment horizontal="centerContinuous"/>
    </xf>
    <xf numFmtId="37" fontId="2" fillId="0" borderId="0" xfId="0" applyFont="1" applyAlignment="1" applyProtection="1"/>
    <xf numFmtId="37" fontId="2" fillId="0" borderId="0" xfId="0" applyFont="1" applyBorder="1" applyAlignment="1" applyProtection="1"/>
    <xf numFmtId="37" fontId="2" fillId="0" borderId="0" xfId="0" applyFont="1" applyFill="1" applyAlignment="1">
      <alignment horizontal="left"/>
    </xf>
    <xf numFmtId="37" fontId="2" fillId="0" borderId="1" xfId="0" applyFont="1" applyFill="1" applyBorder="1"/>
    <xf numFmtId="37" fontId="2" fillId="0" borderId="0" xfId="0" applyFont="1" applyFill="1"/>
    <xf numFmtId="37" fontId="2" fillId="0" borderId="4" xfId="0" applyFont="1" applyFill="1" applyBorder="1" applyProtection="1"/>
    <xf numFmtId="166" fontId="2" fillId="0" borderId="0" xfId="0" applyNumberFormat="1" applyFont="1" applyFill="1" applyBorder="1" applyAlignment="1"/>
    <xf numFmtId="37" fontId="2" fillId="0" borderId="1" xfId="0" applyFont="1" applyBorder="1" applyAlignment="1" applyProtection="1">
      <alignment horizontal="right"/>
    </xf>
    <xf numFmtId="0" fontId="2" fillId="0" borderId="0" xfId="0" applyNumberFormat="1" applyFont="1" applyFill="1"/>
    <xf numFmtId="166" fontId="2" fillId="0" borderId="0" xfId="0" applyNumberFormat="1" applyFont="1" applyFill="1"/>
    <xf numFmtId="37" fontId="2" fillId="0" borderId="2" xfId="0" applyFont="1" applyBorder="1"/>
    <xf numFmtId="37" fontId="2" fillId="0" borderId="0" xfId="0" applyFont="1" applyFill="1" applyAlignment="1">
      <alignment vertical="center"/>
    </xf>
    <xf numFmtId="166" fontId="2" fillId="0" borderId="0" xfId="0" applyNumberFormat="1" applyFont="1"/>
    <xf numFmtId="166" fontId="2" fillId="0" borderId="0" xfId="0" applyNumberFormat="1" applyFont="1" applyAlignment="1">
      <alignment horizontal="right"/>
    </xf>
    <xf numFmtId="37" fontId="2" fillId="0" borderId="0" xfId="0" applyFont="1" applyFill="1" applyBorder="1"/>
    <xf numFmtId="166" fontId="5" fillId="0" borderId="0" xfId="0" applyNumberFormat="1" applyFont="1" applyFill="1"/>
    <xf numFmtId="3" fontId="2" fillId="0" borderId="0" xfId="0" applyNumberFormat="1" applyFont="1" applyAlignment="1" applyProtection="1">
      <alignment horizontal="right" vertical="center"/>
    </xf>
    <xf numFmtId="3" fontId="2" fillId="0" borderId="3" xfId="0" applyNumberFormat="1" applyFont="1" applyBorder="1"/>
    <xf numFmtId="37" fontId="2" fillId="0" borderId="0" xfId="0" applyFont="1" applyAlignment="1"/>
    <xf numFmtId="37" fontId="20" fillId="0" borderId="0" xfId="0" applyFont="1" applyAlignment="1">
      <alignment vertical="top" wrapText="1"/>
    </xf>
    <xf numFmtId="37" fontId="2" fillId="0" borderId="9" xfId="0" applyFont="1" applyBorder="1"/>
    <xf numFmtId="166" fontId="2" fillId="0" borderId="2" xfId="0" applyNumberFormat="1" applyFont="1" applyBorder="1"/>
    <xf numFmtId="166" fontId="2" fillId="0" borderId="3" xfId="0" applyNumberFormat="1" applyFont="1" applyBorder="1"/>
    <xf numFmtId="166" fontId="2" fillId="0" borderId="1" xfId="0" applyNumberFormat="1" applyFont="1" applyBorder="1"/>
    <xf numFmtId="0" fontId="2" fillId="0" borderId="1" xfId="0" applyNumberFormat="1" applyFont="1" applyBorder="1"/>
    <xf numFmtId="37" fontId="2" fillId="0" borderId="3" xfId="0" applyFont="1" applyBorder="1"/>
    <xf numFmtId="37" fontId="2" fillId="0" borderId="12" xfId="0" applyFont="1" applyBorder="1"/>
    <xf numFmtId="166" fontId="21" fillId="0" borderId="2" xfId="0" applyNumberFormat="1" applyFont="1" applyBorder="1"/>
    <xf numFmtId="166" fontId="21" fillId="0" borderId="0" xfId="0" applyNumberFormat="1" applyFont="1"/>
    <xf numFmtId="166" fontId="21" fillId="0" borderId="3" xfId="0" applyNumberFormat="1" applyFont="1" applyBorder="1"/>
    <xf numFmtId="166" fontId="21" fillId="0" borderId="1" xfId="0" applyNumberFormat="1" applyFont="1" applyBorder="1"/>
    <xf numFmtId="37" fontId="2" fillId="0" borderId="12" xfId="0" applyFont="1" applyBorder="1" applyAlignment="1" applyProtection="1">
      <alignment horizontal="right"/>
    </xf>
    <xf numFmtId="37" fontId="2" fillId="0" borderId="7" xfId="0" applyFont="1" applyFill="1" applyBorder="1" applyAlignment="1" applyProtection="1">
      <alignment horizontal="centerContinuous"/>
    </xf>
    <xf numFmtId="37" fontId="2" fillId="0" borderId="0" xfId="0" applyFont="1" applyAlignment="1" applyProtection="1">
      <alignment vertical="top" wrapText="1"/>
    </xf>
    <xf numFmtId="37" fontId="2" fillId="0" borderId="0" xfId="0" applyFont="1" applyAlignment="1" applyProtection="1">
      <alignment horizontal="left" vertical="top" wrapText="1"/>
    </xf>
    <xf numFmtId="37" fontId="2" fillId="0" borderId="0" xfId="0" applyFont="1" applyBorder="1" applyAlignment="1" applyProtection="1">
      <alignment horizontal="left" vertical="top" wrapText="1"/>
    </xf>
    <xf numFmtId="37" fontId="2" fillId="0" borderId="0" xfId="0" applyFont="1" applyBorder="1" applyAlignment="1" applyProtection="1">
      <alignment vertical="top" wrapText="1"/>
    </xf>
    <xf numFmtId="37" fontId="7" fillId="0" borderId="0" xfId="1" applyNumberFormat="1" applyFont="1" applyAlignment="1" applyProtection="1">
      <alignment vertical="top" wrapText="1"/>
    </xf>
    <xf numFmtId="37" fontId="2" fillId="0" borderId="2" xfId="0" applyFont="1" applyBorder="1" applyAlignment="1" applyProtection="1">
      <alignment vertical="top" wrapText="1"/>
    </xf>
    <xf numFmtId="37" fontId="15" fillId="0" borderId="0" xfId="0" applyFont="1" applyAlignment="1">
      <alignment vertical="top" wrapText="1"/>
    </xf>
    <xf numFmtId="37" fontId="2" fillId="0" borderId="0" xfId="0" applyFont="1" applyAlignment="1">
      <alignment vertical="top" wrapText="1"/>
    </xf>
    <xf numFmtId="37" fontId="2" fillId="0" borderId="10" xfId="0" applyFont="1" applyBorder="1" applyAlignment="1" applyProtection="1">
      <alignment horizontal="centerContinuous"/>
    </xf>
    <xf numFmtId="37" fontId="2" fillId="0" borderId="13" xfId="0" applyFont="1" applyFill="1" applyBorder="1" applyAlignment="1" applyProtection="1">
      <alignment horizontal="centerContinuous" wrapText="1"/>
    </xf>
    <xf numFmtId="37" fontId="2" fillId="0" borderId="14" xfId="0" applyFont="1" applyFill="1" applyBorder="1" applyAlignment="1" applyProtection="1">
      <alignment horizontal="centerContinuous" wrapText="1"/>
    </xf>
    <xf numFmtId="37" fontId="2" fillId="0" borderId="11" xfId="0" applyFont="1" applyBorder="1" applyAlignment="1" applyProtection="1">
      <alignment horizontal="centerContinuous"/>
    </xf>
    <xf numFmtId="37" fontId="2" fillId="0" borderId="2" xfId="0" applyFont="1" applyBorder="1" applyAlignment="1" applyProtection="1">
      <alignment horizontal="centerContinuous"/>
    </xf>
    <xf numFmtId="37" fontId="2" fillId="0" borderId="5" xfId="0" applyFont="1" applyBorder="1" applyAlignment="1" applyProtection="1">
      <alignment horizontal="centerContinuous"/>
    </xf>
    <xf numFmtId="37" fontId="2" fillId="0" borderId="0" xfId="0" applyFont="1" applyFill="1" applyAlignment="1" applyProtection="1">
      <alignment vertical="top" wrapText="1"/>
    </xf>
    <xf numFmtId="37" fontId="2" fillId="0" borderId="6" xfId="6" applyNumberFormat="1" applyFont="1" applyFill="1" applyBorder="1" applyAlignment="1"/>
    <xf numFmtId="3" fontId="22" fillId="0" borderId="6" xfId="6" applyNumberFormat="1" applyFont="1" applyFill="1" applyBorder="1" applyAlignment="1"/>
    <xf numFmtId="37" fontId="2" fillId="0" borderId="0" xfId="6" applyNumberFormat="1" applyFont="1" applyBorder="1" applyAlignment="1" applyProtection="1"/>
    <xf numFmtId="3" fontId="22" fillId="0" borderId="12" xfId="7" applyNumberFormat="1" applyFont="1" applyBorder="1" applyAlignment="1"/>
    <xf numFmtId="168" fontId="2" fillId="0" borderId="0" xfId="6" applyNumberFormat="1" applyFont="1" applyFill="1" applyBorder="1" applyAlignment="1" applyProtection="1"/>
    <xf numFmtId="168" fontId="22" fillId="0" borderId="0" xfId="6" applyNumberFormat="1" applyFont="1" applyBorder="1" applyAlignment="1" applyProtection="1"/>
    <xf numFmtId="37" fontId="2" fillId="0" borderId="1" xfId="6" applyNumberFormat="1" applyFont="1" applyBorder="1" applyAlignment="1" applyProtection="1"/>
    <xf numFmtId="37" fontId="2" fillId="0" borderId="0" xfId="6" applyNumberFormat="1" applyFont="1" applyFill="1" applyBorder="1" applyAlignment="1" applyProtection="1"/>
    <xf numFmtId="3" fontId="22" fillId="0" borderId="12" xfId="7" applyNumberFormat="1" applyFont="1" applyFill="1" applyBorder="1" applyAlignment="1"/>
    <xf numFmtId="37" fontId="2" fillId="0" borderId="0" xfId="6" applyNumberFormat="1" applyFont="1" applyBorder="1" applyAlignment="1"/>
    <xf numFmtId="37" fontId="2" fillId="0" borderId="1" xfId="6" applyNumberFormat="1" applyFont="1" applyBorder="1" applyAlignment="1"/>
    <xf numFmtId="0" fontId="2" fillId="0" borderId="6" xfId="6" applyNumberFormat="1" applyFont="1" applyFill="1" applyBorder="1" applyAlignment="1"/>
    <xf numFmtId="3" fontId="22" fillId="0" borderId="7" xfId="6" applyNumberFormat="1" applyFont="1" applyFill="1" applyBorder="1" applyAlignment="1"/>
    <xf numFmtId="3" fontId="22" fillId="0" borderId="9" xfId="7" applyNumberFormat="1" applyFont="1" applyBorder="1" applyAlignment="1"/>
    <xf numFmtId="168" fontId="22" fillId="0" borderId="2" xfId="6" applyNumberFormat="1" applyFont="1" applyBorder="1" applyAlignment="1" applyProtection="1"/>
    <xf numFmtId="3" fontId="2" fillId="0" borderId="1" xfId="6" applyNumberFormat="1" applyFont="1" applyFill="1" applyBorder="1" applyAlignment="1"/>
    <xf numFmtId="3" fontId="2" fillId="0" borderId="0" xfId="6" applyNumberFormat="1" applyFont="1" applyFill="1" applyAlignment="1"/>
    <xf numFmtId="3" fontId="2" fillId="3" borderId="0" xfId="6" applyNumberFormat="1" applyFont="1" applyFill="1" applyAlignment="1"/>
    <xf numFmtId="3" fontId="2" fillId="0" borderId="0" xfId="6" applyNumberFormat="1" applyFont="1" applyAlignment="1"/>
    <xf numFmtId="3" fontId="2" fillId="0" borderId="0" xfId="6" applyNumberFormat="1" applyFont="1" applyBorder="1" applyAlignment="1"/>
    <xf numFmtId="3" fontId="2" fillId="0" borderId="1" xfId="6" applyNumberFormat="1" applyFont="1" applyBorder="1" applyAlignment="1"/>
    <xf numFmtId="3" fontId="2" fillId="3" borderId="1" xfId="6" applyNumberFormat="1" applyFont="1" applyFill="1" applyBorder="1" applyAlignment="1"/>
    <xf numFmtId="3" fontId="2" fillId="0" borderId="12" xfId="6" applyNumberFormat="1" applyFont="1" applyFill="1" applyBorder="1" applyAlignment="1"/>
    <xf numFmtId="3" fontId="2" fillId="3" borderId="6" xfId="6" applyNumberFormat="1" applyFont="1" applyFill="1" applyBorder="1" applyAlignment="1"/>
    <xf numFmtId="169" fontId="2" fillId="0" borderId="1" xfId="6" applyNumberFormat="1" applyFont="1" applyFill="1" applyBorder="1" applyAlignment="1"/>
    <xf numFmtId="169" fontId="2" fillId="0" borderId="0" xfId="6" applyNumberFormat="1" applyFont="1" applyFill="1" applyAlignment="1"/>
    <xf numFmtId="169" fontId="2" fillId="3" borderId="0" xfId="6" applyNumberFormat="1" applyFont="1" applyFill="1" applyAlignment="1"/>
    <xf numFmtId="169" fontId="2" fillId="0" borderId="0" xfId="6" applyNumberFormat="1" applyFont="1" applyAlignment="1"/>
    <xf numFmtId="169" fontId="2" fillId="0" borderId="12" xfId="6" applyNumberFormat="1" applyFont="1" applyFill="1" applyBorder="1" applyAlignment="1"/>
    <xf numFmtId="169" fontId="2" fillId="3" borderId="6" xfId="6" applyNumberFormat="1" applyFont="1" applyFill="1" applyBorder="1" applyAlignment="1"/>
    <xf numFmtId="166" fontId="2" fillId="2" borderId="5" xfId="0" applyNumberFormat="1" applyFont="1" applyFill="1" applyBorder="1"/>
    <xf numFmtId="166" fontId="2" fillId="2" borderId="10" xfId="0" applyNumberFormat="1" applyFont="1" applyFill="1" applyBorder="1"/>
    <xf numFmtId="166" fontId="2" fillId="2" borderId="11" xfId="0" applyNumberFormat="1" applyFont="1" applyFill="1" applyBorder="1"/>
    <xf numFmtId="166" fontId="2" fillId="2" borderId="12" xfId="0" applyNumberFormat="1" applyFont="1" applyFill="1" applyBorder="1" applyAlignment="1" applyProtection="1">
      <alignment horizontal="center"/>
    </xf>
    <xf numFmtId="166" fontId="2" fillId="0" borderId="0" xfId="0" applyNumberFormat="1" applyFont="1" applyFill="1" applyBorder="1"/>
    <xf numFmtId="37" fontId="3" fillId="0" borderId="6" xfId="0" applyFont="1" applyBorder="1"/>
    <xf numFmtId="37" fontId="25" fillId="0" borderId="0" xfId="0" applyFont="1" applyBorder="1" applyProtection="1"/>
    <xf numFmtId="37" fontId="3" fillId="0" borderId="2" xfId="0" applyFont="1" applyBorder="1" applyProtection="1"/>
    <xf numFmtId="37" fontId="3" fillId="0" borderId="0" xfId="0" applyFont="1"/>
    <xf numFmtId="37" fontId="3" fillId="0" borderId="0" xfId="0" applyFont="1" applyAlignment="1" applyProtection="1">
      <alignment horizontal="fill"/>
    </xf>
    <xf numFmtId="37" fontId="3" fillId="0" borderId="0" xfId="0" applyFont="1" applyAlignment="1"/>
    <xf numFmtId="37" fontId="3" fillId="0" borderId="0" xfId="0" applyFont="1" applyFill="1" applyBorder="1"/>
    <xf numFmtId="165" fontId="2" fillId="0" borderId="0" xfId="2" applyNumberFormat="1" applyFont="1" applyFill="1" applyBorder="1" applyProtection="1"/>
    <xf numFmtId="165" fontId="2" fillId="0" borderId="0" xfId="2" applyNumberFormat="1" applyFont="1" applyBorder="1" applyProtection="1"/>
    <xf numFmtId="166" fontId="2" fillId="0" borderId="0" xfId="0" applyNumberFormat="1" applyFont="1" applyBorder="1"/>
    <xf numFmtId="166" fontId="2" fillId="0" borderId="0" xfId="2" applyNumberFormat="1" applyFont="1" applyFill="1" applyBorder="1" applyProtection="1"/>
    <xf numFmtId="166" fontId="21" fillId="0" borderId="0" xfId="0" applyNumberFormat="1" applyFont="1" applyFill="1" applyBorder="1"/>
    <xf numFmtId="3" fontId="2" fillId="0" borderId="0" xfId="0" applyNumberFormat="1" applyFont="1" applyFill="1" applyBorder="1"/>
    <xf numFmtId="0" fontId="2" fillId="0" borderId="0" xfId="0" applyNumberFormat="1" applyFont="1" applyFill="1" applyBorder="1"/>
    <xf numFmtId="166" fontId="2" fillId="0" borderId="0" xfId="0" applyNumberFormat="1" applyFont="1" applyFill="1" applyBorder="1" applyAlignment="1" applyProtection="1">
      <alignment horizontal="left"/>
    </xf>
    <xf numFmtId="37" fontId="2" fillId="0" borderId="0" xfId="0" quotePrefix="1" applyFont="1" applyFill="1" applyBorder="1" applyAlignment="1" applyProtection="1">
      <alignment horizontal="left"/>
    </xf>
    <xf numFmtId="170" fontId="2" fillId="0" borderId="0" xfId="0" applyNumberFormat="1" applyFont="1" applyFill="1" applyBorder="1" applyAlignment="1" applyProtection="1">
      <alignment horizontal="left"/>
    </xf>
    <xf numFmtId="37" fontId="2" fillId="0" borderId="0" xfId="0" quotePrefix="1" applyFont="1" applyFill="1" applyBorder="1"/>
    <xf numFmtId="39" fontId="2" fillId="0" borderId="0" xfId="2" applyFont="1" applyFill="1" applyBorder="1" applyAlignment="1" applyProtection="1">
      <alignment horizontal="left"/>
    </xf>
    <xf numFmtId="3" fontId="2" fillId="0" borderId="6" xfId="7" applyNumberFormat="1" applyFont="1" applyBorder="1" applyAlignment="1"/>
    <xf numFmtId="37" fontId="2" fillId="0" borderId="0" xfId="0" applyFont="1" applyFill="1" applyBorder="1" applyAlignment="1">
      <alignment vertical="top" wrapText="1"/>
    </xf>
    <xf numFmtId="0" fontId="3" fillId="0" borderId="1" xfId="0" applyNumberFormat="1" applyFont="1" applyBorder="1" applyAlignment="1" applyProtection="1">
      <alignment horizontal="right"/>
    </xf>
    <xf numFmtId="0" fontId="3" fillId="0" borderId="1" xfId="0" applyNumberFormat="1" applyFont="1" applyBorder="1" applyProtection="1"/>
    <xf numFmtId="0" fontId="3" fillId="0" borderId="1" xfId="0" applyNumberFormat="1" applyFont="1" applyFill="1" applyBorder="1" applyProtection="1"/>
    <xf numFmtId="0" fontId="3" fillId="0" borderId="1" xfId="0" applyNumberFormat="1" applyFont="1" applyFill="1" applyBorder="1" applyAlignment="1" applyProtection="1">
      <alignment horizontal="right"/>
    </xf>
    <xf numFmtId="37" fontId="3" fillId="5" borderId="17" xfId="0" applyFont="1" applyFill="1" applyBorder="1"/>
    <xf numFmtId="37" fontId="2" fillId="5" borderId="18" xfId="0" applyFont="1" applyFill="1" applyBorder="1"/>
    <xf numFmtId="37" fontId="2" fillId="5" borderId="18" xfId="0" applyFont="1" applyFill="1" applyBorder="1" applyProtection="1"/>
    <xf numFmtId="37" fontId="2" fillId="5" borderId="18" xfId="0" applyFont="1" applyFill="1" applyBorder="1" applyAlignment="1" applyProtection="1">
      <alignment horizontal="fill"/>
    </xf>
    <xf numFmtId="37" fontId="2" fillId="5" borderId="18" xfId="0" applyFont="1" applyFill="1" applyBorder="1" applyAlignment="1">
      <alignment horizontal="right"/>
    </xf>
    <xf numFmtId="37" fontId="2" fillId="5" borderId="18" xfId="0" applyFont="1" applyFill="1" applyBorder="1" applyAlignment="1" applyProtection="1">
      <alignment horizontal="right"/>
    </xf>
    <xf numFmtId="37" fontId="2" fillId="5" borderId="18" xfId="0" applyFont="1" applyFill="1" applyBorder="1" applyAlignment="1">
      <alignment wrapText="1"/>
    </xf>
    <xf numFmtId="167" fontId="2" fillId="5" borderId="18" xfId="3" applyNumberFormat="1" applyFont="1" applyFill="1" applyBorder="1" applyAlignment="1">
      <alignment wrapText="1"/>
    </xf>
    <xf numFmtId="3" fontId="18" fillId="5" borderId="18" xfId="0" applyNumberFormat="1" applyFont="1" applyFill="1" applyBorder="1" applyAlignment="1">
      <alignment horizontal="right"/>
    </xf>
    <xf numFmtId="3" fontId="2" fillId="0" borderId="0" xfId="9" applyNumberFormat="1" applyFont="1" applyFill="1" applyBorder="1" applyAlignment="1" applyProtection="1">
      <alignment vertical="center"/>
    </xf>
    <xf numFmtId="37" fontId="2" fillId="0" borderId="0" xfId="0" applyNumberFormat="1" applyFont="1" applyBorder="1" applyAlignment="1" applyProtection="1">
      <alignment vertical="top" wrapText="1"/>
    </xf>
    <xf numFmtId="169" fontId="2" fillId="0" borderId="1" xfId="8" applyNumberFormat="1" applyFont="1" applyFill="1" applyBorder="1" applyAlignment="1"/>
    <xf numFmtId="37" fontId="3" fillId="6" borderId="17" xfId="0" applyFont="1" applyFill="1" applyBorder="1"/>
    <xf numFmtId="0" fontId="3" fillId="0" borderId="1" xfId="0" applyNumberFormat="1" applyFont="1" applyBorder="1"/>
    <xf numFmtId="37" fontId="26" fillId="0" borderId="1" xfId="0" applyFont="1" applyBorder="1" applyProtection="1"/>
    <xf numFmtId="3" fontId="2" fillId="0" borderId="10" xfId="6" applyNumberFormat="1" applyFont="1" applyFill="1" applyBorder="1" applyAlignment="1"/>
    <xf numFmtId="3" fontId="2" fillId="0" borderId="5" xfId="6" applyNumberFormat="1" applyFont="1" applyFill="1" applyBorder="1" applyAlignment="1"/>
    <xf numFmtId="3" fontId="2" fillId="3" borderId="5" xfId="6" applyNumberFormat="1" applyFont="1" applyFill="1" applyBorder="1" applyAlignment="1"/>
    <xf numFmtId="3" fontId="2" fillId="0" borderId="5" xfId="6" applyNumberFormat="1" applyFont="1" applyBorder="1" applyAlignment="1"/>
    <xf numFmtId="3" fontId="2" fillId="3" borderId="10" xfId="6" applyNumberFormat="1" applyFont="1" applyFill="1" applyBorder="1" applyAlignment="1"/>
    <xf numFmtId="3" fontId="2" fillId="0" borderId="11" xfId="6" applyNumberFormat="1" applyFont="1" applyFill="1" applyBorder="1" applyAlignment="1"/>
    <xf numFmtId="3" fontId="2" fillId="3" borderId="16" xfId="6" applyNumberFormat="1" applyFont="1" applyFill="1" applyBorder="1" applyAlignment="1"/>
    <xf numFmtId="169" fontId="2" fillId="0" borderId="5" xfId="6" applyNumberFormat="1" applyFont="1" applyFill="1" applyBorder="1" applyAlignment="1"/>
    <xf numFmtId="169" fontId="2" fillId="0" borderId="5" xfId="6" applyNumberFormat="1" applyFont="1" applyBorder="1" applyAlignment="1"/>
    <xf numFmtId="0" fontId="2" fillId="0" borderId="0" xfId="0" applyNumberFormat="1" applyFont="1" applyBorder="1"/>
    <xf numFmtId="166" fontId="22" fillId="0" borderId="2" xfId="0" applyNumberFormat="1" applyFont="1" applyBorder="1"/>
    <xf numFmtId="166" fontId="22" fillId="0" borderId="0" xfId="0" applyNumberFormat="1" applyFont="1"/>
    <xf numFmtId="166" fontId="22" fillId="4" borderId="0" xfId="0" applyNumberFormat="1" applyFont="1" applyFill="1" applyBorder="1"/>
    <xf numFmtId="166" fontId="22" fillId="0" borderId="3" xfId="0" applyNumberFormat="1" applyFont="1" applyBorder="1"/>
    <xf numFmtId="166" fontId="22" fillId="0" borderId="1" xfId="0" applyNumberFormat="1" applyFont="1" applyBorder="1"/>
    <xf numFmtId="166" fontId="22" fillId="4" borderId="1" xfId="0" applyNumberFormat="1" applyFont="1" applyFill="1" applyBorder="1"/>
    <xf numFmtId="166" fontId="22" fillId="0" borderId="0" xfId="0" applyNumberFormat="1" applyFont="1" applyBorder="1"/>
    <xf numFmtId="166" fontId="22" fillId="0" borderId="0" xfId="0" applyNumberFormat="1" applyFont="1" applyFill="1" applyBorder="1"/>
    <xf numFmtId="168" fontId="3" fillId="0" borderId="0" xfId="0" applyNumberFormat="1" applyFont="1" applyBorder="1" applyAlignment="1" applyProtection="1">
      <alignment horizontal="left" vertical="top"/>
    </xf>
    <xf numFmtId="3" fontId="22" fillId="0" borderId="0" xfId="7" applyNumberFormat="1" applyFont="1" applyBorder="1" applyAlignment="1"/>
    <xf numFmtId="166" fontId="22" fillId="4" borderId="5" xfId="0" applyNumberFormat="1" applyFont="1" applyFill="1" applyBorder="1"/>
    <xf numFmtId="166" fontId="22" fillId="4" borderId="12" xfId="0" applyNumberFormat="1" applyFont="1" applyFill="1" applyBorder="1"/>
    <xf numFmtId="166" fontId="22" fillId="4" borderId="10" xfId="0" applyNumberFormat="1" applyFont="1" applyFill="1" applyBorder="1"/>
    <xf numFmtId="0" fontId="2" fillId="0" borderId="1" xfId="6" applyNumberFormat="1" applyFont="1" applyFill="1" applyBorder="1" applyAlignment="1"/>
    <xf numFmtId="169" fontId="2" fillId="0" borderId="3" xfId="0" applyNumberFormat="1" applyFont="1" applyBorder="1" applyProtection="1"/>
    <xf numFmtId="169" fontId="2" fillId="0" borderId="1" xfId="0" applyNumberFormat="1" applyFont="1" applyBorder="1" applyProtection="1"/>
    <xf numFmtId="37" fontId="21" fillId="0" borderId="1" xfId="0" applyFont="1" applyBorder="1"/>
    <xf numFmtId="169" fontId="2" fillId="0" borderId="3" xfId="8" applyNumberFormat="1" applyFont="1" applyFill="1" applyBorder="1" applyAlignment="1"/>
    <xf numFmtId="169" fontId="2" fillId="0" borderId="2" xfId="6" applyNumberFormat="1" applyFont="1" applyFill="1" applyBorder="1" applyAlignment="1"/>
    <xf numFmtId="169" fontId="2" fillId="3" borderId="2" xfId="6" applyNumberFormat="1" applyFont="1" applyFill="1" applyBorder="1" applyAlignment="1"/>
    <xf numFmtId="169" fontId="2" fillId="0" borderId="2" xfId="6" applyNumberFormat="1" applyFont="1" applyBorder="1" applyAlignment="1"/>
    <xf numFmtId="169" fontId="2" fillId="3" borderId="3" xfId="6" applyNumberFormat="1" applyFont="1" applyFill="1" applyBorder="1" applyAlignment="1"/>
    <xf numFmtId="169" fontId="2" fillId="0" borderId="9" xfId="6" applyNumberFormat="1" applyFont="1" applyFill="1" applyBorder="1" applyAlignment="1"/>
    <xf numFmtId="169" fontId="2" fillId="0" borderId="3" xfId="6" applyNumberFormat="1" applyFont="1" applyFill="1" applyBorder="1" applyAlignment="1"/>
    <xf numFmtId="169" fontId="2" fillId="3" borderId="7" xfId="6" applyNumberFormat="1" applyFont="1" applyFill="1" applyBorder="1" applyAlignment="1"/>
    <xf numFmtId="3" fontId="2" fillId="0" borderId="19" xfId="6" applyNumberFormat="1" applyFont="1" applyFill="1" applyBorder="1" applyAlignment="1"/>
    <xf numFmtId="3" fontId="2" fillId="0" borderId="2" xfId="6" applyNumberFormat="1" applyFont="1" applyFill="1" applyBorder="1" applyAlignment="1"/>
    <xf numFmtId="3" fontId="2" fillId="3" borderId="2" xfId="6" applyNumberFormat="1" applyFont="1" applyFill="1" applyBorder="1" applyAlignment="1"/>
    <xf numFmtId="3" fontId="2" fillId="0" borderId="2" xfId="6" applyNumberFormat="1" applyFont="1" applyBorder="1" applyAlignment="1"/>
    <xf numFmtId="3" fontId="2" fillId="3" borderId="3" xfId="6" applyNumberFormat="1" applyFont="1" applyFill="1" applyBorder="1" applyAlignment="1"/>
    <xf numFmtId="3" fontId="2" fillId="0" borderId="3" xfId="6" applyNumberFormat="1" applyFont="1" applyFill="1" applyBorder="1" applyAlignment="1"/>
    <xf numFmtId="3" fontId="2" fillId="3" borderId="7" xfId="6" applyNumberFormat="1" applyFont="1" applyFill="1" applyBorder="1" applyAlignment="1"/>
    <xf numFmtId="169" fontId="2" fillId="0" borderId="19" xfId="6" applyNumberFormat="1" applyFont="1" applyFill="1" applyBorder="1" applyAlignment="1"/>
    <xf numFmtId="37" fontId="26" fillId="0" borderId="0" xfId="0" applyFont="1" applyFill="1" applyBorder="1"/>
    <xf numFmtId="37" fontId="2" fillId="0" borderId="2" xfId="0" applyFont="1" applyBorder="1" applyAlignment="1">
      <alignment horizontal="center"/>
    </xf>
    <xf numFmtId="37" fontId="2" fillId="0" borderId="12" xfId="0" applyFont="1" applyBorder="1" applyAlignment="1" applyProtection="1">
      <alignment horizontal="centerContinuous"/>
    </xf>
    <xf numFmtId="3" fontId="2" fillId="0" borderId="9" xfId="6" applyNumberFormat="1" applyFont="1" applyFill="1" applyBorder="1" applyAlignment="1"/>
    <xf numFmtId="37" fontId="2" fillId="0" borderId="3" xfId="0" applyFont="1" applyBorder="1" applyAlignment="1" applyProtection="1">
      <alignment horizontal="centerContinuous"/>
    </xf>
    <xf numFmtId="37" fontId="2" fillId="0" borderId="1" xfId="0" applyFont="1" applyBorder="1" applyAlignment="1" applyProtection="1">
      <alignment horizontal="centerContinuous"/>
    </xf>
    <xf numFmtId="0" fontId="2" fillId="0" borderId="1" xfId="0" applyNumberFormat="1" applyFont="1" applyBorder="1" applyAlignment="1" applyProtection="1">
      <alignment horizontal="centerContinuous"/>
    </xf>
    <xf numFmtId="0" fontId="2" fillId="0" borderId="12" xfId="0" applyNumberFormat="1" applyFont="1" applyBorder="1" applyAlignment="1" applyProtection="1">
      <alignment horizontal="centerContinuous"/>
    </xf>
    <xf numFmtId="37" fontId="2" fillId="0" borderId="20" xfId="0" applyFont="1" applyBorder="1" applyAlignment="1" applyProtection="1">
      <alignment horizontal="centerContinuous"/>
    </xf>
    <xf numFmtId="37" fontId="2" fillId="0" borderId="0" xfId="0" applyFont="1" applyBorder="1" applyAlignment="1">
      <alignment horizontal="centerContinuous"/>
    </xf>
    <xf numFmtId="37" fontId="2" fillId="0" borderId="3" xfId="0" applyFont="1" applyFill="1" applyBorder="1" applyAlignment="1" applyProtection="1">
      <alignment horizontal="centerContinuous"/>
    </xf>
    <xf numFmtId="37" fontId="2" fillId="0" borderId="6" xfId="0" applyFont="1" applyBorder="1" applyAlignment="1" applyProtection="1">
      <alignment horizontal="centerContinuous"/>
    </xf>
    <xf numFmtId="37" fontId="2" fillId="0" borderId="16" xfId="0" applyFont="1" applyBorder="1" applyAlignment="1" applyProtection="1">
      <alignment horizontal="centerContinuous"/>
    </xf>
    <xf numFmtId="37" fontId="2" fillId="0" borderId="16" xfId="0" applyFont="1" applyFill="1" applyBorder="1" applyAlignment="1">
      <alignment horizontal="centerContinuous"/>
    </xf>
    <xf numFmtId="37" fontId="2" fillId="0" borderId="0" xfId="0" applyFont="1" applyBorder="1" applyAlignment="1" applyProtection="1">
      <alignment vertical="top"/>
    </xf>
    <xf numFmtId="37" fontId="2" fillId="0" borderId="0" xfId="0" applyFont="1" applyAlignment="1" applyProtection="1">
      <alignment vertical="top"/>
    </xf>
    <xf numFmtId="37" fontId="2" fillId="0" borderId="0" xfId="0" applyFont="1" applyAlignment="1">
      <alignment vertical="top"/>
    </xf>
    <xf numFmtId="37" fontId="2" fillId="0" borderId="9" xfId="0" applyFont="1" applyBorder="1" applyAlignment="1"/>
    <xf numFmtId="37" fontId="2" fillId="0" borderId="21" xfId="0" applyFont="1" applyBorder="1" applyAlignment="1" applyProtection="1">
      <alignment horizontal="centerContinuous"/>
    </xf>
    <xf numFmtId="37" fontId="27" fillId="0" borderId="0" xfId="0" applyFont="1" applyBorder="1" applyAlignment="1" applyProtection="1">
      <alignment vertical="top" wrapText="1"/>
    </xf>
    <xf numFmtId="37" fontId="2" fillId="0" borderId="0" xfId="0" applyFont="1" applyFill="1" applyBorder="1" applyAlignment="1">
      <alignment horizontal="left" wrapText="1"/>
    </xf>
    <xf numFmtId="164" fontId="2" fillId="4" borderId="1" xfId="0" applyNumberFormat="1" applyFont="1" applyFill="1" applyBorder="1" applyProtection="1"/>
    <xf numFmtId="164" fontId="2" fillId="4" borderId="0" xfId="0" applyNumberFormat="1" applyFont="1" applyFill="1" applyProtection="1"/>
    <xf numFmtId="165" fontId="2" fillId="4" borderId="0" xfId="0" applyNumberFormat="1" applyFont="1" applyFill="1" applyProtection="1"/>
    <xf numFmtId="37" fontId="2" fillId="4" borderId="1" xfId="0" applyFont="1" applyFill="1" applyBorder="1" applyProtection="1"/>
    <xf numFmtId="166" fontId="2" fillId="4" borderId="0" xfId="0" applyNumberFormat="1" applyFont="1" applyFill="1" applyAlignment="1" applyProtection="1">
      <alignment horizontal="right"/>
    </xf>
    <xf numFmtId="166" fontId="2" fillId="4" borderId="3" xfId="0" applyNumberFormat="1" applyFont="1" applyFill="1" applyBorder="1" applyProtection="1"/>
    <xf numFmtId="166" fontId="2" fillId="4" borderId="1" xfId="0" quotePrefix="1" applyNumberFormat="1" applyFont="1" applyFill="1" applyBorder="1" applyAlignment="1" applyProtection="1">
      <alignment horizontal="right"/>
    </xf>
    <xf numFmtId="166" fontId="2" fillId="4" borderId="1" xfId="0" applyNumberFormat="1" applyFont="1" applyFill="1" applyBorder="1" applyAlignment="1" applyProtection="1">
      <alignment horizontal="right"/>
    </xf>
    <xf numFmtId="166" fontId="2" fillId="4" borderId="2" xfId="0" applyNumberFormat="1" applyFont="1" applyFill="1" applyBorder="1" applyProtection="1"/>
    <xf numFmtId="166" fontId="2" fillId="4" borderId="0" xfId="0" applyNumberFormat="1" applyFont="1" applyFill="1" applyProtection="1"/>
    <xf numFmtId="166" fontId="5" fillId="4" borderId="0" xfId="0" quotePrefix="1" applyNumberFormat="1" applyFont="1" applyFill="1" applyAlignment="1" applyProtection="1">
      <alignment horizontal="right"/>
    </xf>
    <xf numFmtId="166" fontId="2" fillId="4" borderId="1" xfId="0" applyNumberFormat="1" applyFont="1" applyFill="1" applyBorder="1" applyProtection="1"/>
    <xf numFmtId="37" fontId="2" fillId="4" borderId="12" xfId="0" applyFont="1" applyFill="1" applyBorder="1"/>
    <xf numFmtId="37" fontId="2" fillId="4" borderId="1" xfId="0" applyFont="1" applyFill="1" applyBorder="1"/>
    <xf numFmtId="37" fontId="2" fillId="4" borderId="0" xfId="0" applyFont="1" applyFill="1" applyProtection="1"/>
    <xf numFmtId="37" fontId="2" fillId="4" borderId="0" xfId="0" applyFont="1" applyFill="1"/>
    <xf numFmtId="37" fontId="2" fillId="4" borderId="0" xfId="0" applyFont="1" applyFill="1" applyBorder="1"/>
    <xf numFmtId="37" fontId="2" fillId="4" borderId="0" xfId="0" applyFont="1" applyFill="1" applyAlignment="1">
      <alignment horizontal="right"/>
    </xf>
    <xf numFmtId="166" fontId="22" fillId="2" borderId="5" xfId="0" applyNumberFormat="1" applyFont="1" applyFill="1" applyBorder="1"/>
    <xf numFmtId="166" fontId="22" fillId="2" borderId="10" xfId="0" applyNumberFormat="1" applyFont="1" applyFill="1" applyBorder="1"/>
    <xf numFmtId="166" fontId="22" fillId="2" borderId="1" xfId="2" applyNumberFormat="1" applyFont="1" applyFill="1" applyBorder="1" applyProtection="1"/>
    <xf numFmtId="166" fontId="22" fillId="2" borderId="0" xfId="2" applyNumberFormat="1" applyFont="1" applyFill="1" applyProtection="1"/>
    <xf numFmtId="166" fontId="22" fillId="2" borderId="0" xfId="2" applyNumberFormat="1" applyFont="1" applyFill="1" applyBorder="1" applyProtection="1"/>
    <xf numFmtId="3" fontId="22" fillId="0" borderId="0" xfId="0" applyNumberFormat="1" applyFont="1"/>
    <xf numFmtId="3" fontId="22" fillId="0" borderId="2" xfId="0" applyNumberFormat="1" applyFont="1" applyBorder="1"/>
    <xf numFmtId="166" fontId="22" fillId="0" borderId="9" xfId="0" applyNumberFormat="1" applyFont="1" applyFill="1" applyBorder="1"/>
    <xf numFmtId="166" fontId="22" fillId="0" borderId="12" xfId="0" applyNumberFormat="1" applyFont="1" applyFill="1" applyBorder="1"/>
    <xf numFmtId="168" fontId="22" fillId="0" borderId="0" xfId="6" applyNumberFormat="1" applyFont="1" applyFill="1" applyBorder="1" applyAlignment="1" applyProtection="1"/>
    <xf numFmtId="168" fontId="22" fillId="4" borderId="2" xfId="0" applyNumberFormat="1" applyFont="1" applyFill="1" applyBorder="1" applyProtection="1"/>
    <xf numFmtId="168" fontId="22" fillId="4" borderId="0" xfId="0" applyNumberFormat="1" applyFont="1" applyFill="1" applyProtection="1"/>
    <xf numFmtId="168" fontId="22" fillId="0" borderId="2" xfId="2" applyNumberFormat="1" applyFont="1" applyFill="1" applyBorder="1" applyAlignment="1" applyProtection="1">
      <alignment horizontal="fill"/>
    </xf>
    <xf numFmtId="168" fontId="22" fillId="0" borderId="0" xfId="2" applyNumberFormat="1" applyFont="1" applyFill="1" applyAlignment="1" applyProtection="1">
      <alignment horizontal="fill"/>
    </xf>
    <xf numFmtId="168" fontId="22" fillId="0" borderId="0" xfId="0" applyNumberFormat="1" applyFont="1" applyFill="1" applyProtection="1"/>
    <xf numFmtId="168" fontId="22" fillId="0" borderId="0" xfId="2" applyNumberFormat="1" applyFont="1" applyAlignment="1" applyProtection="1">
      <alignment horizontal="fill"/>
    </xf>
    <xf numFmtId="168" fontId="22" fillId="2" borderId="0" xfId="2" applyNumberFormat="1" applyFont="1" applyFill="1" applyProtection="1"/>
    <xf numFmtId="168" fontId="22" fillId="2" borderId="5" xfId="0" applyNumberFormat="1" applyFont="1" applyFill="1" applyBorder="1"/>
    <xf numFmtId="168" fontId="22" fillId="0" borderId="2" xfId="0" applyNumberFormat="1" applyFont="1" applyBorder="1"/>
    <xf numFmtId="168" fontId="22" fillId="0" borderId="0" xfId="0" applyNumberFormat="1" applyFont="1"/>
    <xf numFmtId="168" fontId="22" fillId="4" borderId="5" xfId="0" applyNumberFormat="1" applyFont="1" applyFill="1" applyBorder="1"/>
    <xf numFmtId="168" fontId="22" fillId="0" borderId="0" xfId="0" applyNumberFormat="1" applyFont="1" applyBorder="1"/>
    <xf numFmtId="168" fontId="22" fillId="4" borderId="0" xfId="0" applyNumberFormat="1" applyFont="1" applyFill="1" applyBorder="1"/>
    <xf numFmtId="166" fontId="22" fillId="0" borderId="0" xfId="0" applyNumberFormat="1" applyFont="1" applyFill="1"/>
    <xf numFmtId="37" fontId="2" fillId="0" borderId="0" xfId="0" applyFont="1" applyFill="1" applyBorder="1" applyAlignment="1">
      <alignment vertical="top"/>
    </xf>
    <xf numFmtId="37" fontId="2" fillId="0" borderId="0" xfId="0" applyFont="1" applyBorder="1" applyAlignment="1">
      <alignment vertical="top"/>
    </xf>
    <xf numFmtId="37" fontId="2" fillId="0" borderId="0" xfId="0" applyFont="1" applyBorder="1" applyAlignment="1">
      <alignment horizontal="right" vertical="top"/>
    </xf>
    <xf numFmtId="37" fontId="2" fillId="0" borderId="10" xfId="0" applyFont="1" applyFill="1" applyBorder="1" applyAlignment="1">
      <alignment horizontal="centerContinuous"/>
    </xf>
    <xf numFmtId="0" fontId="2" fillId="0" borderId="0" xfId="0" applyNumberFormat="1" applyFont="1" applyBorder="1" applyAlignment="1" applyProtection="1">
      <alignment horizontal="centerContinuous"/>
    </xf>
    <xf numFmtId="37" fontId="2" fillId="0" borderId="0" xfId="0" applyNumberFormat="1" applyFont="1" applyFill="1" applyBorder="1" applyAlignment="1" applyProtection="1">
      <alignment horizontal="left"/>
    </xf>
    <xf numFmtId="37" fontId="2" fillId="0" borderId="0" xfId="0" applyFont="1" applyFill="1" applyAlignment="1"/>
    <xf numFmtId="3" fontId="2" fillId="0" borderId="0" xfId="0" applyNumberFormat="1" applyFont="1" applyFill="1" applyBorder="1" applyProtection="1"/>
    <xf numFmtId="3" fontId="5" fillId="0" borderId="0" xfId="0" applyNumberFormat="1" applyFont="1" applyFill="1" applyBorder="1" applyProtection="1"/>
    <xf numFmtId="3" fontId="2" fillId="0" borderId="2" xfId="0" applyNumberFormat="1" applyFont="1" applyFill="1" applyBorder="1" applyProtection="1"/>
    <xf numFmtId="3" fontId="2" fillId="0" borderId="0" xfId="0" applyNumberFormat="1" applyFont="1" applyFill="1" applyProtection="1"/>
    <xf numFmtId="3" fontId="5" fillId="0" borderId="0" xfId="0" applyNumberFormat="1" applyFont="1" applyFill="1" applyProtection="1"/>
    <xf numFmtId="3" fontId="2" fillId="0" borderId="0" xfId="0" applyNumberFormat="1" applyFont="1" applyFill="1" applyBorder="1" applyAlignment="1" applyProtection="1">
      <alignment horizontal="right"/>
    </xf>
    <xf numFmtId="37" fontId="2" fillId="0" borderId="1" xfId="6" applyNumberFormat="1" applyFont="1" applyFill="1" applyBorder="1" applyAlignment="1" applyProtection="1"/>
    <xf numFmtId="3" fontId="2" fillId="0" borderId="3" xfId="0" applyNumberFormat="1" applyFont="1" applyFill="1" applyBorder="1" applyProtection="1"/>
    <xf numFmtId="3" fontId="2" fillId="0" borderId="1" xfId="0" applyNumberFormat="1" applyFont="1" applyFill="1" applyBorder="1" applyProtection="1"/>
    <xf numFmtId="3" fontId="5" fillId="0" borderId="1" xfId="0" applyNumberFormat="1" applyFont="1" applyFill="1" applyBorder="1" applyProtection="1"/>
    <xf numFmtId="37" fontId="2" fillId="0" borderId="1" xfId="0" applyFont="1" applyFill="1" applyBorder="1" applyAlignment="1"/>
    <xf numFmtId="3" fontId="2" fillId="0" borderId="2" xfId="0" applyNumberFormat="1" applyFont="1" applyFill="1" applyBorder="1"/>
    <xf numFmtId="3" fontId="2" fillId="0" borderId="0" xfId="0" applyNumberFormat="1" applyFont="1" applyFill="1" applyAlignment="1" applyProtection="1">
      <alignment horizontal="left"/>
    </xf>
    <xf numFmtId="37" fontId="2" fillId="0" borderId="0" xfId="6" applyNumberFormat="1" applyFont="1" applyFill="1" applyBorder="1" applyAlignment="1"/>
    <xf numFmtId="3" fontId="2" fillId="0" borderId="2" xfId="0" applyNumberFormat="1" applyFont="1" applyFill="1" applyBorder="1" applyAlignment="1" applyProtection="1">
      <alignment horizontal="right"/>
    </xf>
    <xf numFmtId="37" fontId="2" fillId="0" borderId="1" xfId="6" applyNumberFormat="1" applyFont="1" applyFill="1" applyBorder="1" applyAlignment="1"/>
    <xf numFmtId="3" fontId="2" fillId="0" borderId="2" xfId="0" applyNumberFormat="1" applyFont="1" applyFill="1" applyBorder="1" applyAlignment="1">
      <alignment horizontal="right"/>
    </xf>
    <xf numFmtId="37" fontId="2" fillId="0" borderId="0" xfId="0" quotePrefix="1" applyFont="1" applyFill="1"/>
    <xf numFmtId="3" fontId="2" fillId="0" borderId="6" xfId="0" applyNumberFormat="1" applyFont="1" applyFill="1" applyBorder="1"/>
    <xf numFmtId="3" fontId="2" fillId="0" borderId="6" xfId="0" applyNumberFormat="1" applyFont="1" applyFill="1" applyBorder="1" applyAlignment="1">
      <alignment horizontal="right"/>
    </xf>
    <xf numFmtId="3" fontId="2" fillId="0" borderId="6" xfId="0" applyNumberFormat="1" applyFont="1" applyFill="1" applyBorder="1" applyProtection="1"/>
    <xf numFmtId="3" fontId="5" fillId="0" borderId="6" xfId="0" applyNumberFormat="1" applyFont="1" applyFill="1" applyBorder="1" applyProtection="1"/>
    <xf numFmtId="37" fontId="2" fillId="0" borderId="6" xfId="0" applyFont="1" applyFill="1" applyBorder="1" applyAlignment="1"/>
    <xf numFmtId="0" fontId="3" fillId="0" borderId="7" xfId="0" applyNumberFormat="1" applyFont="1" applyBorder="1" applyAlignment="1" applyProtection="1">
      <alignment horizontal="right"/>
    </xf>
    <xf numFmtId="37" fontId="3" fillId="0" borderId="6" xfId="0" applyFont="1" applyBorder="1" applyAlignment="1" applyProtection="1">
      <alignment horizontal="right"/>
    </xf>
    <xf numFmtId="0" fontId="24" fillId="0" borderId="6" xfId="0" applyNumberFormat="1" applyFont="1" applyBorder="1" applyAlignment="1" applyProtection="1">
      <alignment horizontal="right"/>
    </xf>
    <xf numFmtId="0" fontId="3" fillId="0" borderId="6" xfId="0" applyNumberFormat="1" applyFont="1" applyBorder="1" applyAlignment="1" applyProtection="1">
      <alignment horizontal="right"/>
    </xf>
    <xf numFmtId="0" fontId="24" fillId="0" borderId="6" xfId="0" quotePrefix="1" applyNumberFormat="1" applyFont="1" applyBorder="1" applyAlignment="1" applyProtection="1">
      <alignment horizontal="right"/>
    </xf>
    <xf numFmtId="0" fontId="3" fillId="0" borderId="6" xfId="0" applyNumberFormat="1" applyFont="1" applyFill="1" applyBorder="1" applyAlignment="1" applyProtection="1">
      <alignment horizontal="right"/>
    </xf>
    <xf numFmtId="0" fontId="24" fillId="0" borderId="6" xfId="0" quotePrefix="1" applyNumberFormat="1" applyFont="1" applyFill="1" applyBorder="1" applyAlignment="1" applyProtection="1">
      <alignment horizontal="right"/>
    </xf>
    <xf numFmtId="0" fontId="3" fillId="0" borderId="6" xfId="0" applyNumberFormat="1" applyFont="1" applyBorder="1" applyAlignment="1" applyProtection="1"/>
    <xf numFmtId="37" fontId="3" fillId="0" borderId="1" xfId="0" applyFont="1" applyBorder="1"/>
    <xf numFmtId="37" fontId="2" fillId="0" borderId="0" xfId="0" applyFont="1" applyFill="1" applyBorder="1" applyAlignment="1">
      <alignment horizontal="right"/>
    </xf>
    <xf numFmtId="37" fontId="2" fillId="0" borderId="0" xfId="0" applyFont="1" applyFill="1" applyBorder="1" applyAlignment="1" applyProtection="1">
      <alignment horizontal="right"/>
    </xf>
    <xf numFmtId="3" fontId="18" fillId="0" borderId="0" xfId="0" applyNumberFormat="1" applyFont="1" applyFill="1" applyBorder="1" applyAlignment="1">
      <alignment horizontal="right"/>
    </xf>
    <xf numFmtId="3" fontId="2" fillId="0" borderId="0" xfId="0" applyNumberFormat="1" applyFont="1" applyFill="1" applyAlignment="1" applyProtection="1">
      <alignment horizontal="center"/>
    </xf>
    <xf numFmtId="3" fontId="22" fillId="0" borderId="6" xfId="6" applyNumberFormat="1" applyFont="1" applyFill="1" applyBorder="1" applyAlignment="1">
      <alignment horizontal="center"/>
    </xf>
    <xf numFmtId="3" fontId="22" fillId="0" borderId="12" xfId="7" applyNumberFormat="1" applyFont="1" applyFill="1" applyBorder="1" applyAlignment="1">
      <alignment horizontal="center"/>
    </xf>
    <xf numFmtId="168" fontId="22" fillId="0" borderId="0" xfId="6" applyNumberFormat="1" applyFont="1" applyFill="1" applyBorder="1" applyAlignment="1" applyProtection="1">
      <alignment horizontal="center"/>
    </xf>
    <xf numFmtId="3" fontId="2" fillId="0" borderId="1" xfId="0" applyNumberFormat="1" applyFont="1" applyFill="1" applyBorder="1" applyAlignment="1" applyProtection="1">
      <alignment horizontal="center"/>
    </xf>
    <xf numFmtId="3" fontId="2" fillId="0" borderId="0" xfId="0" applyNumberFormat="1" applyFont="1" applyFill="1" applyAlignment="1">
      <alignment horizontal="center"/>
    </xf>
    <xf numFmtId="3" fontId="2" fillId="0" borderId="0" xfId="0" applyNumberFormat="1" applyFont="1" applyFill="1" applyBorder="1" applyAlignment="1">
      <alignment horizontal="center"/>
    </xf>
    <xf numFmtId="3" fontId="2" fillId="0" borderId="6" xfId="0" applyNumberFormat="1" applyFont="1" applyFill="1" applyBorder="1" applyAlignment="1">
      <alignment horizontal="center"/>
    </xf>
    <xf numFmtId="37" fontId="3" fillId="0" borderId="0" xfId="0" applyFont="1" applyFill="1" applyBorder="1" applyAlignment="1">
      <alignment horizontal="right"/>
    </xf>
    <xf numFmtId="37" fontId="2" fillId="0" borderId="0" xfId="0" applyFont="1" applyFill="1" applyBorder="1" applyAlignment="1">
      <alignment horizontal="right" wrapText="1"/>
    </xf>
    <xf numFmtId="167" fontId="2" fillId="0" borderId="0" xfId="3" applyNumberFormat="1" applyFont="1" applyFill="1" applyBorder="1" applyAlignment="1">
      <alignment horizontal="right" wrapText="1"/>
    </xf>
    <xf numFmtId="37" fontId="3" fillId="0" borderId="1" xfId="0" applyFont="1" applyBorder="1" applyAlignment="1" applyProtection="1">
      <alignment horizontal="right"/>
    </xf>
    <xf numFmtId="3" fontId="22" fillId="7" borderId="6" xfId="6" applyNumberFormat="1" applyFont="1" applyFill="1" applyBorder="1" applyAlignment="1">
      <alignment horizontal="right"/>
    </xf>
    <xf numFmtId="3" fontId="22" fillId="7" borderId="12" xfId="7" applyNumberFormat="1" applyFont="1" applyFill="1" applyBorder="1" applyAlignment="1">
      <alignment horizontal="right"/>
    </xf>
    <xf numFmtId="168" fontId="22" fillId="7" borderId="0" xfId="6" applyNumberFormat="1" applyFont="1" applyFill="1" applyBorder="1" applyAlignment="1" applyProtection="1">
      <alignment horizontal="right"/>
    </xf>
    <xf numFmtId="37" fontId="2" fillId="7" borderId="0" xfId="0" applyFont="1" applyFill="1" applyAlignment="1">
      <alignment horizontal="right"/>
    </xf>
    <xf numFmtId="37" fontId="2" fillId="7" borderId="6" xfId="0" applyFont="1" applyFill="1" applyBorder="1" applyAlignment="1">
      <alignment horizontal="right"/>
    </xf>
    <xf numFmtId="39" fontId="2" fillId="0" borderId="0" xfId="0" applyNumberFormat="1" applyFont="1" applyFill="1" applyAlignment="1"/>
    <xf numFmtId="37" fontId="2" fillId="0" borderId="7" xfId="0" applyNumberFormat="1" applyFont="1" applyFill="1" applyBorder="1" applyAlignment="1" applyProtection="1"/>
    <xf numFmtId="39" fontId="2" fillId="0" borderId="6" xfId="0" applyNumberFormat="1" applyFont="1" applyFill="1" applyBorder="1" applyAlignment="1"/>
    <xf numFmtId="37" fontId="2" fillId="0" borderId="6" xfId="0" applyNumberFormat="1" applyFont="1" applyFill="1" applyBorder="1" applyAlignment="1" applyProtection="1"/>
    <xf numFmtId="39" fontId="2" fillId="0" borderId="0" xfId="0" applyNumberFormat="1" applyFont="1" applyFill="1" applyAlignment="1">
      <alignment horizontal="right"/>
    </xf>
    <xf numFmtId="37" fontId="2" fillId="0" borderId="7" xfId="0" applyNumberFormat="1" applyFont="1" applyFill="1" applyBorder="1" applyAlignment="1" applyProtection="1">
      <alignment horizontal="right" vertical="center"/>
    </xf>
    <xf numFmtId="39" fontId="2" fillId="0" borderId="12" xfId="0" applyNumberFormat="1" applyFont="1" applyFill="1" applyBorder="1" applyAlignment="1">
      <alignment horizontal="right"/>
    </xf>
    <xf numFmtId="39" fontId="2" fillId="0" borderId="12" xfId="0" applyNumberFormat="1" applyFont="1" applyFill="1" applyBorder="1" applyAlignment="1">
      <alignment horizontal="right" vertical="center"/>
    </xf>
    <xf numFmtId="37" fontId="2" fillId="0" borderId="6" xfId="0" applyNumberFormat="1" applyFont="1" applyFill="1" applyBorder="1" applyAlignment="1"/>
    <xf numFmtId="3" fontId="22" fillId="0" borderId="7" xfId="0" applyNumberFormat="1" applyFont="1" applyFill="1" applyBorder="1" applyAlignment="1">
      <alignment vertical="center"/>
    </xf>
    <xf numFmtId="3" fontId="22" fillId="0" borderId="6" xfId="0" applyNumberFormat="1" applyFont="1" applyFill="1" applyBorder="1" applyAlignment="1">
      <alignment vertical="center"/>
    </xf>
    <xf numFmtId="37" fontId="2" fillId="0" borderId="0" xfId="0" applyNumberFormat="1" applyFont="1" applyBorder="1" applyAlignment="1" applyProtection="1"/>
    <xf numFmtId="3" fontId="22" fillId="0" borderId="2" xfId="0" applyNumberFormat="1" applyFont="1" applyFill="1" applyBorder="1" applyAlignment="1">
      <alignment vertical="center"/>
    </xf>
    <xf numFmtId="3" fontId="22" fillId="0" borderId="0" xfId="0" applyNumberFormat="1" applyFont="1" applyFill="1" applyBorder="1" applyAlignment="1">
      <alignment vertical="center"/>
    </xf>
    <xf numFmtId="3" fontId="2" fillId="0" borderId="2" xfId="0" applyNumberFormat="1" applyFont="1" applyFill="1" applyBorder="1" applyAlignment="1">
      <alignment vertical="center"/>
    </xf>
    <xf numFmtId="3" fontId="2" fillId="0" borderId="0" xfId="0" applyNumberFormat="1" applyFont="1" applyFill="1" applyBorder="1" applyAlignment="1">
      <alignment vertical="center"/>
    </xf>
    <xf numFmtId="3" fontId="19"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39" fontId="2" fillId="0" borderId="0" xfId="0" quotePrefix="1" applyNumberFormat="1" applyFont="1" applyFill="1" applyBorder="1" applyAlignment="1">
      <alignment horizontal="right" vertical="center"/>
    </xf>
    <xf numFmtId="37" fontId="2" fillId="0" borderId="1" xfId="0" applyNumberFormat="1" applyFont="1" applyBorder="1" applyAlignment="1" applyProtection="1"/>
    <xf numFmtId="3" fontId="2" fillId="0" borderId="3" xfId="0" applyNumberFormat="1" applyFont="1" applyFill="1" applyBorder="1" applyAlignment="1">
      <alignment vertical="center"/>
    </xf>
    <xf numFmtId="3" fontId="2" fillId="0" borderId="1" xfId="0" applyNumberFormat="1" applyFont="1" applyFill="1" applyBorder="1" applyAlignment="1">
      <alignment vertical="center"/>
    </xf>
    <xf numFmtId="3" fontId="19" fillId="0" borderId="1" xfId="0" applyNumberFormat="1" applyFont="1" applyFill="1" applyBorder="1" applyAlignment="1">
      <alignment vertical="center"/>
    </xf>
    <xf numFmtId="37" fontId="2" fillId="0" borderId="0" xfId="0" applyNumberFormat="1" applyFont="1" applyBorder="1" applyAlignment="1"/>
    <xf numFmtId="37" fontId="2" fillId="0" borderId="1" xfId="0" applyNumberFormat="1" applyFont="1" applyBorder="1" applyAlignment="1"/>
    <xf numFmtId="0" fontId="2" fillId="0" borderId="16" xfId="0" applyNumberFormat="1" applyFont="1" applyFill="1" applyBorder="1" applyAlignment="1"/>
    <xf numFmtId="39" fontId="2" fillId="0" borderId="0" xfId="0" applyNumberFormat="1" applyFont="1" applyFill="1" applyBorder="1" applyAlignment="1">
      <alignment horizontal="left" vertical="center"/>
    </xf>
    <xf numFmtId="37" fontId="2" fillId="0" borderId="0" xfId="0" quotePrefix="1" applyNumberFormat="1" applyFont="1" applyFill="1" applyBorder="1" applyAlignment="1" applyProtection="1">
      <alignment horizontal="left" vertical="distributed"/>
    </xf>
    <xf numFmtId="39" fontId="2" fillId="0" borderId="0" xfId="0" applyNumberFormat="1" applyFont="1" applyFill="1" applyBorder="1" applyAlignment="1">
      <alignment vertical="center"/>
    </xf>
    <xf numFmtId="39" fontId="2" fillId="0" borderId="0" xfId="0" applyNumberFormat="1" applyFont="1" applyFill="1" applyBorder="1" applyAlignment="1">
      <alignment horizontal="left" vertical="distributed"/>
    </xf>
    <xf numFmtId="39" fontId="2" fillId="0" borderId="0" xfId="0" applyNumberFormat="1" applyFont="1" applyFill="1" applyBorder="1" applyAlignment="1"/>
    <xf numFmtId="39" fontId="19" fillId="0" borderId="0" xfId="0" applyNumberFormat="1" applyFont="1" applyFill="1" applyBorder="1"/>
    <xf numFmtId="37" fontId="2" fillId="0" borderId="0" xfId="0" applyNumberFormat="1" applyFont="1" applyFill="1" applyBorder="1" applyAlignment="1" applyProtection="1">
      <alignment horizontal="left" vertical="top"/>
    </xf>
    <xf numFmtId="3" fontId="22" fillId="0" borderId="0" xfId="7" applyNumberFormat="1" applyFont="1" applyFill="1" applyBorder="1" applyAlignment="1"/>
    <xf numFmtId="37" fontId="2" fillId="0" borderId="22" xfId="0" applyFont="1" applyFill="1" applyBorder="1" applyAlignment="1" applyProtection="1">
      <alignment horizontal="centerContinuous"/>
    </xf>
    <xf numFmtId="37" fontId="21" fillId="0" borderId="24" xfId="0" applyFont="1" applyBorder="1"/>
    <xf numFmtId="3" fontId="22" fillId="0" borderId="23" xfId="0" applyNumberFormat="1" applyFont="1" applyBorder="1"/>
    <xf numFmtId="168" fontId="22" fillId="0" borderId="23" xfId="0" applyNumberFormat="1" applyFont="1" applyBorder="1"/>
    <xf numFmtId="3" fontId="2" fillId="0" borderId="23" xfId="0" applyNumberFormat="1" applyFont="1" applyBorder="1"/>
    <xf numFmtId="3" fontId="2" fillId="0" borderId="24" xfId="0" applyNumberFormat="1" applyFont="1" applyBorder="1"/>
    <xf numFmtId="165" fontId="2" fillId="0" borderId="25" xfId="2" applyNumberFormat="1" applyFont="1" applyFill="1" applyBorder="1" applyProtection="1"/>
    <xf numFmtId="164" fontId="2" fillId="4" borderId="0" xfId="0" applyNumberFormat="1" applyFont="1" applyFill="1" applyBorder="1" applyProtection="1"/>
    <xf numFmtId="3" fontId="2" fillId="0" borderId="0" xfId="0" applyNumberFormat="1" applyFont="1" applyBorder="1" applyProtection="1"/>
    <xf numFmtId="169" fontId="2" fillId="0" borderId="9" xfId="8" applyNumberFormat="1" applyFont="1" applyFill="1" applyBorder="1" applyAlignment="1"/>
    <xf numFmtId="3" fontId="2" fillId="0" borderId="1" xfId="9" applyNumberFormat="1" applyFont="1" applyFill="1" applyBorder="1" applyAlignment="1" applyProtection="1">
      <alignment vertical="center"/>
    </xf>
    <xf numFmtId="37" fontId="2" fillId="4" borderId="1" xfId="0" applyFont="1" applyFill="1" applyBorder="1" applyAlignment="1" applyProtection="1">
      <alignment horizontal="right"/>
    </xf>
    <xf numFmtId="37" fontId="2" fillId="0" borderId="3" xfId="0" applyFont="1" applyFill="1" applyBorder="1" applyAlignment="1">
      <alignment horizontal="center" wrapText="1"/>
    </xf>
    <xf numFmtId="37" fontId="2" fillId="0" borderId="1" xfId="0" applyFont="1" applyFill="1" applyBorder="1" applyAlignment="1">
      <alignment horizontal="center" wrapText="1"/>
    </xf>
    <xf numFmtId="166" fontId="22" fillId="2" borderId="1" xfId="0" applyNumberFormat="1" applyFont="1" applyFill="1" applyBorder="1"/>
    <xf numFmtId="166" fontId="2" fillId="4" borderId="3" xfId="0" applyNumberFormat="1" applyFont="1" applyFill="1" applyBorder="1" applyAlignment="1" applyProtection="1">
      <alignment horizontal="right"/>
    </xf>
    <xf numFmtId="166" fontId="2" fillId="2" borderId="10" xfId="0" applyNumberFormat="1" applyFont="1" applyFill="1" applyBorder="1" applyAlignment="1">
      <alignment horizontal="right"/>
    </xf>
    <xf numFmtId="164" fontId="2" fillId="4" borderId="1" xfId="0" applyNumberFormat="1" applyFont="1" applyFill="1" applyBorder="1" applyAlignment="1" applyProtection="1">
      <alignment horizontal="right"/>
    </xf>
    <xf numFmtId="37" fontId="2" fillId="0" borderId="7" xfId="0" applyFont="1" applyFill="1" applyBorder="1" applyAlignment="1">
      <alignment horizontal="center" wrapText="1"/>
    </xf>
    <xf numFmtId="37" fontId="2" fillId="0" borderId="24" xfId="0" applyFont="1" applyFill="1" applyBorder="1" applyAlignment="1">
      <alignment horizontal="center" wrapText="1"/>
    </xf>
    <xf numFmtId="3" fontId="2" fillId="0" borderId="0" xfId="6" applyNumberFormat="1" applyFont="1" applyFill="1" applyBorder="1" applyAlignment="1"/>
    <xf numFmtId="3" fontId="2" fillId="3" borderId="0" xfId="6" applyNumberFormat="1" applyFont="1" applyFill="1" applyBorder="1" applyAlignment="1"/>
    <xf numFmtId="169" fontId="22" fillId="0" borderId="7" xfId="0" applyNumberFormat="1" applyFont="1" applyFill="1" applyBorder="1" applyAlignment="1">
      <alignment vertical="center"/>
    </xf>
    <xf numFmtId="169" fontId="22" fillId="0" borderId="2" xfId="0" applyNumberFormat="1" applyFont="1" applyFill="1" applyBorder="1" applyAlignment="1">
      <alignment vertical="center"/>
    </xf>
    <xf numFmtId="169" fontId="2" fillId="0" borderId="2" xfId="0" applyNumberFormat="1" applyFont="1" applyFill="1" applyBorder="1" applyAlignment="1">
      <alignment vertical="center"/>
    </xf>
    <xf numFmtId="169" fontId="2" fillId="0" borderId="3" xfId="0" applyNumberFormat="1" applyFont="1" applyFill="1" applyBorder="1" applyAlignment="1">
      <alignment vertical="center"/>
    </xf>
    <xf numFmtId="3" fontId="22" fillId="0" borderId="2" xfId="7" applyNumberFormat="1" applyFont="1" applyFill="1" applyBorder="1" applyAlignment="1"/>
    <xf numFmtId="3" fontId="22" fillId="0" borderId="2" xfId="7" applyNumberFormat="1" applyFont="1" applyBorder="1" applyAlignment="1"/>
    <xf numFmtId="3" fontId="2" fillId="0" borderId="2" xfId="9" applyNumberFormat="1" applyFont="1" applyFill="1" applyBorder="1" applyAlignment="1" applyProtection="1">
      <alignment vertical="center"/>
    </xf>
    <xf numFmtId="3" fontId="2" fillId="0" borderId="7" xfId="7" applyNumberFormat="1" applyFont="1" applyBorder="1" applyAlignment="1"/>
    <xf numFmtId="3" fontId="18" fillId="6" borderId="18" xfId="0" applyNumberFormat="1" applyFont="1" applyFill="1" applyBorder="1" applyAlignment="1">
      <alignment horizontal="right"/>
    </xf>
    <xf numFmtId="3" fontId="2" fillId="0" borderId="3" xfId="9" applyNumberFormat="1" applyFont="1" applyFill="1" applyBorder="1" applyAlignment="1" applyProtection="1">
      <alignment vertical="center"/>
    </xf>
    <xf numFmtId="37" fontId="20" fillId="0" borderId="0" xfId="0" applyFont="1" applyBorder="1" applyAlignment="1">
      <alignment vertical="top" wrapText="1"/>
    </xf>
    <xf numFmtId="37" fontId="0" fillId="0" borderId="0" xfId="0" applyBorder="1"/>
    <xf numFmtId="37" fontId="2" fillId="0" borderId="0" xfId="0" applyFont="1" applyAlignment="1">
      <alignment horizontal="center"/>
    </xf>
    <xf numFmtId="0" fontId="2" fillId="0" borderId="22" xfId="0" applyNumberFormat="1" applyFont="1" applyFill="1" applyBorder="1" applyAlignment="1" applyProtection="1">
      <alignment horizontal="centerContinuous"/>
    </xf>
    <xf numFmtId="37" fontId="2" fillId="0" borderId="6" xfId="0" applyNumberFormat="1" applyFont="1" applyFill="1" applyBorder="1" applyAlignment="1" applyProtection="1">
      <alignment horizontal="right" vertical="center"/>
    </xf>
    <xf numFmtId="169" fontId="22" fillId="0" borderId="6" xfId="0" applyNumberFormat="1" applyFont="1" applyFill="1" applyBorder="1" applyAlignment="1">
      <alignment vertical="center"/>
    </xf>
    <xf numFmtId="169" fontId="22" fillId="0" borderId="0" xfId="0" applyNumberFormat="1" applyFont="1" applyFill="1" applyBorder="1" applyAlignment="1">
      <alignment vertical="center"/>
    </xf>
    <xf numFmtId="169" fontId="2" fillId="0" borderId="0" xfId="0" applyNumberFormat="1" applyFont="1" applyFill="1" applyBorder="1" applyAlignment="1">
      <alignment vertical="center"/>
    </xf>
    <xf numFmtId="169" fontId="2" fillId="0" borderId="1" xfId="0" applyNumberFormat="1" applyFont="1" applyFill="1" applyBorder="1" applyAlignment="1">
      <alignment vertical="center"/>
    </xf>
    <xf numFmtId="169" fontId="2" fillId="0" borderId="0" xfId="0" applyNumberFormat="1" applyFont="1" applyFill="1" applyBorder="1" applyAlignment="1">
      <alignment horizontal="right" vertical="center"/>
    </xf>
    <xf numFmtId="0" fontId="3" fillId="8" borderId="26" xfId="0" applyNumberFormat="1" applyFont="1" applyFill="1" applyBorder="1"/>
    <xf numFmtId="0" fontId="3" fillId="8" borderId="1" xfId="0" applyNumberFormat="1" applyFont="1" applyFill="1" applyBorder="1" applyAlignment="1" applyProtection="1">
      <alignment horizontal="right"/>
    </xf>
    <xf numFmtId="37" fontId="2" fillId="0" borderId="0" xfId="0" applyNumberFormat="1" applyFont="1" applyFill="1" applyBorder="1" applyAlignment="1">
      <alignment horizontal="right"/>
    </xf>
    <xf numFmtId="37" fontId="2" fillId="0" borderId="1" xfId="0" applyNumberFormat="1" applyFont="1" applyFill="1" applyBorder="1" applyAlignment="1">
      <alignment horizontal="right"/>
    </xf>
    <xf numFmtId="37" fontId="2" fillId="0" borderId="6" xfId="0" applyNumberFormat="1" applyFont="1" applyFill="1" applyBorder="1" applyAlignment="1">
      <alignment horizontal="right"/>
    </xf>
    <xf numFmtId="170" fontId="3" fillId="10" borderId="0" xfId="0" applyNumberFormat="1" applyFont="1" applyFill="1"/>
    <xf numFmtId="3" fontId="2" fillId="0" borderId="0" xfId="5" applyNumberFormat="1" applyFont="1" applyFill="1" applyAlignment="1">
      <alignment horizontal="right"/>
    </xf>
    <xf numFmtId="3" fontId="2" fillId="0" borderId="1" xfId="5" applyNumberFormat="1" applyFont="1" applyFill="1" applyBorder="1" applyAlignment="1">
      <alignment horizontal="right"/>
    </xf>
    <xf numFmtId="3" fontId="29" fillId="9" borderId="6" xfId="12" applyNumberFormat="1" applyBorder="1" applyAlignment="1"/>
    <xf numFmtId="3" fontId="30" fillId="0" borderId="6" xfId="12" applyNumberFormat="1" applyFont="1" applyFill="1" applyBorder="1" applyAlignment="1"/>
    <xf numFmtId="37" fontId="29" fillId="9" borderId="0" xfId="12" applyNumberFormat="1"/>
    <xf numFmtId="37" fontId="22" fillId="0" borderId="0" xfId="0" applyFont="1"/>
    <xf numFmtId="37" fontId="29" fillId="9" borderId="0" xfId="12" applyNumberFormat="1" applyBorder="1"/>
    <xf numFmtId="17" fontId="2" fillId="0" borderId="0" xfId="0" applyNumberFormat="1" applyFont="1" applyFill="1"/>
    <xf numFmtId="37" fontId="2" fillId="7" borderId="1" xfId="0" applyFont="1" applyFill="1" applyBorder="1" applyAlignment="1">
      <alignment horizontal="right"/>
    </xf>
    <xf numFmtId="170" fontId="3" fillId="10" borderId="1" xfId="0" applyNumberFormat="1" applyFont="1" applyFill="1" applyBorder="1"/>
    <xf numFmtId="3" fontId="29" fillId="9" borderId="6" xfId="12" applyNumberFormat="1" applyBorder="1" applyAlignment="1">
      <alignment horizontal="right"/>
    </xf>
    <xf numFmtId="169" fontId="2" fillId="3" borderId="10" xfId="6" applyNumberFormat="1" applyFont="1" applyFill="1" applyBorder="1" applyAlignment="1"/>
    <xf numFmtId="166" fontId="34" fillId="0" borderId="0" xfId="0" applyNumberFormat="1" applyFont="1"/>
    <xf numFmtId="166" fontId="34" fillId="0" borderId="0" xfId="0" applyNumberFormat="1" applyFont="1" applyAlignment="1">
      <alignment horizontal="right"/>
    </xf>
    <xf numFmtId="166" fontId="34" fillId="0" borderId="1" xfId="0" applyNumberFormat="1" applyFont="1" applyBorder="1"/>
    <xf numFmtId="37" fontId="2" fillId="10" borderId="0" xfId="0" applyFont="1" applyFill="1" applyBorder="1"/>
    <xf numFmtId="17" fontId="2" fillId="10" borderId="0" xfId="0" applyNumberFormat="1" applyFont="1" applyFill="1" applyBorder="1"/>
    <xf numFmtId="166" fontId="2" fillId="0" borderId="0" xfId="0" applyNumberFormat="1" applyFont="1" applyBorder="1" applyAlignment="1">
      <alignment horizontal="right"/>
    </xf>
    <xf numFmtId="37" fontId="35" fillId="0" borderId="0" xfId="0" applyFont="1" applyBorder="1"/>
    <xf numFmtId="37" fontId="35" fillId="0" borderId="1" xfId="0" applyFont="1" applyBorder="1"/>
    <xf numFmtId="166" fontId="2" fillId="0" borderId="1" xfId="0" applyNumberFormat="1" applyFont="1" applyBorder="1" applyAlignment="1">
      <alignment horizontal="right"/>
    </xf>
    <xf numFmtId="37" fontId="35" fillId="0" borderId="6" xfId="0" applyFont="1" applyBorder="1"/>
    <xf numFmtId="166" fontId="2" fillId="0" borderId="6" xfId="0" applyNumberFormat="1" applyFont="1" applyBorder="1"/>
    <xf numFmtId="3" fontId="22" fillId="0" borderId="0" xfId="0" applyNumberFormat="1" applyFont="1" applyBorder="1"/>
    <xf numFmtId="14" fontId="2" fillId="0" borderId="0" xfId="0" applyNumberFormat="1" applyFont="1"/>
    <xf numFmtId="37" fontId="2" fillId="0" borderId="12" xfId="0" applyNumberFormat="1" applyFont="1" applyFill="1" applyBorder="1" applyAlignment="1" applyProtection="1">
      <alignment horizontal="right" vertical="center"/>
    </xf>
    <xf numFmtId="3" fontId="35" fillId="0" borderId="6" xfId="0" applyNumberFormat="1" applyFont="1" applyFill="1" applyBorder="1" applyAlignment="1">
      <alignment vertical="center"/>
    </xf>
    <xf numFmtId="37" fontId="31" fillId="0" borderId="0" xfId="0" applyFont="1" applyAlignment="1" applyProtection="1">
      <alignment horizontal="left"/>
    </xf>
    <xf numFmtId="37" fontId="31" fillId="0" borderId="0" xfId="0" applyFont="1"/>
    <xf numFmtId="3" fontId="35" fillId="0" borderId="0" xfId="0" applyNumberFormat="1" applyFont="1" applyFill="1" applyBorder="1" applyAlignment="1">
      <alignment vertical="center"/>
    </xf>
    <xf numFmtId="166" fontId="35" fillId="0" borderId="0" xfId="0" applyNumberFormat="1" applyFont="1" applyAlignment="1">
      <alignment horizontal="right"/>
    </xf>
    <xf numFmtId="166" fontId="35" fillId="0" borderId="1" xfId="0" applyNumberFormat="1" applyFont="1" applyBorder="1" applyAlignment="1">
      <alignment horizontal="right"/>
    </xf>
    <xf numFmtId="3" fontId="35" fillId="0" borderId="1" xfId="0" applyNumberFormat="1" applyFont="1" applyFill="1" applyBorder="1" applyAlignment="1">
      <alignment vertical="center"/>
    </xf>
    <xf numFmtId="169" fontId="2" fillId="0" borderId="2" xfId="6" applyNumberFormat="1" applyFont="1" applyFill="1" applyBorder="1" applyAlignment="1">
      <alignment horizontal="right"/>
    </xf>
    <xf numFmtId="169" fontId="2" fillId="3" borderId="2" xfId="6" applyNumberFormat="1" applyFont="1" applyFill="1" applyBorder="1" applyAlignment="1">
      <alignment horizontal="right"/>
    </xf>
    <xf numFmtId="37" fontId="2" fillId="0" borderId="1" xfId="0" applyFont="1" applyFill="1" applyBorder="1" applyProtection="1"/>
    <xf numFmtId="3" fontId="36" fillId="0" borderId="27" xfId="0" applyNumberFormat="1" applyFont="1" applyBorder="1"/>
    <xf numFmtId="0" fontId="3" fillId="0" borderId="1" xfId="0" applyNumberFormat="1" applyFont="1" applyFill="1" applyBorder="1"/>
    <xf numFmtId="37" fontId="2" fillId="0" borderId="10" xfId="0" applyFont="1" applyBorder="1"/>
    <xf numFmtId="169" fontId="22" fillId="0" borderId="1" xfId="0" applyNumberFormat="1" applyFont="1" applyFill="1" applyBorder="1" applyAlignment="1">
      <alignment vertical="center"/>
    </xf>
    <xf numFmtId="169" fontId="2" fillId="3" borderId="1" xfId="6" applyNumberFormat="1" applyFont="1" applyFill="1" applyBorder="1" applyAlignment="1"/>
    <xf numFmtId="169" fontId="2" fillId="0" borderId="3" xfId="6" applyNumberFormat="1" applyFont="1" applyFill="1" applyBorder="1" applyAlignment="1">
      <alignment horizontal="right"/>
    </xf>
    <xf numFmtId="169" fontId="2" fillId="3" borderId="7" xfId="6" applyNumberFormat="1" applyFont="1" applyFill="1" applyBorder="1" applyAlignment="1">
      <alignment horizontal="right"/>
    </xf>
    <xf numFmtId="49" fontId="2" fillId="0" borderId="0" xfId="0" applyNumberFormat="1" applyFont="1"/>
    <xf numFmtId="169" fontId="2" fillId="3" borderId="0" xfId="6" applyNumberFormat="1" applyFont="1" applyFill="1" applyAlignment="1">
      <alignment horizontal="right"/>
    </xf>
    <xf numFmtId="170" fontId="3" fillId="8" borderId="0" xfId="0" applyNumberFormat="1" applyFont="1" applyFill="1" applyBorder="1"/>
    <xf numFmtId="3" fontId="22" fillId="0" borderId="6" xfId="12" applyNumberFormat="1" applyFont="1" applyFill="1" applyBorder="1" applyAlignment="1"/>
    <xf numFmtId="49" fontId="2" fillId="0" borderId="0" xfId="0" applyNumberFormat="1" applyFont="1" applyFill="1" applyBorder="1" applyAlignment="1">
      <alignment horizontal="center"/>
    </xf>
    <xf numFmtId="37" fontId="37" fillId="0" borderId="0" xfId="0" applyFont="1" applyBorder="1"/>
    <xf numFmtId="166" fontId="22" fillId="0" borderId="1" xfId="0" applyNumberFormat="1" applyFont="1" applyFill="1" applyBorder="1"/>
    <xf numFmtId="37" fontId="2" fillId="0" borderId="5" xfId="0" applyFont="1" applyBorder="1"/>
    <xf numFmtId="37" fontId="2" fillId="0" borderId="6" xfId="0" applyFont="1" applyFill="1" applyBorder="1" applyAlignment="1">
      <alignment horizontal="center" wrapText="1"/>
    </xf>
    <xf numFmtId="37" fontId="2" fillId="0" borderId="10" xfId="0" applyFont="1" applyFill="1" applyBorder="1" applyAlignment="1">
      <alignment horizontal="center" wrapText="1"/>
    </xf>
    <xf numFmtId="168" fontId="22" fillId="0" borderId="5" xfId="0" applyNumberFormat="1" applyFont="1" applyBorder="1"/>
    <xf numFmtId="37" fontId="37" fillId="0" borderId="5" xfId="0" applyFont="1" applyBorder="1"/>
    <xf numFmtId="37" fontId="37" fillId="0" borderId="0" xfId="0" applyNumberFormat="1" applyFont="1" applyFill="1" applyBorder="1" applyAlignment="1"/>
    <xf numFmtId="3" fontId="22" fillId="0" borderId="5" xfId="0" applyNumberFormat="1" applyFont="1" applyBorder="1"/>
    <xf numFmtId="0" fontId="3" fillId="10" borderId="1" xfId="0" applyNumberFormat="1" applyFont="1" applyFill="1" applyBorder="1"/>
    <xf numFmtId="0" fontId="3" fillId="10" borderId="0" xfId="0" applyNumberFormat="1" applyFont="1" applyFill="1" applyBorder="1"/>
    <xf numFmtId="0" fontId="3" fillId="0" borderId="0" xfId="0" applyNumberFormat="1" applyFont="1"/>
    <xf numFmtId="37" fontId="2" fillId="0" borderId="0" xfId="0" applyFont="1" applyBorder="1" applyAlignment="1">
      <alignment horizontal="right"/>
    </xf>
    <xf numFmtId="37" fontId="2" fillId="0" borderId="6" xfId="0" applyNumberFormat="1" applyFont="1" applyFill="1" applyBorder="1" applyAlignment="1" applyProtection="1">
      <alignment horizontal="right"/>
    </xf>
    <xf numFmtId="3" fontId="22" fillId="0" borderId="0" xfId="0" applyNumberFormat="1" applyFont="1" applyFill="1" applyBorder="1" applyAlignment="1">
      <alignment horizontal="right" vertical="center"/>
    </xf>
    <xf numFmtId="37" fontId="2" fillId="0" borderId="10" xfId="0" applyFont="1" applyBorder="1" applyAlignment="1">
      <alignment horizontal="right"/>
    </xf>
    <xf numFmtId="37" fontId="31" fillId="0" borderId="0" xfId="0" applyFont="1" applyAlignment="1">
      <alignment horizontal="right"/>
    </xf>
    <xf numFmtId="169" fontId="22" fillId="0" borderId="1" xfId="0" applyNumberFormat="1" applyFont="1" applyFill="1" applyBorder="1" applyAlignment="1">
      <alignment horizontal="right" vertical="center"/>
    </xf>
    <xf numFmtId="169" fontId="22" fillId="0" borderId="0" xfId="0" applyNumberFormat="1" applyFont="1" applyFill="1" applyBorder="1" applyAlignment="1">
      <alignment horizontal="right" vertical="center"/>
    </xf>
    <xf numFmtId="3" fontId="2" fillId="10" borderId="0" xfId="0" applyNumberFormat="1" applyFont="1" applyFill="1" applyBorder="1" applyAlignment="1">
      <alignment horizontal="right" vertical="center"/>
    </xf>
    <xf numFmtId="37" fontId="2" fillId="10" borderId="0" xfId="0" applyFont="1" applyFill="1" applyAlignment="1">
      <alignment horizontal="right"/>
    </xf>
    <xf numFmtId="0" fontId="2" fillId="10" borderId="0" xfId="0" applyNumberFormat="1" applyFont="1" applyFill="1" applyBorder="1"/>
    <xf numFmtId="37" fontId="22" fillId="0" borderId="0" xfId="0" applyNumberFormat="1" applyFont="1" applyFill="1" applyBorder="1"/>
    <xf numFmtId="37" fontId="2" fillId="0" borderId="1" xfId="0" applyFont="1" applyBorder="1" applyAlignment="1">
      <alignment horizontal="right"/>
    </xf>
    <xf numFmtId="37" fontId="0" fillId="0" borderId="0" xfId="0" applyAlignment="1">
      <alignment horizontal="left" vertical="top" wrapText="1"/>
    </xf>
    <xf numFmtId="37" fontId="2" fillId="0" borderId="0" xfId="0" applyFont="1" applyFill="1" applyBorder="1" applyAlignment="1">
      <alignment horizontal="left" vertical="top" wrapText="1"/>
    </xf>
    <xf numFmtId="0" fontId="2" fillId="0" borderId="8" xfId="0" applyNumberFormat="1" applyFont="1" applyFill="1" applyBorder="1" applyAlignment="1" applyProtection="1">
      <alignment horizontal="centerContinuous"/>
    </xf>
    <xf numFmtId="0" fontId="2" fillId="0" borderId="15" xfId="0" applyNumberFormat="1" applyFont="1" applyFill="1" applyBorder="1" applyAlignment="1" applyProtection="1">
      <alignment horizontal="centerContinuous"/>
    </xf>
    <xf numFmtId="0" fontId="2" fillId="0" borderId="4" xfId="0" applyNumberFormat="1" applyFont="1" applyFill="1" applyBorder="1" applyAlignment="1" applyProtection="1">
      <alignment horizontal="center" wrapText="1"/>
    </xf>
    <xf numFmtId="0" fontId="2" fillId="0" borderId="4" xfId="0" applyNumberFormat="1" applyFont="1" applyFill="1" applyBorder="1" applyAlignment="1" applyProtection="1">
      <alignment horizontal="centerContinuous" wrapText="1"/>
    </xf>
    <xf numFmtId="0" fontId="2" fillId="0" borderId="8" xfId="0" applyNumberFormat="1" applyFont="1" applyFill="1" applyBorder="1" applyAlignment="1" applyProtection="1">
      <alignment horizontal="right"/>
    </xf>
    <xf numFmtId="0" fontId="2" fillId="0" borderId="15" xfId="0" applyNumberFormat="1" applyFont="1" applyFill="1" applyBorder="1" applyAlignment="1" applyProtection="1">
      <alignment horizontal="right"/>
    </xf>
    <xf numFmtId="0" fontId="2" fillId="0" borderId="4" xfId="0" applyNumberFormat="1" applyFont="1" applyFill="1" applyBorder="1" applyAlignment="1" applyProtection="1">
      <alignment horizontal="centerContinuous"/>
    </xf>
    <xf numFmtId="37" fontId="0" fillId="0" borderId="1" xfId="0" applyFill="1" applyBorder="1" applyAlignment="1">
      <alignment horizontal="centerContinuous" wrapText="1"/>
    </xf>
    <xf numFmtId="37" fontId="2" fillId="0" borderId="4" xfId="0" applyFont="1" applyFill="1" applyBorder="1" applyAlignment="1" applyProtection="1">
      <alignment horizontal="center"/>
    </xf>
    <xf numFmtId="166" fontId="38" fillId="0" borderId="0" xfId="0" quotePrefix="1" applyNumberFormat="1" applyFont="1" applyAlignment="1">
      <alignment horizontal="right"/>
    </xf>
    <xf numFmtId="166" fontId="38" fillId="4" borderId="5" xfId="0" quotePrefix="1" applyNumberFormat="1" applyFont="1" applyFill="1" applyBorder="1" applyAlignment="1">
      <alignment horizontal="right"/>
    </xf>
    <xf numFmtId="37" fontId="39" fillId="0" borderId="0" xfId="0" applyFont="1" applyBorder="1" applyAlignment="1">
      <alignment horizontal="right"/>
    </xf>
    <xf numFmtId="37" fontId="39" fillId="0" borderId="5" xfId="0" applyFont="1" applyBorder="1" applyAlignment="1">
      <alignment horizontal="right"/>
    </xf>
    <xf numFmtId="169" fontId="2" fillId="0" borderId="10" xfId="6" applyNumberFormat="1" applyFont="1" applyFill="1" applyBorder="1" applyAlignment="1">
      <alignment horizontal="right"/>
    </xf>
    <xf numFmtId="3" fontId="2" fillId="0" borderId="2" xfId="6" applyNumberFormat="1" applyFont="1" applyFill="1" applyBorder="1" applyAlignment="1">
      <alignment horizontal="right"/>
    </xf>
    <xf numFmtId="3" fontId="2" fillId="0" borderId="0" xfId="6" applyNumberFormat="1" applyFont="1" applyFill="1" applyBorder="1" applyAlignment="1">
      <alignment horizontal="right"/>
    </xf>
    <xf numFmtId="3" fontId="2" fillId="3" borderId="0" xfId="6" applyNumberFormat="1" applyFont="1" applyFill="1" applyAlignment="1">
      <alignment horizontal="right"/>
    </xf>
    <xf numFmtId="37" fontId="2" fillId="0" borderId="9" xfId="0" applyFont="1" applyFill="1" applyBorder="1" applyAlignment="1" applyProtection="1">
      <alignment horizontal="center"/>
    </xf>
    <xf numFmtId="37" fontId="0" fillId="0" borderId="12" xfId="0" applyBorder="1" applyAlignment="1">
      <alignment horizontal="center"/>
    </xf>
    <xf numFmtId="37" fontId="2" fillId="0" borderId="2" xfId="0" applyFont="1" applyFill="1" applyBorder="1" applyAlignment="1" applyProtection="1">
      <alignment horizontal="center"/>
    </xf>
    <xf numFmtId="37" fontId="0" fillId="0" borderId="0" xfId="0" applyBorder="1" applyAlignment="1">
      <alignment horizontal="center"/>
    </xf>
    <xf numFmtId="37" fontId="2" fillId="0" borderId="0" xfId="0" applyFont="1" applyBorder="1" applyAlignment="1">
      <alignment vertical="top" wrapText="1"/>
    </xf>
    <xf numFmtId="37" fontId="0" fillId="0" borderId="0" xfId="0" applyAlignment="1">
      <alignment vertical="top" wrapText="1"/>
    </xf>
    <xf numFmtId="37" fontId="2" fillId="0" borderId="0" xfId="0" applyFont="1" applyFill="1" applyAlignment="1">
      <alignment vertical="top" wrapText="1"/>
    </xf>
  </cellXfs>
  <cellStyles count="13">
    <cellStyle name="Bad" xfId="12" builtinId="27"/>
    <cellStyle name="Comma" xfId="8" builtinId="3"/>
    <cellStyle name="Comma 2" xfId="7" xr:uid="{00000000-0005-0000-0000-000002000000}"/>
    <cellStyle name="Hyperlink" xfId="1" builtinId="8"/>
    <cellStyle name="Normal" xfId="0" builtinId="0"/>
    <cellStyle name="Normal 2" xfId="6" xr:uid="{00000000-0005-0000-0000-000005000000}"/>
    <cellStyle name="Normal 2 2" xfId="5" xr:uid="{00000000-0005-0000-0000-000006000000}"/>
    <cellStyle name="Normal 4" xfId="9" xr:uid="{00000000-0005-0000-0000-000007000000}"/>
    <cellStyle name="Normal 5" xfId="10" xr:uid="{00000000-0005-0000-0000-000008000000}"/>
    <cellStyle name="Normal 7" xfId="11" xr:uid="{00000000-0005-0000-0000-000009000000}"/>
    <cellStyle name="Normal_Digest 2002 Tab042 on K12 minorities" xfId="2" xr:uid="{00000000-0005-0000-0000-00000A000000}"/>
    <cellStyle name="Percent" xfId="3" builtinId="5"/>
    <cellStyle name="Style 1" xfId="4"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CCFF"/>
      <color rgb="FF0000CC"/>
      <color rgb="FF003399"/>
      <color rgb="FF006600"/>
      <color rgb="FFA50021"/>
      <color rgb="FF000080"/>
      <color rgb="FF80008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Change in Public</a:t>
            </a:r>
            <a:r>
              <a:rPr lang="en-US" sz="1000" baseline="0">
                <a:latin typeface="Arial" pitchFamily="34" charset="0"/>
                <a:cs typeface="Arial" pitchFamily="34" charset="0"/>
              </a:rPr>
              <a:t> </a:t>
            </a:r>
            <a:r>
              <a:rPr lang="en-US" sz="1000">
                <a:latin typeface="Arial" pitchFamily="34" charset="0"/>
                <a:cs typeface="Arial" pitchFamily="34" charset="0"/>
              </a:rPr>
              <a:t>School Enrollment</a:t>
            </a:r>
          </a:p>
        </c:rich>
      </c:tx>
      <c:layout>
        <c:manualLayout>
          <c:xMode val="edge"/>
          <c:yMode val="edge"/>
          <c:x val="0.18498143455610405"/>
          <c:y val="7.1110980530418824E-2"/>
        </c:manualLayout>
      </c:layout>
      <c:overlay val="1"/>
    </c:title>
    <c:autoTitleDeleted val="0"/>
    <c:plotArea>
      <c:layout>
        <c:manualLayout>
          <c:layoutTarget val="inner"/>
          <c:xMode val="edge"/>
          <c:yMode val="edge"/>
          <c:x val="0.21745355629751098"/>
          <c:y val="0.27817084516481244"/>
          <c:w val="0.77094570848611965"/>
          <c:h val="0.6654233504448267"/>
        </c:manualLayout>
      </c:layout>
      <c:barChart>
        <c:barDir val="bar"/>
        <c:grouping val="clustered"/>
        <c:varyColors val="0"/>
        <c:ser>
          <c:idx val="0"/>
          <c:order val="0"/>
          <c:tx>
            <c:strRef>
              <c:f>'TABLE 8'!$A$9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8'!$F$8:$G$8</c:f>
              <c:numCache>
                <c:formatCode>General</c:formatCode>
                <c:ptCount val="2"/>
                <c:pt idx="0">
                  <c:v>2014</c:v>
                </c:pt>
                <c:pt idx="1">
                  <c:v>2024</c:v>
                </c:pt>
              </c:numCache>
            </c:numRef>
          </c:cat>
          <c:val>
            <c:numRef>
              <c:f>'TABLE 8'!$F$9:$G$9</c:f>
              <c:numCache>
                <c:formatCode>#,##0.0</c:formatCode>
                <c:ptCount val="2"/>
                <c:pt idx="0">
                  <c:v>3.1091331950622871</c:v>
                </c:pt>
                <c:pt idx="1">
                  <c:v>3.5782680280306032</c:v>
                </c:pt>
              </c:numCache>
            </c:numRef>
          </c:val>
          <c:extLst>
            <c:ext xmlns:c16="http://schemas.microsoft.com/office/drawing/2014/chart" uri="{C3380CC4-5D6E-409C-BE32-E72D297353CC}">
              <c16:uniqueId val="{00000000-BA04-4F54-A6F8-2846C46CB793}"/>
            </c:ext>
          </c:extLst>
        </c:ser>
        <c:ser>
          <c:idx val="1"/>
          <c:order val="1"/>
          <c:tx>
            <c:strRef>
              <c:f>'TABLE 8'!$A$10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8'!$F$8:$G$8</c:f>
              <c:numCache>
                <c:formatCode>General</c:formatCode>
                <c:ptCount val="2"/>
                <c:pt idx="0">
                  <c:v>2014</c:v>
                </c:pt>
                <c:pt idx="1">
                  <c:v>2024</c:v>
                </c:pt>
              </c:numCache>
            </c:numRef>
          </c:cat>
          <c:val>
            <c:numRef>
              <c:f>'TABLE 8'!$F$10:$G$10</c:f>
              <c:numCache>
                <c:formatCode>#,##0.0</c:formatCode>
                <c:ptCount val="2"/>
                <c:pt idx="0">
                  <c:v>9.0369763067902475</c:v>
                </c:pt>
                <c:pt idx="1">
                  <c:v>5.3943491545919517</c:v>
                </c:pt>
              </c:numCache>
            </c:numRef>
          </c:val>
          <c:extLst>
            <c:ext xmlns:c16="http://schemas.microsoft.com/office/drawing/2014/chart" uri="{C3380CC4-5D6E-409C-BE32-E72D297353CC}">
              <c16:uniqueId val="{00000001-BA04-4F54-A6F8-2846C46CB793}"/>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8'!$F$8:$G$8</c:f>
              <c:numCache>
                <c:formatCode>General</c:formatCode>
                <c:ptCount val="2"/>
                <c:pt idx="0">
                  <c:v>2014</c:v>
                </c:pt>
                <c:pt idx="1">
                  <c:v>2024</c:v>
                </c:pt>
              </c:numCache>
            </c:numRef>
          </c:cat>
          <c:val>
            <c:numRef>
              <c:f>'TABLE 8'!$F$16:$G$16</c:f>
              <c:numCache>
                <c:formatCode>#,##0.0</c:formatCode>
                <c:ptCount val="2"/>
                <c:pt idx="0">
                  <c:v>12.295316771777678</c:v>
                </c:pt>
                <c:pt idx="1">
                  <c:v>3.7412070484632007</c:v>
                </c:pt>
              </c:numCache>
            </c:numRef>
          </c:val>
          <c:extLst>
            <c:ext xmlns:c16="http://schemas.microsoft.com/office/drawing/2014/chart" uri="{C3380CC4-5D6E-409C-BE32-E72D297353CC}">
              <c16:uniqueId val="{00000002-BA04-4F54-A6F8-2846C46CB793}"/>
            </c:ext>
          </c:extLst>
        </c:ser>
        <c:dLbls>
          <c:showLegendKey val="0"/>
          <c:showVal val="0"/>
          <c:showCatName val="0"/>
          <c:showSerName val="0"/>
          <c:showPercent val="0"/>
          <c:showBubbleSize val="0"/>
        </c:dLbls>
        <c:gapWidth val="150"/>
        <c:axId val="316543496"/>
        <c:axId val="316543104"/>
      </c:barChart>
      <c:catAx>
        <c:axId val="316543496"/>
        <c:scaling>
          <c:orientation val="maxMin"/>
        </c:scaling>
        <c:delete val="0"/>
        <c:axPos val="l"/>
        <c:numFmt formatCode="General" sourceLinked="1"/>
        <c:majorTickMark val="out"/>
        <c:minorTickMark val="none"/>
        <c:tickLblPos val="low"/>
        <c:crossAx val="316543104"/>
        <c:crosses val="autoZero"/>
        <c:auto val="1"/>
        <c:lblAlgn val="ctr"/>
        <c:lblOffset val="100"/>
        <c:noMultiLvlLbl val="0"/>
      </c:catAx>
      <c:valAx>
        <c:axId val="316543104"/>
        <c:scaling>
          <c:orientation val="minMax"/>
          <c:max val="75"/>
          <c:min val="-15"/>
        </c:scaling>
        <c:delete val="1"/>
        <c:axPos val="t"/>
        <c:numFmt formatCode="#,##0.0" sourceLinked="1"/>
        <c:majorTickMark val="out"/>
        <c:minorTickMark val="none"/>
        <c:tickLblPos val="none"/>
        <c:crossAx val="316543496"/>
        <c:crosses val="autoZero"/>
        <c:crossBetween val="between"/>
      </c:valAx>
      <c:spPr>
        <a:ln>
          <a:noFill/>
        </a:ln>
      </c:spPr>
    </c:plotArea>
    <c:legend>
      <c:legendPos val="t"/>
      <c:layout>
        <c:manualLayout>
          <c:xMode val="edge"/>
          <c:yMode val="edge"/>
          <c:x val="0.14498370209123543"/>
          <c:y val="0.17221647667175941"/>
          <c:w val="0.73031070900154749"/>
          <c:h val="9.731813374074498E-2"/>
        </c:manualLayout>
      </c:layout>
      <c:overlay val="0"/>
    </c:legend>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of Public</a:t>
            </a:r>
            <a:r>
              <a:rPr lang="en-US" sz="1000" baseline="0">
                <a:latin typeface="Arial" pitchFamily="34" charset="0"/>
                <a:cs typeface="Arial" pitchFamily="34" charset="0"/>
              </a:rPr>
              <a:t> </a:t>
            </a:r>
            <a:r>
              <a:rPr lang="en-US" sz="1000">
                <a:latin typeface="Arial" pitchFamily="34" charset="0"/>
                <a:cs typeface="Arial" pitchFamily="34" charset="0"/>
              </a:rPr>
              <a:t>School Enrollment Minority Students</a:t>
            </a:r>
          </a:p>
        </c:rich>
      </c:tx>
      <c:layout>
        <c:manualLayout>
          <c:xMode val="edge"/>
          <c:yMode val="edge"/>
          <c:x val="0.18498143455610405"/>
          <c:y val="7.1111111111111111E-2"/>
        </c:manualLayout>
      </c:layout>
      <c:overlay val="1"/>
    </c:title>
    <c:autoTitleDeleted val="0"/>
    <c:plotArea>
      <c:layout>
        <c:manualLayout>
          <c:layoutTarget val="inner"/>
          <c:xMode val="edge"/>
          <c:yMode val="edge"/>
          <c:x val="0.21342260852011571"/>
          <c:y val="0.27817102844371699"/>
          <c:w val="0.77747989949576968"/>
          <c:h val="0.66542335044482692"/>
        </c:manualLayout>
      </c:layout>
      <c:barChart>
        <c:barDir val="bar"/>
        <c:grouping val="clustered"/>
        <c:varyColors val="0"/>
        <c:ser>
          <c:idx val="0"/>
          <c:order val="0"/>
          <c:tx>
            <c:strRef>
              <c:f>'TABLE 8'!$A$9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8'!$H$8:$I$8</c:f>
              <c:numCache>
                <c:formatCode>General</c:formatCode>
                <c:ptCount val="2"/>
                <c:pt idx="0">
                  <c:v>2004</c:v>
                </c:pt>
                <c:pt idx="1">
                  <c:v>2014</c:v>
                </c:pt>
              </c:numCache>
            </c:numRef>
          </c:cat>
          <c:val>
            <c:numRef>
              <c:f>'TABLE 8'!$H$9:$I$9</c:f>
              <c:numCache>
                <c:formatCode>#,##0.0</c:formatCode>
                <c:ptCount val="2"/>
                <c:pt idx="0">
                  <c:v>42.06542495990108</c:v>
                </c:pt>
                <c:pt idx="1">
                  <c:v>39.477579176468801</c:v>
                </c:pt>
              </c:numCache>
            </c:numRef>
          </c:val>
          <c:extLst>
            <c:ext xmlns:c16="http://schemas.microsoft.com/office/drawing/2014/chart" uri="{C3380CC4-5D6E-409C-BE32-E72D297353CC}">
              <c16:uniqueId val="{00000000-4557-4ED6-8A96-76456E3EF145}"/>
            </c:ext>
          </c:extLst>
        </c:ser>
        <c:ser>
          <c:idx val="1"/>
          <c:order val="1"/>
          <c:tx>
            <c:strRef>
              <c:f>'TABLE 8'!$A$10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8'!$H$8:$I$8</c:f>
              <c:numCache>
                <c:formatCode>General</c:formatCode>
                <c:ptCount val="2"/>
                <c:pt idx="0">
                  <c:v>2004</c:v>
                </c:pt>
                <c:pt idx="1">
                  <c:v>2014</c:v>
                </c:pt>
              </c:numCache>
            </c:numRef>
          </c:cat>
          <c:val>
            <c:numRef>
              <c:f>'TABLE 8'!$H$10:$I$10</c:f>
              <c:numCache>
                <c:formatCode>#,##0.0</c:formatCode>
                <c:ptCount val="2"/>
                <c:pt idx="0">
                  <c:v>43.202899274798042</c:v>
                </c:pt>
                <c:pt idx="1">
                  <c:v>51.417504086823143</c:v>
                </c:pt>
              </c:numCache>
            </c:numRef>
          </c:val>
          <c:extLst>
            <c:ext xmlns:c16="http://schemas.microsoft.com/office/drawing/2014/chart" uri="{C3380CC4-5D6E-409C-BE32-E72D297353CC}">
              <c16:uniqueId val="{00000001-4557-4ED6-8A96-76456E3EF145}"/>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8'!$H$8:$I$8</c:f>
              <c:numCache>
                <c:formatCode>General</c:formatCode>
                <c:ptCount val="2"/>
                <c:pt idx="0">
                  <c:v>2004</c:v>
                </c:pt>
                <c:pt idx="1">
                  <c:v>2014</c:v>
                </c:pt>
              </c:numCache>
            </c:numRef>
          </c:cat>
          <c:val>
            <c:numRef>
              <c:f>'TABLE 8'!$H$16:$I$16</c:f>
              <c:numCache>
                <c:formatCode>#,##0.0</c:formatCode>
                <c:ptCount val="2"/>
                <c:pt idx="0">
                  <c:v>49.534392182185719</c:v>
                </c:pt>
                <c:pt idx="1">
                  <c:v>58.150337329465046</c:v>
                </c:pt>
              </c:numCache>
            </c:numRef>
          </c:val>
          <c:extLst>
            <c:ext xmlns:c16="http://schemas.microsoft.com/office/drawing/2014/chart" uri="{C3380CC4-5D6E-409C-BE32-E72D297353CC}">
              <c16:uniqueId val="{00000002-4557-4ED6-8A96-76456E3EF145}"/>
            </c:ext>
          </c:extLst>
        </c:ser>
        <c:dLbls>
          <c:showLegendKey val="0"/>
          <c:showVal val="0"/>
          <c:showCatName val="0"/>
          <c:showSerName val="0"/>
          <c:showPercent val="0"/>
          <c:showBubbleSize val="0"/>
        </c:dLbls>
        <c:gapWidth val="150"/>
        <c:axId val="316545064"/>
        <c:axId val="316545456"/>
      </c:barChart>
      <c:catAx>
        <c:axId val="316545064"/>
        <c:scaling>
          <c:orientation val="maxMin"/>
        </c:scaling>
        <c:delete val="0"/>
        <c:axPos val="l"/>
        <c:numFmt formatCode="General" sourceLinked="1"/>
        <c:majorTickMark val="out"/>
        <c:minorTickMark val="none"/>
        <c:tickLblPos val="low"/>
        <c:crossAx val="316545456"/>
        <c:crosses val="autoZero"/>
        <c:auto val="1"/>
        <c:lblAlgn val="ctr"/>
        <c:lblOffset val="100"/>
        <c:noMultiLvlLbl val="0"/>
      </c:catAx>
      <c:valAx>
        <c:axId val="316545456"/>
        <c:scaling>
          <c:orientation val="minMax"/>
          <c:max val="75"/>
          <c:min val="-15"/>
        </c:scaling>
        <c:delete val="1"/>
        <c:axPos val="t"/>
        <c:numFmt formatCode="#,##0.0" sourceLinked="1"/>
        <c:majorTickMark val="out"/>
        <c:minorTickMark val="none"/>
        <c:tickLblPos val="none"/>
        <c:crossAx val="316545064"/>
        <c:crosses val="autoZero"/>
        <c:crossBetween val="between"/>
      </c:valAx>
      <c:spPr>
        <a:ln>
          <a:noFill/>
        </a:ln>
      </c:spPr>
    </c:plotArea>
    <c:legend>
      <c:legendPos val="t"/>
      <c:layout>
        <c:manualLayout>
          <c:xMode val="edge"/>
          <c:yMode val="edge"/>
          <c:x val="0.14498370209123543"/>
          <c:y val="0.17221653543307094"/>
          <c:w val="0.73031070900154749"/>
          <c:h val="9.7318022747156535E-2"/>
        </c:manualLayout>
      </c:layou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of Public</a:t>
            </a:r>
            <a:r>
              <a:rPr lang="en-US" sz="1000" baseline="0">
                <a:latin typeface="Arial" pitchFamily="34" charset="0"/>
                <a:cs typeface="Arial" pitchFamily="34" charset="0"/>
              </a:rPr>
              <a:t> </a:t>
            </a:r>
            <a:r>
              <a:rPr lang="en-US" sz="1000">
                <a:latin typeface="Arial" pitchFamily="34" charset="0"/>
                <a:cs typeface="Arial" pitchFamily="34" charset="0"/>
              </a:rPr>
              <a:t>School Enrollment Receiving </a:t>
            </a:r>
          </a:p>
          <a:p>
            <a:pPr>
              <a:defRPr sz="1000">
                <a:latin typeface="Arial" pitchFamily="34" charset="0"/>
                <a:cs typeface="Arial" pitchFamily="34" charset="0"/>
              </a:defRPr>
            </a:pPr>
            <a:r>
              <a:rPr lang="en-US" sz="1000">
                <a:latin typeface="Arial" pitchFamily="34" charset="0"/>
                <a:cs typeface="Arial" pitchFamily="34" charset="0"/>
              </a:rPr>
              <a:t>Free- or Reduced</a:t>
            </a:r>
            <a:r>
              <a:rPr lang="en-US" sz="1000" baseline="0">
                <a:latin typeface="Arial" pitchFamily="34" charset="0"/>
                <a:cs typeface="Arial" pitchFamily="34" charset="0"/>
              </a:rPr>
              <a:t> Price Lunch</a:t>
            </a:r>
            <a:endParaRPr lang="en-US" sz="1000">
              <a:latin typeface="Arial" pitchFamily="34" charset="0"/>
              <a:cs typeface="Arial" pitchFamily="34" charset="0"/>
            </a:endParaRPr>
          </a:p>
        </c:rich>
      </c:tx>
      <c:layout>
        <c:manualLayout>
          <c:xMode val="edge"/>
          <c:yMode val="edge"/>
          <c:x val="0.18498120780258931"/>
          <c:y val="7.1111252222504445E-2"/>
        </c:manualLayout>
      </c:layout>
      <c:overlay val="1"/>
    </c:title>
    <c:autoTitleDeleted val="0"/>
    <c:plotArea>
      <c:layout>
        <c:manualLayout>
          <c:layoutTarget val="inner"/>
          <c:xMode val="edge"/>
          <c:yMode val="edge"/>
          <c:x val="0.20472222837515947"/>
          <c:y val="0.27817102844371688"/>
          <c:w val="0.78618027964072212"/>
          <c:h val="0.66542335044482714"/>
        </c:manualLayout>
      </c:layout>
      <c:barChart>
        <c:barDir val="bar"/>
        <c:grouping val="clustered"/>
        <c:varyColors val="0"/>
        <c:ser>
          <c:idx val="0"/>
          <c:order val="0"/>
          <c:tx>
            <c:strRef>
              <c:f>'TABLE 8'!$A$9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8'!$L$8:$M$8</c:f>
              <c:strCache>
                <c:ptCount val="2"/>
                <c:pt idx="0">
                  <c:v>2004-05</c:v>
                </c:pt>
                <c:pt idx="1">
                  <c:v>2014-15</c:v>
                </c:pt>
              </c:strCache>
            </c:strRef>
          </c:cat>
          <c:val>
            <c:numRef>
              <c:f>'TABLE 8'!$L$9:$M$9</c:f>
              <c:numCache>
                <c:formatCode>#,##0.0</c:formatCode>
                <c:ptCount val="2"/>
                <c:pt idx="0">
                  <c:v>40.295260524481478</c:v>
                </c:pt>
                <c:pt idx="1">
                  <c:v>50.47932444570872</c:v>
                </c:pt>
              </c:numCache>
            </c:numRef>
          </c:val>
          <c:extLst>
            <c:ext xmlns:c16="http://schemas.microsoft.com/office/drawing/2014/chart" uri="{C3380CC4-5D6E-409C-BE32-E72D297353CC}">
              <c16:uniqueId val="{00000000-735E-4A4A-A956-FB9FB6C93256}"/>
            </c:ext>
          </c:extLst>
        </c:ser>
        <c:ser>
          <c:idx val="1"/>
          <c:order val="1"/>
          <c:tx>
            <c:strRef>
              <c:f>'TABLE 8'!$A$10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8'!$L$8:$M$8</c:f>
              <c:strCache>
                <c:ptCount val="2"/>
                <c:pt idx="0">
                  <c:v>2004-05</c:v>
                </c:pt>
                <c:pt idx="1">
                  <c:v>2014-15</c:v>
                </c:pt>
              </c:strCache>
            </c:strRef>
          </c:cat>
          <c:val>
            <c:numRef>
              <c:f>'TABLE 8'!$L$10:$M$10</c:f>
              <c:numCache>
                <c:formatCode>#,##0.0</c:formatCode>
                <c:ptCount val="2"/>
                <c:pt idx="0">
                  <c:v>47.475911801938466</c:v>
                </c:pt>
                <c:pt idx="1">
                  <c:v>56.784177900550489</c:v>
                </c:pt>
              </c:numCache>
            </c:numRef>
          </c:val>
          <c:extLst>
            <c:ext xmlns:c16="http://schemas.microsoft.com/office/drawing/2014/chart" uri="{C3380CC4-5D6E-409C-BE32-E72D297353CC}">
              <c16:uniqueId val="{00000001-735E-4A4A-A956-FB9FB6C93256}"/>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8'!$L$8:$M$8</c:f>
              <c:strCache>
                <c:ptCount val="2"/>
                <c:pt idx="0">
                  <c:v>2004-05</c:v>
                </c:pt>
                <c:pt idx="1">
                  <c:v>2014-15</c:v>
                </c:pt>
              </c:strCache>
            </c:strRef>
          </c:cat>
          <c:val>
            <c:numRef>
              <c:f>'TABLE 8'!$L$16:$M$16</c:f>
              <c:numCache>
                <c:formatCode>#,##0.0</c:formatCode>
                <c:ptCount val="2"/>
                <c:pt idx="0">
                  <c:v>47.880793209886477</c:v>
                </c:pt>
                <c:pt idx="1">
                  <c:v>62.409132574005255</c:v>
                </c:pt>
              </c:numCache>
            </c:numRef>
          </c:val>
          <c:extLst>
            <c:ext xmlns:c16="http://schemas.microsoft.com/office/drawing/2014/chart" uri="{C3380CC4-5D6E-409C-BE32-E72D297353CC}">
              <c16:uniqueId val="{00000002-735E-4A4A-A956-FB9FB6C93256}"/>
            </c:ext>
          </c:extLst>
        </c:ser>
        <c:dLbls>
          <c:showLegendKey val="0"/>
          <c:showVal val="0"/>
          <c:showCatName val="0"/>
          <c:showSerName val="0"/>
          <c:showPercent val="0"/>
          <c:showBubbleSize val="0"/>
        </c:dLbls>
        <c:gapWidth val="150"/>
        <c:axId val="166273512"/>
        <c:axId val="318885640"/>
      </c:barChart>
      <c:catAx>
        <c:axId val="166273512"/>
        <c:scaling>
          <c:orientation val="maxMin"/>
        </c:scaling>
        <c:delete val="0"/>
        <c:axPos val="l"/>
        <c:numFmt formatCode="General" sourceLinked="1"/>
        <c:majorTickMark val="out"/>
        <c:minorTickMark val="none"/>
        <c:tickLblPos val="low"/>
        <c:crossAx val="318885640"/>
        <c:crosses val="autoZero"/>
        <c:auto val="1"/>
        <c:lblAlgn val="ctr"/>
        <c:lblOffset val="100"/>
        <c:noMultiLvlLbl val="0"/>
      </c:catAx>
      <c:valAx>
        <c:axId val="318885640"/>
        <c:scaling>
          <c:orientation val="minMax"/>
          <c:max val="75"/>
          <c:min val="-15"/>
        </c:scaling>
        <c:delete val="1"/>
        <c:axPos val="t"/>
        <c:numFmt formatCode="#,##0.0" sourceLinked="1"/>
        <c:majorTickMark val="out"/>
        <c:minorTickMark val="none"/>
        <c:tickLblPos val="none"/>
        <c:crossAx val="166273512"/>
        <c:crosses val="autoZero"/>
        <c:crossBetween val="between"/>
      </c:valAx>
      <c:spPr>
        <a:ln>
          <a:noFill/>
        </a:ln>
      </c:spPr>
    </c:plotArea>
    <c:legend>
      <c:legendPos val="t"/>
      <c:layout>
        <c:manualLayout>
          <c:xMode val="edge"/>
          <c:yMode val="edge"/>
          <c:x val="0.14498370209123426"/>
          <c:y val="0.21106528542874398"/>
          <c:w val="0.73031070900154749"/>
          <c:h val="9.7318177969689251E-2"/>
        </c:manualLayout>
      </c:layout>
      <c:overlay val="0"/>
    </c:legend>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22</xdr:col>
      <xdr:colOff>407378</xdr:colOff>
      <xdr:row>33</xdr:row>
      <xdr:rowOff>96187</xdr:rowOff>
    </xdr:from>
    <xdr:to>
      <xdr:col>26</xdr:col>
      <xdr:colOff>466911</xdr:colOff>
      <xdr:row>45</xdr:row>
      <xdr:rowOff>98831</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14199578" y="5601637"/>
          <a:ext cx="2650333" cy="1945744"/>
        </a:xfrm>
        <a:prstGeom prst="wedgeEllipseCallout">
          <a:avLst>
            <a:gd name="adj1" fmla="val -118017"/>
            <a:gd name="adj2" fmla="val 9556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twoCellAnchor>
    <xdr:from>
      <xdr:col>15</xdr:col>
      <xdr:colOff>514350</xdr:colOff>
      <xdr:row>1</xdr:row>
      <xdr:rowOff>0</xdr:rowOff>
    </xdr:from>
    <xdr:to>
      <xdr:col>22</xdr:col>
      <xdr:colOff>390525</xdr:colOff>
      <xdr:row>15</xdr:row>
      <xdr:rowOff>28575</xdr:rowOff>
    </xdr:to>
    <xdr:graphicFrame macro="">
      <xdr:nvGraphicFramePr>
        <xdr:cNvPr id="2080" name="Chart 3">
          <a:extLst>
            <a:ext uri="{FF2B5EF4-FFF2-40B4-BE49-F238E27FC236}">
              <a16:creationId xmlns:a16="http://schemas.microsoft.com/office/drawing/2014/main" id="{00000000-0008-0000-0000-00002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523875</xdr:colOff>
      <xdr:row>15</xdr:row>
      <xdr:rowOff>152400</xdr:rowOff>
    </xdr:from>
    <xdr:to>
      <xdr:col>22</xdr:col>
      <xdr:colOff>400050</xdr:colOff>
      <xdr:row>30</xdr:row>
      <xdr:rowOff>119062</xdr:rowOff>
    </xdr:to>
    <xdr:graphicFrame macro="">
      <xdr:nvGraphicFramePr>
        <xdr:cNvPr id="2082" name="Chart 3">
          <a:extLst>
            <a:ext uri="{FF2B5EF4-FFF2-40B4-BE49-F238E27FC236}">
              <a16:creationId xmlns:a16="http://schemas.microsoft.com/office/drawing/2014/main" id="{00000000-0008-0000-0000-00002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514350</xdr:colOff>
      <xdr:row>32</xdr:row>
      <xdr:rowOff>40481</xdr:rowOff>
    </xdr:from>
    <xdr:to>
      <xdr:col>22</xdr:col>
      <xdr:colOff>390525</xdr:colOff>
      <xdr:row>46</xdr:row>
      <xdr:rowOff>61913</xdr:rowOff>
    </xdr:to>
    <xdr:graphicFrame macro="">
      <xdr:nvGraphicFramePr>
        <xdr:cNvPr id="2083" name="Chart 3">
          <a:extLst>
            <a:ext uri="{FF2B5EF4-FFF2-40B4-BE49-F238E27FC236}">
              <a16:creationId xmlns:a16="http://schemas.microsoft.com/office/drawing/2014/main" id="{00000000-0008-0000-0000-00002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299445</xdr:colOff>
      <xdr:row>3</xdr:row>
      <xdr:rowOff>115173</xdr:rowOff>
    </xdr:from>
    <xdr:to>
      <xdr:col>25</xdr:col>
      <xdr:colOff>476337</xdr:colOff>
      <xdr:row>19</xdr:row>
      <xdr:rowOff>46337</xdr:rowOff>
    </xdr:to>
    <xdr:sp macro="" textlink="">
      <xdr:nvSpPr>
        <xdr:cNvPr id="7" name="Oval Callout 6">
          <a:extLst>
            <a:ext uri="{FF2B5EF4-FFF2-40B4-BE49-F238E27FC236}">
              <a16:creationId xmlns:a16="http://schemas.microsoft.com/office/drawing/2014/main" id="{00000000-0008-0000-0000-000007000000}"/>
            </a:ext>
          </a:extLst>
        </xdr:cNvPr>
        <xdr:cNvSpPr/>
      </xdr:nvSpPr>
      <xdr:spPr>
        <a:xfrm>
          <a:off x="14713945" y="591423"/>
          <a:ext cx="1468059" cy="2651081"/>
        </a:xfrm>
        <a:prstGeom prst="wedgeEllipseCallout">
          <a:avLst>
            <a:gd name="adj1" fmla="val -227587"/>
            <a:gd name="adj2" fmla="val 13158"/>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state bar to see state highlighted to left.  Move highlight box from state to state to change view.</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43</xdr:col>
      <xdr:colOff>638175</xdr:colOff>
      <xdr:row>2</xdr:row>
      <xdr:rowOff>133350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501390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44</xdr:col>
      <xdr:colOff>638175</xdr:colOff>
      <xdr:row>2</xdr:row>
      <xdr:rowOff>133350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501390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44</xdr:col>
      <xdr:colOff>638175</xdr:colOff>
      <xdr:row>2</xdr:row>
      <xdr:rowOff>133350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501390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45</xdr:col>
      <xdr:colOff>638175</xdr:colOff>
      <xdr:row>2</xdr:row>
      <xdr:rowOff>133350</xdr:rowOff>
    </xdr:from>
    <xdr:ext cx="184731" cy="264560"/>
    <xdr:sp macro="" textlink="">
      <xdr:nvSpPr>
        <xdr:cNvPr id="5" name="TextBox 4">
          <a:extLst>
            <a:ext uri="{FF2B5EF4-FFF2-40B4-BE49-F238E27FC236}">
              <a16:creationId xmlns:a16="http://schemas.microsoft.com/office/drawing/2014/main" id="{D30C7DE8-8521-41A1-96D8-5305925D0CD7}"/>
            </a:ext>
          </a:extLst>
        </xdr:cNvPr>
        <xdr:cNvSpPr txBox="1"/>
      </xdr:nvSpPr>
      <xdr:spPr>
        <a:xfrm>
          <a:off x="357949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45</xdr:col>
      <xdr:colOff>638175</xdr:colOff>
      <xdr:row>2</xdr:row>
      <xdr:rowOff>133350</xdr:rowOff>
    </xdr:from>
    <xdr:ext cx="184731" cy="264560"/>
    <xdr:sp macro="" textlink="">
      <xdr:nvSpPr>
        <xdr:cNvPr id="6" name="TextBox 5">
          <a:extLst>
            <a:ext uri="{FF2B5EF4-FFF2-40B4-BE49-F238E27FC236}">
              <a16:creationId xmlns:a16="http://schemas.microsoft.com/office/drawing/2014/main" id="{E7667742-B324-4770-85A2-7A2B47D19DEC}"/>
            </a:ext>
          </a:extLst>
        </xdr:cNvPr>
        <xdr:cNvSpPr txBox="1"/>
      </xdr:nvSpPr>
      <xdr:spPr>
        <a:xfrm>
          <a:off x="357949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FB08%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7"/>
      <sheetName val="TAB42"/>
      <sheetName val="new projections"/>
      <sheetName val="test"/>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indexed="16"/>
    <pageSetUpPr fitToPage="1"/>
  </sheetPr>
  <dimension ref="A1:AB122"/>
  <sheetViews>
    <sheetView showGridLines="0" view="pageBreakPreview" topLeftCell="A43" zoomScaleNormal="100" zoomScaleSheetLayoutView="100" workbookViewId="0">
      <selection activeCell="O76" sqref="O76"/>
    </sheetView>
  </sheetViews>
  <sheetFormatPr defaultColWidth="9.7109375" defaultRowHeight="12.75"/>
  <cols>
    <col min="1" max="1" width="8.28515625" style="1" customWidth="1"/>
    <col min="2" max="3" width="12.42578125" style="1" customWidth="1"/>
    <col min="4" max="9" width="9.7109375" style="1" customWidth="1"/>
    <col min="10" max="10" width="7.7109375" style="1" customWidth="1"/>
    <col min="11" max="11" width="7.85546875" style="8" customWidth="1"/>
    <col min="12" max="12" width="8.140625" style="60" customWidth="1"/>
    <col min="13" max="13" width="7.7109375" style="60" customWidth="1"/>
    <col min="14" max="14" width="8.42578125" style="60" customWidth="1"/>
    <col min="15" max="15" width="12.140625" style="70" customWidth="1"/>
    <col min="16" max="16384" width="9.7109375" style="1"/>
  </cols>
  <sheetData>
    <row r="1" spans="1:28">
      <c r="A1" s="15" t="s">
        <v>302</v>
      </c>
      <c r="B1" s="16"/>
      <c r="C1" s="16"/>
      <c r="D1" s="16"/>
      <c r="E1" s="16"/>
      <c r="F1" s="16"/>
      <c r="G1" s="16"/>
      <c r="H1" s="16"/>
      <c r="I1" s="16"/>
      <c r="J1" s="16"/>
      <c r="L1" s="58"/>
      <c r="M1" s="58"/>
      <c r="N1" s="58"/>
      <c r="O1" s="39"/>
    </row>
    <row r="2" spans="1:28">
      <c r="A2" s="15" t="s">
        <v>219</v>
      </c>
      <c r="B2" s="16"/>
      <c r="C2" s="16"/>
      <c r="D2" s="16"/>
      <c r="E2" s="16"/>
      <c r="F2" s="16"/>
      <c r="G2" s="16"/>
      <c r="H2" s="16"/>
      <c r="I2" s="16"/>
      <c r="J2" s="16"/>
      <c r="L2" s="58"/>
      <c r="M2" s="58"/>
      <c r="N2" s="58"/>
      <c r="O2" s="39"/>
    </row>
    <row r="3" spans="1:28">
      <c r="A3" s="461"/>
      <c r="B3" s="461"/>
      <c r="C3" s="461"/>
      <c r="D3" s="461"/>
      <c r="E3" s="461"/>
      <c r="F3" s="178"/>
      <c r="G3" s="10"/>
      <c r="H3" s="10"/>
      <c r="I3" s="10"/>
      <c r="J3" s="10"/>
      <c r="K3" s="63"/>
      <c r="L3" s="59"/>
      <c r="M3" s="59"/>
      <c r="N3" s="59"/>
      <c r="O3" s="59"/>
    </row>
    <row r="4" spans="1:28" s="74" customFormat="1" ht="15" customHeight="1">
      <c r="A4" s="56"/>
      <c r="B4" s="56"/>
      <c r="C4" s="233" t="s">
        <v>266</v>
      </c>
      <c r="D4" s="233"/>
      <c r="E4" s="234"/>
      <c r="F4" s="88"/>
      <c r="G4" s="235"/>
      <c r="H4" s="239"/>
      <c r="I4" s="224"/>
      <c r="J4" s="229"/>
      <c r="K4" s="100"/>
      <c r="L4" s="517"/>
      <c r="M4" s="518"/>
      <c r="N4" s="518"/>
      <c r="O4" s="518"/>
    </row>
    <row r="5" spans="1:28" ht="15" customHeight="1">
      <c r="A5" s="3"/>
      <c r="B5" s="3"/>
      <c r="C5" s="42"/>
      <c r="D5" s="101" t="s">
        <v>169</v>
      </c>
      <c r="E5" s="102"/>
      <c r="F5" s="88" t="s">
        <v>271</v>
      </c>
      <c r="G5" s="235"/>
      <c r="H5" s="101" t="s">
        <v>169</v>
      </c>
      <c r="I5" s="42"/>
      <c r="J5" s="289"/>
      <c r="K5" s="102"/>
      <c r="L5" s="519" t="s">
        <v>290</v>
      </c>
      <c r="M5" s="520"/>
      <c r="N5" s="520"/>
      <c r="O5" s="520"/>
    </row>
    <row r="6" spans="1:28" ht="15" customHeight="1">
      <c r="A6" s="3"/>
      <c r="B6" s="3"/>
      <c r="C6" s="42"/>
      <c r="D6" s="101"/>
      <c r="E6" s="42"/>
      <c r="F6" s="232" t="s">
        <v>269</v>
      </c>
      <c r="G6" s="288" t="s">
        <v>270</v>
      </c>
      <c r="H6" s="226" t="s">
        <v>275</v>
      </c>
      <c r="I6" s="227"/>
      <c r="J6" s="228"/>
      <c r="K6" s="97"/>
      <c r="L6" s="232" t="s">
        <v>305</v>
      </c>
      <c r="M6" s="507"/>
      <c r="N6" s="507"/>
      <c r="O6" s="507"/>
    </row>
    <row r="7" spans="1:28" ht="15" customHeight="1">
      <c r="A7" s="3"/>
      <c r="B7" s="3"/>
      <c r="C7" s="412"/>
      <c r="D7" s="99" t="s">
        <v>232</v>
      </c>
      <c r="E7" s="230"/>
      <c r="F7" s="223" t="s">
        <v>343</v>
      </c>
      <c r="G7" s="231" t="s">
        <v>344</v>
      </c>
      <c r="H7" s="101" t="s">
        <v>169</v>
      </c>
      <c r="I7" s="102" t="s">
        <v>169</v>
      </c>
      <c r="J7" s="99" t="s">
        <v>232</v>
      </c>
      <c r="K7" s="240"/>
      <c r="L7" s="101" t="s">
        <v>169</v>
      </c>
      <c r="M7" s="42" t="s">
        <v>169</v>
      </c>
      <c r="N7" s="98" t="s">
        <v>232</v>
      </c>
      <c r="O7" s="227"/>
    </row>
    <row r="8" spans="1:28" s="60" customFormat="1" ht="15" customHeight="1">
      <c r="A8" s="61"/>
      <c r="B8" s="61"/>
      <c r="C8" s="508" t="s">
        <v>342</v>
      </c>
      <c r="D8" s="500">
        <v>2004</v>
      </c>
      <c r="E8" s="501">
        <v>2014</v>
      </c>
      <c r="F8" s="502">
        <v>2014</v>
      </c>
      <c r="G8" s="503">
        <v>2024</v>
      </c>
      <c r="H8" s="504">
        <v>2004</v>
      </c>
      <c r="I8" s="505">
        <v>2014</v>
      </c>
      <c r="J8" s="500">
        <v>2004</v>
      </c>
      <c r="K8" s="501">
        <v>2014</v>
      </c>
      <c r="L8" s="500" t="s">
        <v>280</v>
      </c>
      <c r="M8" s="506" t="s">
        <v>341</v>
      </c>
      <c r="N8" s="500" t="s">
        <v>280</v>
      </c>
      <c r="O8" s="506" t="s">
        <v>341</v>
      </c>
      <c r="P8" s="64"/>
      <c r="Q8" s="64"/>
      <c r="R8" s="64"/>
      <c r="S8" s="64"/>
      <c r="T8" s="64"/>
      <c r="U8" s="64"/>
      <c r="V8" s="64"/>
    </row>
    <row r="9" spans="1:28">
      <c r="A9" s="119" t="s">
        <v>243</v>
      </c>
      <c r="B9" s="119"/>
      <c r="C9" s="179">
        <f>'Public PreK-12 Enrollment'!AU4</f>
        <v>50312581</v>
      </c>
      <c r="D9" s="219"/>
      <c r="E9" s="179"/>
      <c r="F9" s="175">
        <f>(('Public PreK-12 Enrollment'!AU4-'Public PreK-12 Enrollment'!AK4)/'Public PreK-12 Enrollment'!AK4)*100</f>
        <v>3.1091331950622871</v>
      </c>
      <c r="G9" s="128">
        <f>(('Public PreK-12 Enrollment'!BG4-'Public PreK-12 Enrollment'!AU4)/'Public PreK-12 Enrollment'!AU4)*100</f>
        <v>3.5782680280306032</v>
      </c>
      <c r="H9" s="206">
        <f>'Public Minority Rep'!BR6</f>
        <v>42.06542495990108</v>
      </c>
      <c r="I9" s="128">
        <f>'Public Minority Rep'!GX6</f>
        <v>39.477579176468801</v>
      </c>
      <c r="J9" s="214"/>
      <c r="K9" s="119"/>
      <c r="L9" s="221">
        <f>+'NCES Public Free-Reduced Lunch '!AJ4</f>
        <v>40.295260524481478</v>
      </c>
      <c r="M9" s="128">
        <f>+'NCES Public Free-Reduced Lunch '!AT4</f>
        <v>50.47932444570872</v>
      </c>
      <c r="N9" s="219"/>
      <c r="O9" s="119"/>
    </row>
    <row r="10" spans="1:28">
      <c r="A10" s="120" t="s">
        <v>108</v>
      </c>
      <c r="B10" s="120"/>
      <c r="C10" s="180">
        <f>'Public PreK-12 Enrollment'!AU5</f>
        <v>19425235</v>
      </c>
      <c r="D10" s="215"/>
      <c r="E10" s="180"/>
      <c r="F10" s="387">
        <f>(('Public PreK-12 Enrollment'!AU5-'Public PreK-12 Enrollment'!AK5)/'Public PreK-12 Enrollment'!AK5)*100</f>
        <v>9.0369763067902475</v>
      </c>
      <c r="G10" s="129">
        <f>(('Public PreK-12 Enrollment'!BG5-'Public PreK-12 Enrollment'!AU5)/'Public PreK-12 Enrollment'!AU5)*100</f>
        <v>5.3943491545919517</v>
      </c>
      <c r="H10" s="207">
        <f>'Public Minority Rep'!BR7</f>
        <v>43.202899274798042</v>
      </c>
      <c r="I10" s="129">
        <f>'Public Minority Rep'!GX7</f>
        <v>51.417504086823143</v>
      </c>
      <c r="J10" s="215"/>
      <c r="K10" s="120"/>
      <c r="L10" s="207">
        <f>+'NCES Public Free-Reduced Lunch '!AJ5</f>
        <v>47.475911801938466</v>
      </c>
      <c r="M10" s="129">
        <f>+'NCES Public Free-Reduced Lunch '!AT5</f>
        <v>56.784177900550489</v>
      </c>
      <c r="N10" s="215"/>
      <c r="O10" s="120"/>
    </row>
    <row r="11" spans="1:28">
      <c r="A11" s="120" t="s">
        <v>248</v>
      </c>
      <c r="B11" s="120"/>
      <c r="C11" s="186">
        <f>'Public PreK-12 Enrollment'!AU6</f>
        <v>38.609100574665412</v>
      </c>
      <c r="D11" s="215"/>
      <c r="E11" s="398"/>
      <c r="F11" s="207"/>
      <c r="G11" s="129"/>
      <c r="H11" s="207"/>
      <c r="I11" s="129"/>
      <c r="J11" s="215"/>
      <c r="K11" s="120"/>
      <c r="L11" s="209"/>
      <c r="M11" s="131"/>
      <c r="N11" s="215"/>
      <c r="O11" s="120"/>
      <c r="AB11" s="1" t="s">
        <v>169</v>
      </c>
    </row>
    <row r="12" spans="1:28">
      <c r="A12" s="121" t="s">
        <v>85</v>
      </c>
      <c r="B12" s="121"/>
      <c r="C12" s="181">
        <f>'Public PreK-12 Enrollment'!AU14</f>
        <v>744164</v>
      </c>
      <c r="D12" s="121">
        <f>RANK('Public PreK-12 Enrollment'!AK14,'Public PreK-12 Enrollment'!$AK$14:$AK$67,0)</f>
        <v>23</v>
      </c>
      <c r="E12" s="121">
        <f>RANK('Public PreK-12 Enrollment'!AU14,'Public PreK-12 Enrollment'!$AU$14:$AU$67)</f>
        <v>24</v>
      </c>
      <c r="F12" s="208">
        <f>(('Public PreK-12 Enrollment'!AU14-'Public PreK-12 Enrollment'!AK14)/'Public PreK-12 Enrollment'!AK14)*100</f>
        <v>1.920727531706248</v>
      </c>
      <c r="G12" s="130">
        <f>(('Public PreK-12 Enrollment'!BG14-'Public PreK-12 Enrollment'!AU14)/'Public PreK-12 Enrollment'!AU14)*100</f>
        <v>-4.2146623593723964</v>
      </c>
      <c r="H12" s="208">
        <f>'Public Minority Rep'!BR16</f>
        <v>40.31980168186923</v>
      </c>
      <c r="I12" s="130">
        <f>'Public Minority Rep'!GX16</f>
        <v>43.719126429120458</v>
      </c>
      <c r="J12" s="216">
        <f>RANK('Public Minority Rep'!BR16,'Public Minority Rep'!$BR$16:$BR$69)</f>
        <v>19</v>
      </c>
      <c r="K12" s="121">
        <f>RANK('Public Minority Rep'!GX16,'Public Minority Rep'!$GX$16:$GX$69)</f>
        <v>21</v>
      </c>
      <c r="L12" s="208">
        <f>+'NCES Public Free-Reduced Lunch '!AJ11</f>
        <v>52.203465034213572</v>
      </c>
      <c r="M12" s="130">
        <f>+'NCES Public Free-Reduced Lunch '!AT11</f>
        <v>51.733891991550252</v>
      </c>
      <c r="N12" s="216">
        <f>RANK('NCES Public Free-Reduced Lunch '!AJ11,'NCES Public Free-Reduced Lunch '!$AJ$11:$AJ$64)</f>
        <v>8</v>
      </c>
      <c r="O12" s="399">
        <f>RANK('NCES Public Free-Reduced Lunch '!AT11,'NCES Public Free-Reduced Lunch '!$AT$11:$AT$64)</f>
        <v>17</v>
      </c>
    </row>
    <row r="13" spans="1:28">
      <c r="A13" s="121" t="s">
        <v>86</v>
      </c>
      <c r="B13" s="121"/>
      <c r="C13" s="181">
        <f>'Public PreK-12 Enrollment'!AU15</f>
        <v>490917</v>
      </c>
      <c r="D13" s="121">
        <f>RANK('Public PreK-12 Enrollment'!AK15,'Public PreK-12 Enrollment'!$AK$14:$AK$67,0)</f>
        <v>34</v>
      </c>
      <c r="E13" s="121">
        <f>RANK('Public PreK-12 Enrollment'!AU15,'Public PreK-12 Enrollment'!$AU$14:$AU$67)</f>
        <v>33</v>
      </c>
      <c r="F13" s="208">
        <f>(('Public PreK-12 Enrollment'!AU15-'Public PreK-12 Enrollment'!AK15)/'Public PreK-12 Enrollment'!AK15)*100</f>
        <v>6.0032605292421968</v>
      </c>
      <c r="G13" s="130">
        <f>(('Public PreK-12 Enrollment'!BG15-'Public PreK-12 Enrollment'!AU15)/'Public PreK-12 Enrollment'!AU15)*100</f>
        <v>-0.4719738774579002</v>
      </c>
      <c r="H13" s="208">
        <f>'Public Minority Rep'!BR17</f>
        <v>30.842879198471216</v>
      </c>
      <c r="I13" s="130">
        <f>'Public Minority Rep'!GX17</f>
        <v>37.574376116532932</v>
      </c>
      <c r="J13" s="216">
        <f>RANK('Public Minority Rep'!BR17,'Public Minority Rep'!$BR$16:$BR$69)</f>
        <v>24</v>
      </c>
      <c r="K13" s="121">
        <f>RANK('Public Minority Rep'!GX17,'Public Minority Rep'!$GX$16:$GX$69)</f>
        <v>25</v>
      </c>
      <c r="L13" s="208">
        <f>+'NCES Public Free-Reduced Lunch '!AJ12</f>
        <v>51.898315990853362</v>
      </c>
      <c r="M13" s="130">
        <f>+'NCES Public Free-Reduced Lunch '!AT12</f>
        <v>62.262459845554339</v>
      </c>
      <c r="N13" s="216">
        <f>RANK('NCES Public Free-Reduced Lunch '!AJ12,'NCES Public Free-Reduced Lunch '!$AJ$11:$AJ$64)</f>
        <v>9</v>
      </c>
      <c r="O13" s="399">
        <f>RANK('NCES Public Free-Reduced Lunch '!AT12,'NCES Public Free-Reduced Lunch '!$AT$11:$AT$64)</f>
        <v>5</v>
      </c>
    </row>
    <row r="14" spans="1:28">
      <c r="A14" s="121" t="s">
        <v>106</v>
      </c>
      <c r="B14" s="121"/>
      <c r="C14" s="181">
        <f>'Public PreK-12 Enrollment'!AU16</f>
        <v>134042</v>
      </c>
      <c r="D14" s="121">
        <f>RANK('Public PreK-12 Enrollment'!AK16,'Public PreK-12 Enrollment'!$AK$14:$AK$67,0)</f>
        <v>47</v>
      </c>
      <c r="E14" s="121">
        <f>RANK('Public PreK-12 Enrollment'!AU16,'Public PreK-12 Enrollment'!$AU$14:$AU$67)</f>
        <v>45</v>
      </c>
      <c r="F14" s="208">
        <f>(('Public PreK-12 Enrollment'!AU16-'Public PreK-12 Enrollment'!AK16)/'Public PreK-12 Enrollment'!AK16)*100</f>
        <v>12.554265225751738</v>
      </c>
      <c r="G14" s="130">
        <f>(('Public PreK-12 Enrollment'!BG16-'Public PreK-12 Enrollment'!AU16)/'Public PreK-12 Enrollment'!AU16)*100</f>
        <v>4.5194789692782855</v>
      </c>
      <c r="H14" s="208">
        <f>'Public Minority Rep'!BR18</f>
        <v>43.811874952767205</v>
      </c>
      <c r="I14" s="130">
        <f>'Public Minority Rep'!GX18</f>
        <v>53.399680697094936</v>
      </c>
      <c r="J14" s="216">
        <f>RANK('Public Minority Rep'!BR18,'Public Minority Rep'!$BR$16:$BR$69)</f>
        <v>14</v>
      </c>
      <c r="K14" s="121">
        <f>RANK('Public Minority Rep'!GX18,'Public Minority Rep'!$GX$16:$GX$69)</f>
        <v>13</v>
      </c>
      <c r="L14" s="208">
        <f>+'NCES Public Free-Reduced Lunch '!AJ13</f>
        <v>35.612262891402374</v>
      </c>
      <c r="M14" s="130">
        <f>+'NCES Public Free-Reduced Lunch '!AT13</f>
        <v>37.00183524566927</v>
      </c>
      <c r="N14" s="216">
        <f>RANK('NCES Public Free-Reduced Lunch '!AJ13,'NCES Public Free-Reduced Lunch '!$AJ$11:$AJ$64)</f>
        <v>26</v>
      </c>
      <c r="O14" s="399">
        <f>RANK('NCES Public Free-Reduced Lunch '!AT13,'NCES Public Free-Reduced Lunch '!$AT$11:$AT$64)</f>
        <v>45</v>
      </c>
    </row>
    <row r="15" spans="1:28">
      <c r="A15" s="121" t="s">
        <v>87</v>
      </c>
      <c r="B15" s="121"/>
      <c r="C15" s="181">
        <f>'Public PreK-12 Enrollment'!AU17</f>
        <v>2756944</v>
      </c>
      <c r="D15" s="121">
        <f>RANK('Public PreK-12 Enrollment'!AK17,'Public PreK-12 Enrollment'!$AK$14:$AK$67,0)</f>
        <v>4</v>
      </c>
      <c r="E15" s="121">
        <f>RANK('Public PreK-12 Enrollment'!AU17,'Public PreK-12 Enrollment'!$AU$14:$AU$67)</f>
        <v>3</v>
      </c>
      <c r="F15" s="208">
        <f>(('Public PreK-12 Enrollment'!AU17-'Public PreK-12 Enrollment'!AK17)/'Public PreK-12 Enrollment'!AK17)*100</f>
        <v>4.455969228624169</v>
      </c>
      <c r="G15" s="130">
        <f>(('Public PreK-12 Enrollment'!BG17-'Public PreK-12 Enrollment'!AU17)/'Public PreK-12 Enrollment'!AU17)*100</f>
        <v>10.005861562657783</v>
      </c>
      <c r="H15" s="208">
        <f>'Public Minority Rep'!BR19</f>
        <v>49.479376631092066</v>
      </c>
      <c r="I15" s="130">
        <f>'Public Minority Rep'!GX19</f>
        <v>59.799255987789373</v>
      </c>
      <c r="J15" s="216">
        <f>RANK('Public Minority Rep'!BR19,'Public Minority Rep'!$BR$16:$BR$69)</f>
        <v>11</v>
      </c>
      <c r="K15" s="121">
        <f>RANK('Public Minority Rep'!GX19,'Public Minority Rep'!$GX$16:$GX$69)</f>
        <v>8</v>
      </c>
      <c r="L15" s="208">
        <f>+'NCES Public Free-Reduced Lunch '!AJ14</f>
        <v>47.360061591995468</v>
      </c>
      <c r="M15" s="130">
        <f>+'NCES Public Free-Reduced Lunch '!AT14</f>
        <v>58.378371123969153</v>
      </c>
      <c r="N15" s="216">
        <f>RANK('NCES Public Free-Reduced Lunch '!AJ14,'NCES Public Free-Reduced Lunch '!$AJ$11:$AJ$64)</f>
        <v>14</v>
      </c>
      <c r="O15" s="399">
        <f>RANK('NCES Public Free-Reduced Lunch '!AT14,'NCES Public Free-Reduced Lunch '!$AT$11:$AT$64)</f>
        <v>9</v>
      </c>
    </row>
    <row r="16" spans="1:28">
      <c r="A16" s="122" t="s">
        <v>88</v>
      </c>
      <c r="B16" s="122"/>
      <c r="C16" s="180">
        <f>'Public PreK-12 Enrollment'!AU18</f>
        <v>1744437</v>
      </c>
      <c r="D16" s="120">
        <f>RANK('Public PreK-12 Enrollment'!AK18,'Public PreK-12 Enrollment'!$AK$14:$AK$67,0)</f>
        <v>9</v>
      </c>
      <c r="E16" s="120">
        <f>RANK('Public PreK-12 Enrollment'!AU18,'Public PreK-12 Enrollment'!$AU$14:$AU$67)</f>
        <v>6</v>
      </c>
      <c r="F16" s="207">
        <f>(('Public PreK-12 Enrollment'!AU18-'Public PreK-12 Enrollment'!AK18)/'Public PreK-12 Enrollment'!AK18)*100</f>
        <v>12.295316771777678</v>
      </c>
      <c r="G16" s="129">
        <f>(('Public PreK-12 Enrollment'!BG18-'Public PreK-12 Enrollment'!AU18)/'Public PreK-12 Enrollment'!AU18)*100</f>
        <v>3.7412070484632007</v>
      </c>
      <c r="H16" s="207">
        <f>'Public Minority Rep'!BR20</f>
        <v>49.534392182185719</v>
      </c>
      <c r="I16" s="129">
        <f>'Public Minority Rep'!GX20</f>
        <v>58.150337329465046</v>
      </c>
      <c r="J16" s="215">
        <f>RANK('Public Minority Rep'!BR20,'Public Minority Rep'!$BR$16:$BR$69)</f>
        <v>10</v>
      </c>
      <c r="K16" s="120">
        <f>RANK('Public Minority Rep'!GX20,'Public Minority Rep'!$GX$16:$GX$69)</f>
        <v>9</v>
      </c>
      <c r="L16" s="207">
        <f>+'NCES Public Free-Reduced Lunch '!AJ15</f>
        <v>47.880793209886477</v>
      </c>
      <c r="M16" s="129">
        <f>+'NCES Public Free-Reduced Lunch '!AT15</f>
        <v>62.409132574005255</v>
      </c>
      <c r="N16" s="215">
        <f>RANK('NCES Public Free-Reduced Lunch '!AJ15,'NCES Public Free-Reduced Lunch '!$AJ$11:$AJ$64)</f>
        <v>12</v>
      </c>
      <c r="O16" s="398">
        <f>RANK('NCES Public Free-Reduced Lunch '!AT15,'NCES Public Free-Reduced Lunch '!$AT$11:$AT$64)</f>
        <v>4</v>
      </c>
    </row>
    <row r="17" spans="1:15">
      <c r="A17" s="122" t="s">
        <v>89</v>
      </c>
      <c r="B17" s="122"/>
      <c r="C17" s="180">
        <f>'Public PreK-12 Enrollment'!AU19</f>
        <v>688640</v>
      </c>
      <c r="D17" s="120">
        <f>RANK('Public PreK-12 Enrollment'!AK19,'Public PreK-12 Enrollment'!$AK$14:$AK$67,0)</f>
        <v>26</v>
      </c>
      <c r="E17" s="120">
        <f>RANK('Public PreK-12 Enrollment'!AU19,'Public PreK-12 Enrollment'!$AU$14:$AU$67)</f>
        <v>26</v>
      </c>
      <c r="F17" s="207">
        <f>(('Public PreK-12 Enrollment'!AU19-'Public PreK-12 Enrollment'!AK19)/'Public PreK-12 Enrollment'!AK19)*100</f>
        <v>2.0515829969353701</v>
      </c>
      <c r="G17" s="129">
        <f>(('Public PreK-12 Enrollment'!BG19-'Public PreK-12 Enrollment'!AU19)/'Public PreK-12 Enrollment'!AU19)*100</f>
        <v>-2.9246050185873607</v>
      </c>
      <c r="H17" s="207">
        <f>'Public Minority Rep'!BR21</f>
        <v>13.350866725285769</v>
      </c>
      <c r="I17" s="129">
        <f>'Public Minority Rep'!GX21</f>
        <v>21.050040659851298</v>
      </c>
      <c r="J17" s="215">
        <f>RANK('Public Minority Rep'!BR21,'Public Minority Rep'!$BR$16:$BR$69)</f>
        <v>44</v>
      </c>
      <c r="K17" s="120">
        <f>RANK('Public Minority Rep'!GX21,'Public Minority Rep'!$GX$16:$GX$69)</f>
        <v>43</v>
      </c>
      <c r="L17" s="459" t="str">
        <f>+'NCES Public Free-Reduced Lunch '!AJ16</f>
        <v>—</v>
      </c>
      <c r="M17" s="129">
        <f>+'NCES Public Free-Reduced Lunch '!AT16</f>
        <v>56.882260687732341</v>
      </c>
      <c r="N17" s="514" t="s">
        <v>318</v>
      </c>
      <c r="O17" s="398">
        <f>RANK('NCES Public Free-Reduced Lunch '!AT16,'NCES Public Free-Reduced Lunch '!$AT$11:$AT$64)</f>
        <v>11</v>
      </c>
    </row>
    <row r="18" spans="1:15">
      <c r="A18" s="122" t="s">
        <v>90</v>
      </c>
      <c r="B18" s="122"/>
      <c r="C18" s="180">
        <f>'Public PreK-12 Enrollment'!AU20</f>
        <v>716800</v>
      </c>
      <c r="D18" s="120">
        <f>RANK('Public PreK-12 Enrollment'!AK20,'Public PreK-12 Enrollment'!$AK$14:$AK$67,0)</f>
        <v>24</v>
      </c>
      <c r="E18" s="120">
        <f>RANK('Public PreK-12 Enrollment'!AU20,'Public PreK-12 Enrollment'!$AU$14:$AU$67)</f>
        <v>25</v>
      </c>
      <c r="F18" s="207">
        <f>(('Public PreK-12 Enrollment'!AU20-'Public PreK-12 Enrollment'!AK20)/'Public PreK-12 Enrollment'!AK20)*100</f>
        <v>-1.0328864073474247</v>
      </c>
      <c r="G18" s="129">
        <f>(('Public PreK-12 Enrollment'!BG20-'Public PreK-12 Enrollment'!AU20)/'Public PreK-12 Enrollment'!AU20)*100</f>
        <v>-4.2550223214285712</v>
      </c>
      <c r="H18" s="207">
        <f>'Public Minority Rep'!BR22</f>
        <v>51.706589017246074</v>
      </c>
      <c r="I18" s="129">
        <f>'Public Minority Rep'!GX22</f>
        <v>53.819335937500007</v>
      </c>
      <c r="J18" s="215">
        <f>RANK('Public Minority Rep'!BR22,'Public Minority Rep'!$BR$16:$BR$69)</f>
        <v>7</v>
      </c>
      <c r="K18" s="120">
        <f>RANK('Public Minority Rep'!GX22,'Public Minority Rep'!$GX$16:$GX$69)</f>
        <v>12</v>
      </c>
      <c r="L18" s="207">
        <f>+'NCES Public Free-Reduced Lunch '!AJ17</f>
        <v>61.588110309537555</v>
      </c>
      <c r="M18" s="129">
        <f>+'NCES Public Free-Reduced Lunch '!AT17</f>
        <v>63.599888392857139</v>
      </c>
      <c r="N18" s="215">
        <f>RANK('NCES Public Free-Reduced Lunch '!AJ17,'NCES Public Free-Reduced Lunch '!$AJ$11:$AJ$64)</f>
        <v>3</v>
      </c>
      <c r="O18" s="398">
        <f>RANK('NCES Public Free-Reduced Lunch '!AT17,'NCES Public Free-Reduced Lunch '!$AT$11:$AT$64)</f>
        <v>3</v>
      </c>
    </row>
    <row r="19" spans="1:15">
      <c r="A19" s="122" t="s">
        <v>91</v>
      </c>
      <c r="B19" s="122"/>
      <c r="C19" s="180">
        <f>'Public PreK-12 Enrollment'!AU21</f>
        <v>874514</v>
      </c>
      <c r="D19" s="120">
        <f>RANK('Public PreK-12 Enrollment'!AK21,'Public PreK-12 Enrollment'!$AK$14:$AK$67,0)</f>
        <v>19</v>
      </c>
      <c r="E19" s="120">
        <f>RANK('Public PreK-12 Enrollment'!AU21,'Public PreK-12 Enrollment'!$AU$14:$AU$67)</f>
        <v>20</v>
      </c>
      <c r="F19" s="207">
        <f>(('Public PreK-12 Enrollment'!AU21-'Public PreK-12 Enrollment'!AK21)/'Public PreK-12 Enrollment'!AK21)*100</f>
        <v>1.034358063729766</v>
      </c>
      <c r="G19" s="129">
        <f>(('Public PreK-12 Enrollment'!BG21-'Public PreK-12 Enrollment'!AU21)/'Public PreK-12 Enrollment'!AU21)*100</f>
        <v>10.804401073053148</v>
      </c>
      <c r="H19" s="207">
        <f>'Public Minority Rep'!BR23</f>
        <v>50.517294563872447</v>
      </c>
      <c r="I19" s="129">
        <f>'Public Minority Rep'!GX23</f>
        <v>60.069592939621316</v>
      </c>
      <c r="J19" s="215">
        <f>RANK('Public Minority Rep'!BR23,'Public Minority Rep'!$BR$16:$BR$69)</f>
        <v>9</v>
      </c>
      <c r="K19" s="120">
        <f>RANK('Public Minority Rep'!GX23,'Public Minority Rep'!$GX$16:$GX$69)</f>
        <v>6</v>
      </c>
      <c r="L19" s="207">
        <f>+'NCES Public Free-Reduced Lunch '!AJ18</f>
        <v>32.079953509490466</v>
      </c>
      <c r="M19" s="129">
        <f>+'NCES Public Free-Reduced Lunch '!AT18</f>
        <v>45.027638208193352</v>
      </c>
      <c r="N19" s="215">
        <f>RANK('NCES Public Free-Reduced Lunch '!AJ18,'NCES Public Free-Reduced Lunch '!$AJ$11:$AJ$64)</f>
        <v>34</v>
      </c>
      <c r="O19" s="398">
        <f>RANK('NCES Public Free-Reduced Lunch '!AT18,'NCES Public Free-Reduced Lunch '!$AT$11:$AT$64)</f>
        <v>30</v>
      </c>
    </row>
    <row r="20" spans="1:15">
      <c r="A20" s="121" t="s">
        <v>92</v>
      </c>
      <c r="B20" s="121"/>
      <c r="C20" s="181">
        <f>'Public PreK-12 Enrollment'!AU22</f>
        <v>490917</v>
      </c>
      <c r="D20" s="121">
        <f>RANK('Public PreK-12 Enrollment'!AK22,'Public PreK-12 Enrollment'!$AK$14:$AK$67,0)</f>
        <v>31</v>
      </c>
      <c r="E20" s="121">
        <f>RANK('Public PreK-12 Enrollment'!AU22,'Public PreK-12 Enrollment'!$AU$14:$AU$67)</f>
        <v>33</v>
      </c>
      <c r="F20" s="208">
        <f>(('Public PreK-12 Enrollment'!AU22-'Public PreK-12 Enrollment'!AK22)/'Public PreK-12 Enrollment'!AK22)*100</f>
        <v>-0.90012434998869539</v>
      </c>
      <c r="G20" s="130">
        <f>(('Public PreK-12 Enrollment'!BG22-'Public PreK-12 Enrollment'!AU22)/'Public PreK-12 Enrollment'!AU22)*100</f>
        <v>-6.5829865333651112</v>
      </c>
      <c r="H20" s="208">
        <f>'Public Minority Rep'!BR24</f>
        <v>52.9630018410258</v>
      </c>
      <c r="I20" s="130">
        <f>'Public Minority Rep'!GX24</f>
        <v>54.854690304063624</v>
      </c>
      <c r="J20" s="216">
        <f>RANK('Public Minority Rep'!BR24,'Public Minority Rep'!$BR$16:$BR$69)</f>
        <v>6</v>
      </c>
      <c r="K20" s="121">
        <f>RANK('Public Minority Rep'!GX24,'Public Minority Rep'!$GX$16:$GX$69)</f>
        <v>10</v>
      </c>
      <c r="L20" s="208">
        <f>+'NCES Public Free-Reduced Lunch '!AJ19</f>
        <v>64.564436216025697</v>
      </c>
      <c r="M20" s="130">
        <f>+'NCES Public Free-Reduced Lunch '!AT19</f>
        <v>73.681294393960698</v>
      </c>
      <c r="N20" s="216">
        <f>RANK('NCES Public Free-Reduced Lunch '!AJ19,'NCES Public Free-Reduced Lunch '!$AJ$11:$AJ$64)</f>
        <v>2</v>
      </c>
      <c r="O20" s="399">
        <f>RANK('NCES Public Free-Reduced Lunch '!AT19,'NCES Public Free-Reduced Lunch '!$AT$11:$AT$64)</f>
        <v>2</v>
      </c>
    </row>
    <row r="21" spans="1:15">
      <c r="A21" s="121" t="s">
        <v>93</v>
      </c>
      <c r="B21" s="121"/>
      <c r="C21" s="181">
        <f>'Public PreK-12 Enrollment'!AU23</f>
        <v>1548895</v>
      </c>
      <c r="D21" s="121">
        <f>RANK('Public PreK-12 Enrollment'!AK23,'Public PreK-12 Enrollment'!$AK$14:$AK$67,0)</f>
        <v>11</v>
      </c>
      <c r="E21" s="121">
        <f>RANK('Public PreK-12 Enrollment'!AU23,'Public PreK-12 Enrollment'!$AU$14:$AU$67)</f>
        <v>9</v>
      </c>
      <c r="F21" s="208">
        <f>(('Public PreK-12 Enrollment'!AU23-'Public PreK-12 Enrollment'!AK23)/'Public PreK-12 Enrollment'!AK23)*100</f>
        <v>11.77272445181468</v>
      </c>
      <c r="G21" s="130">
        <f>(('Public PreK-12 Enrollment'!BG23-'Public PreK-12 Enrollment'!AU23)/'Public PreK-12 Enrollment'!AU23)*100</f>
        <v>7.9672928119724071</v>
      </c>
      <c r="H21" s="208">
        <f>'Public Minority Rep'!BR25</f>
        <v>42.593923596828873</v>
      </c>
      <c r="I21" s="470" t="str">
        <f>'Public Minority Rep'!GX25</f>
        <v>—</v>
      </c>
      <c r="J21" s="216">
        <f>RANK('Public Minority Rep'!BR25,'Public Minority Rep'!$BR$16:$BR$69)</f>
        <v>17</v>
      </c>
      <c r="K21" s="516" t="s">
        <v>318</v>
      </c>
      <c r="L21" s="208">
        <f>+'NCES Public Free-Reduced Lunch '!AJ20</f>
        <v>46.205318827798067</v>
      </c>
      <c r="M21" s="130">
        <f>+'NCES Public Free-Reduced Lunch '!AT20</f>
        <v>56.735479164178336</v>
      </c>
      <c r="N21" s="216">
        <f>RANK('NCES Public Free-Reduced Lunch '!AJ20,'NCES Public Free-Reduced Lunch '!$AJ$11:$AJ$64)</f>
        <v>15</v>
      </c>
      <c r="O21" s="399">
        <f>RANK('NCES Public Free-Reduced Lunch '!AT20,'NCES Public Free-Reduced Lunch '!$AT$11:$AT$64)</f>
        <v>12</v>
      </c>
    </row>
    <row r="22" spans="1:15">
      <c r="A22" s="121" t="s">
        <v>94</v>
      </c>
      <c r="B22" s="121"/>
      <c r="C22" s="181">
        <f>'Public PreK-12 Enrollment'!AU24</f>
        <v>688511</v>
      </c>
      <c r="D22" s="121">
        <f>RANK('Public PreK-12 Enrollment'!AK24,'Public PreK-12 Enrollment'!$AK$14:$AK$67,0)</f>
        <v>27</v>
      </c>
      <c r="E22" s="121">
        <f>RANK('Public PreK-12 Enrollment'!AU24,'Public PreK-12 Enrollment'!$AU$14:$AU$67)</f>
        <v>27</v>
      </c>
      <c r="F22" s="208">
        <f>(('Public PreK-12 Enrollment'!AU24-'Public PreK-12 Enrollment'!AK24)/'Public PreK-12 Enrollment'!AK24)*100</f>
        <v>9.3784353970604126</v>
      </c>
      <c r="G22" s="130">
        <f>(('Public PreK-12 Enrollment'!BG24-'Public PreK-12 Enrollment'!AU24)/'Public PreK-12 Enrollment'!AU24)*100</f>
        <v>0.25983608105026645</v>
      </c>
      <c r="H22" s="208">
        <f>'Public Minority Rep'!BR26</f>
        <v>39.353049202829027</v>
      </c>
      <c r="I22" s="130">
        <f>'Public Minority Rep'!GX26</f>
        <v>49.149251064979353</v>
      </c>
      <c r="J22" s="216">
        <f>RANK('Public Minority Rep'!BR26,'Public Minority Rep'!$BR$16:$BR$69)</f>
        <v>21</v>
      </c>
      <c r="K22" s="121">
        <f>RANK('Public Minority Rep'!GX26,'Public Minority Rep'!$GX$16:$GX$69)</f>
        <v>17</v>
      </c>
      <c r="L22" s="208">
        <f>+'NCES Public Free-Reduced Lunch '!AJ21</f>
        <v>53.910949896396041</v>
      </c>
      <c r="M22" s="130">
        <f>+'NCES Public Free-Reduced Lunch '!AT21</f>
        <v>60.12554628756839</v>
      </c>
      <c r="N22" s="216">
        <f>RANK('NCES Public Free-Reduced Lunch '!AJ21,'NCES Public Free-Reduced Lunch '!$AJ$11:$AJ$64)</f>
        <v>5</v>
      </c>
      <c r="O22" s="399">
        <f>RANK('NCES Public Free-Reduced Lunch '!AT21,'NCES Public Free-Reduced Lunch '!$AT$11:$AT$64)</f>
        <v>7</v>
      </c>
    </row>
    <row r="23" spans="1:15">
      <c r="A23" s="121" t="s">
        <v>95</v>
      </c>
      <c r="B23" s="121"/>
      <c r="C23" s="181">
        <f>'Public PreK-12 Enrollment'!AU25</f>
        <v>756523</v>
      </c>
      <c r="D23" s="121">
        <f>RANK('Public PreK-12 Enrollment'!AK25,'Public PreK-12 Enrollment'!$AK$14:$AK$67,0)</f>
        <v>25</v>
      </c>
      <c r="E23" s="121">
        <f>RANK('Public PreK-12 Enrollment'!AU25,'Public PreK-12 Enrollment'!$AU$14:$AU$67)</f>
        <v>23</v>
      </c>
      <c r="F23" s="208">
        <f>(('Public PreK-12 Enrollment'!AU25-'Public PreK-12 Enrollment'!AK25)/'Public PreK-12 Enrollment'!AK25)*100</f>
        <v>7.5009662714426995</v>
      </c>
      <c r="G23" s="130">
        <f>(('Public PreK-12 Enrollment'!BG25-'Public PreK-12 Enrollment'!AU25)/'Public PreK-12 Enrollment'!AU25)*100</f>
        <v>1.8607497723135979</v>
      </c>
      <c r="H23" s="208">
        <f>'Public Minority Rep'!BR27</f>
        <v>45.960472930002304</v>
      </c>
      <c r="I23" s="130">
        <f>'Public Minority Rep'!GX27</f>
        <v>47.910902907115847</v>
      </c>
      <c r="J23" s="216">
        <f>RANK('Public Minority Rep'!BR27,'Public Minority Rep'!$BR$16:$BR$69)</f>
        <v>13</v>
      </c>
      <c r="K23" s="121">
        <f>RANK('Public Minority Rep'!GX27,'Public Minority Rep'!$GX$16:$GX$69)</f>
        <v>19</v>
      </c>
      <c r="L23" s="208">
        <f>+'NCES Public Free-Reduced Lunch '!AJ22</f>
        <v>52.320507339318802</v>
      </c>
      <c r="M23" s="130">
        <f>+'NCES Public Free-Reduced Lunch '!AT22</f>
        <v>55.688458910039749</v>
      </c>
      <c r="N23" s="216">
        <f>RANK('NCES Public Free-Reduced Lunch '!AJ22,'NCES Public Free-Reduced Lunch '!$AJ$11:$AJ$64)</f>
        <v>7</v>
      </c>
      <c r="O23" s="399">
        <f>RANK('NCES Public Free-Reduced Lunch '!AT22,'NCES Public Free-Reduced Lunch '!$AT$11:$AT$64)</f>
        <v>14</v>
      </c>
    </row>
    <row r="24" spans="1:15">
      <c r="A24" s="123" t="s">
        <v>96</v>
      </c>
      <c r="B24" s="123"/>
      <c r="C24" s="180">
        <f>'Public PreK-12 Enrollment'!AU26</f>
        <v>995475</v>
      </c>
      <c r="D24" s="120">
        <f>RANK('Public PreK-12 Enrollment'!AK26,'Public PreK-12 Enrollment'!$AK$14:$AK$67,0)</f>
        <v>17</v>
      </c>
      <c r="E24" s="120">
        <f>RANK('Public PreK-12 Enrollment'!AU26,'Public PreK-12 Enrollment'!$AU$14:$AU$67)</f>
        <v>16</v>
      </c>
      <c r="F24" s="207">
        <f>(('Public PreK-12 Enrollment'!AU26-'Public PreK-12 Enrollment'!AK26)/'Public PreK-12 Enrollment'!AK26)*100</f>
        <v>5.7788247895261993</v>
      </c>
      <c r="G24" s="129">
        <f>(('Public PreK-12 Enrollment'!BG26-'Public PreK-12 Enrollment'!AU26)/'Public PreK-12 Enrollment'!AU26)*100</f>
        <v>8.6014214319797091</v>
      </c>
      <c r="H24" s="207">
        <f>'Public Minority Rep'!BR28</f>
        <v>29.975847181622182</v>
      </c>
      <c r="I24" s="129">
        <f>'Public Minority Rep'!GX28</f>
        <v>35.143926266355265</v>
      </c>
      <c r="J24" s="215">
        <f>RANK('Public Minority Rep'!BR28,'Public Minority Rep'!$BR$16:$BR$69)</f>
        <v>25</v>
      </c>
      <c r="K24" s="120">
        <f>RANK('Public Minority Rep'!GX28,'Public Minority Rep'!$GX$16:$GX$69)</f>
        <v>28</v>
      </c>
      <c r="L24" s="459" t="str">
        <f>+'NCES Public Free-Reduced Lunch '!AJ23</f>
        <v>—</v>
      </c>
      <c r="M24" s="129">
        <f>+'NCES Public Free-Reduced Lunch '!AT23</f>
        <v>55.87915316808558</v>
      </c>
      <c r="N24" s="514" t="s">
        <v>318</v>
      </c>
      <c r="O24" s="398">
        <f>RANK('NCES Public Free-Reduced Lunch '!AT23,'NCES Public Free-Reduced Lunch '!$AT$11:$AT$64)</f>
        <v>13</v>
      </c>
    </row>
    <row r="25" spans="1:15">
      <c r="A25" s="123" t="s">
        <v>97</v>
      </c>
      <c r="B25" s="123"/>
      <c r="C25" s="180">
        <f>'Public PreK-12 Enrollment'!AU27</f>
        <v>5233765</v>
      </c>
      <c r="D25" s="120">
        <f>RANK('Public PreK-12 Enrollment'!AK27,'Public PreK-12 Enrollment'!$AK$14:$AK$67,0)</f>
        <v>2</v>
      </c>
      <c r="E25" s="120">
        <f>RANK('Public PreK-12 Enrollment'!AU27,'Public PreK-12 Enrollment'!$AU$14:$AU$67)</f>
        <v>2</v>
      </c>
      <c r="F25" s="207">
        <f>(('Public PreK-12 Enrollment'!AU27-'Public PreK-12 Enrollment'!AK27)/'Public PreK-12 Enrollment'!AK27)*100</f>
        <v>18.808389601869603</v>
      </c>
      <c r="G25" s="129">
        <f>(('Public PreK-12 Enrollment'!BG27-'Public PreK-12 Enrollment'!AU27)/'Public PreK-12 Enrollment'!AU27)*100</f>
        <v>8.3159064268265777</v>
      </c>
      <c r="H25" s="207">
        <f>'Public Minority Rep'!BR29</f>
        <v>62.279343913974678</v>
      </c>
      <c r="I25" s="129">
        <f>'Public Minority Rep'!GX29</f>
        <v>71.033452973146467</v>
      </c>
      <c r="J25" s="215">
        <f>RANK('Public Minority Rep'!BR29,'Public Minority Rep'!$BR$16:$BR$69)</f>
        <v>5</v>
      </c>
      <c r="K25" s="120">
        <f>RANK('Public Minority Rep'!GX29,'Public Minority Rep'!$GX$16:$GX$69)</f>
        <v>4</v>
      </c>
      <c r="L25" s="207">
        <f>+'NCES Public Free-Reduced Lunch '!AJ24</f>
        <v>47.656616755131722</v>
      </c>
      <c r="M25" s="129">
        <f>+'NCES Public Free-Reduced Lunch '!AT24</f>
        <v>58.745300944922064</v>
      </c>
      <c r="N25" s="215">
        <f>RANK('NCES Public Free-Reduced Lunch '!AJ24,'NCES Public Free-Reduced Lunch '!$AJ$11:$AJ$64)</f>
        <v>13</v>
      </c>
      <c r="O25" s="398">
        <f>RANK('NCES Public Free-Reduced Lunch '!AT24,'NCES Public Free-Reduced Lunch '!$AT$11:$AT$64)</f>
        <v>8</v>
      </c>
    </row>
    <row r="26" spans="1:15">
      <c r="A26" s="123" t="s">
        <v>98</v>
      </c>
      <c r="B26" s="123"/>
      <c r="C26" s="180">
        <f>'Public PreK-12 Enrollment'!AU28</f>
        <v>1280381</v>
      </c>
      <c r="D26" s="120">
        <f>RANK('Public PreK-12 Enrollment'!AK28,'Public PreK-12 Enrollment'!$AK$14:$AK$67,0)</f>
        <v>12</v>
      </c>
      <c r="E26" s="120">
        <f>RANK('Public PreK-12 Enrollment'!AU28,'Public PreK-12 Enrollment'!$AU$14:$AU$67)</f>
        <v>12</v>
      </c>
      <c r="F26" s="207">
        <f>(('Public PreK-12 Enrollment'!AU28-'Public PreK-12 Enrollment'!AK28)/'Public PreK-12 Enrollment'!AK28)*100</f>
        <v>6.2787043500708446</v>
      </c>
      <c r="G26" s="129">
        <f>(('Public PreK-12 Enrollment'!BG28-'Public PreK-12 Enrollment'!AU28)/'Public PreK-12 Enrollment'!AU28)*100</f>
        <v>7.0228314853156988</v>
      </c>
      <c r="H26" s="207">
        <f>'Public Minority Rep'!BR30</f>
        <v>39.44244531665511</v>
      </c>
      <c r="I26" s="129">
        <f>'Public Minority Rep'!GX30</f>
        <v>48.726043263684794</v>
      </c>
      <c r="J26" s="215">
        <f>RANK('Public Minority Rep'!BR30,'Public Minority Rep'!$BR$16:$BR$69)</f>
        <v>20</v>
      </c>
      <c r="K26" s="120">
        <f>RANK('Public Minority Rep'!GX30,'Public Minority Rep'!$GX$16:$GX$69)</f>
        <v>18</v>
      </c>
      <c r="L26" s="207">
        <f>+'NCES Public Free-Reduced Lunch '!AJ25</f>
        <v>32.639807576668673</v>
      </c>
      <c r="M26" s="129">
        <f>+'NCES Public Free-Reduced Lunch '!AT25</f>
        <v>40.205610673697905</v>
      </c>
      <c r="N26" s="215">
        <f>RANK('NCES Public Free-Reduced Lunch '!AJ25,'NCES Public Free-Reduced Lunch '!$AJ$11:$AJ$64)</f>
        <v>30</v>
      </c>
      <c r="O26" s="398">
        <f>RANK('NCES Public Free-Reduced Lunch '!AT25,'NCES Public Free-Reduced Lunch '!$AT$11:$AT$64)</f>
        <v>37</v>
      </c>
    </row>
    <row r="27" spans="1:15">
      <c r="A27" s="124" t="s">
        <v>99</v>
      </c>
      <c r="B27" s="124"/>
      <c r="C27" s="179">
        <f>'Public PreK-12 Enrollment'!AU29</f>
        <v>280310</v>
      </c>
      <c r="D27" s="219">
        <f>RANK('Public PreK-12 Enrollment'!AK29,'Public PreK-12 Enrollment'!$AK$14:$AK$67,0)</f>
        <v>38</v>
      </c>
      <c r="E27" s="119">
        <f>RANK('Public PreK-12 Enrollment'!AU29,'Public PreK-12 Enrollment'!$AU$14:$AU$67)</f>
        <v>39</v>
      </c>
      <c r="F27" s="212">
        <f>(('Public PreK-12 Enrollment'!AU29-'Public PreK-12 Enrollment'!AK29)/'Public PreK-12 Enrollment'!AK29)*100</f>
        <v>6.4613088969724661E-2</v>
      </c>
      <c r="G27" s="128">
        <f>(('Public PreK-12 Enrollment'!BG29-'Public PreK-12 Enrollment'!AU29)/'Public PreK-12 Enrollment'!AU29)*100</f>
        <v>-9.7071099853733376</v>
      </c>
      <c r="H27" s="212">
        <f>'Public Minority Rep'!BR31</f>
        <v>6.1278910787530032</v>
      </c>
      <c r="I27" s="128">
        <f>'Public Minority Rep'!GX31</f>
        <v>9.2444079768827372</v>
      </c>
      <c r="J27" s="219">
        <f>RANK('Public Minority Rep'!BR31,'Public Minority Rep'!$BR$16:$BR$69)</f>
        <v>48</v>
      </c>
      <c r="K27" s="119">
        <f>RANK('Public Minority Rep'!GX31,'Public Minority Rep'!$GX$16:$GX$69)</f>
        <v>48</v>
      </c>
      <c r="L27" s="212">
        <f>+'NCES Public Free-Reduced Lunch '!AJ26</f>
        <v>50.353771901015264</v>
      </c>
      <c r="M27" s="513" t="str">
        <f>+'NCES Public Free-Reduced Lunch '!AT26</f>
        <v>—</v>
      </c>
      <c r="N27" s="215">
        <f>RANK('NCES Public Free-Reduced Lunch '!AJ26,'NCES Public Free-Reduced Lunch '!$AJ$11:$AJ$64)</f>
        <v>10</v>
      </c>
      <c r="O27" s="515" t="s">
        <v>318</v>
      </c>
    </row>
    <row r="28" spans="1:15">
      <c r="A28" s="120" t="s">
        <v>245</v>
      </c>
      <c r="B28" s="120"/>
      <c r="C28" s="180">
        <f>'Public PreK-12 Enrollment'!AU7</f>
        <v>12265993</v>
      </c>
      <c r="D28" s="215"/>
      <c r="E28" s="180"/>
      <c r="F28" s="129">
        <f>(('Public PreK-12 Enrollment'!AU7-'Public PreK-12 Enrollment'!AK7)/'Public PreK-12 Enrollment'!AK7)*100</f>
        <v>3.4510378423876236</v>
      </c>
      <c r="G28" s="129">
        <f>(('Public PreK-12 Enrollment'!BG7-'Public PreK-12 Enrollment'!AU7)/'Public PreK-12 Enrollment'!AU7)*100</f>
        <v>8.1339276811914054</v>
      </c>
      <c r="H28" s="207">
        <f>'Public Minority Rep'!BR9</f>
        <v>29.282967422654416</v>
      </c>
      <c r="I28" s="129">
        <f>'Public Minority Rep'!GX9</f>
        <v>22.873158332961708</v>
      </c>
      <c r="J28" s="215"/>
      <c r="K28" s="120"/>
      <c r="L28" s="207">
        <f>+'NCES Public Free-Reduced Lunch '!AJ7</f>
        <v>44.882613355862759</v>
      </c>
      <c r="M28" s="129">
        <f>+'NCES Public Free-Reduced Lunch '!AT7</f>
        <v>47.902424206503298</v>
      </c>
      <c r="N28" s="225"/>
      <c r="O28" s="126"/>
    </row>
    <row r="29" spans="1:15">
      <c r="A29" s="120" t="s">
        <v>248</v>
      </c>
      <c r="B29" s="120"/>
      <c r="C29" s="186">
        <f>'Public PreK-12 Enrollment'!AU8</f>
        <v>24.37957416654892</v>
      </c>
      <c r="D29" s="215"/>
      <c r="E29" s="180"/>
      <c r="G29" s="129"/>
      <c r="H29" s="209"/>
      <c r="I29" s="131"/>
      <c r="J29" s="215"/>
      <c r="K29" s="120"/>
      <c r="L29" s="209"/>
      <c r="M29" s="131"/>
      <c r="N29" s="217"/>
      <c r="O29" s="122"/>
    </row>
    <row r="30" spans="1:15">
      <c r="A30" s="121" t="s">
        <v>129</v>
      </c>
      <c r="B30" s="121"/>
      <c r="C30" s="181">
        <f>'Public PreK-12 Enrollment'!AU31</f>
        <v>131176</v>
      </c>
      <c r="D30" s="216">
        <f>RANK('Public PreK-12 Enrollment'!AK31,'Public PreK-12 Enrollment'!$AK$14:$AK$67,0)</f>
        <v>45</v>
      </c>
      <c r="E30" s="181">
        <f>RANK('Public PreK-12 Enrollment'!AU31,'Public PreK-12 Enrollment'!$AU$14:$AU$67)</f>
        <v>47</v>
      </c>
      <c r="F30" s="130">
        <f>(('Public PreK-12 Enrollment'!AU31-'Public PreK-12 Enrollment'!AK31)/'Public PreK-12 Enrollment'!AK31)*100</f>
        <v>-1.3491765059787921</v>
      </c>
      <c r="G30" s="130">
        <f>(('Public PreK-12 Enrollment'!BG31-'Public PreK-12 Enrollment'!AU31)/'Public PreK-12 Enrollment'!AU31)*100</f>
        <v>18.314325791303286</v>
      </c>
      <c r="H30" s="208">
        <f>'Public Minority Rep'!BR33</f>
        <v>41.704895841167179</v>
      </c>
      <c r="I30" s="130">
        <f>'Public Minority Rep'!GX33</f>
        <v>51.491126425565653</v>
      </c>
      <c r="J30" s="216">
        <f>RANK('Public Minority Rep'!BR33,'Public Minority Rep'!$BR$16:$BR$69)</f>
        <v>18</v>
      </c>
      <c r="K30" s="121">
        <f>RANK('Public Minority Rep'!GX33,'Public Minority Rep'!$GX$16:$GX$69)</f>
        <v>15</v>
      </c>
      <c r="L30" s="208">
        <f>+'NCES Public Free-Reduced Lunch '!AJ28</f>
        <v>36.930869852113496</v>
      </c>
      <c r="M30" s="130">
        <f>+'NCES Public Free-Reduced Lunch '!AT28</f>
        <v>43.122217478807102</v>
      </c>
      <c r="N30" s="216">
        <f>RANK('NCES Public Free-Reduced Lunch '!AJ28,'NCES Public Free-Reduced Lunch '!$AJ$11:$AJ$64)</f>
        <v>22</v>
      </c>
      <c r="O30" s="121">
        <f>RANK('NCES Public Free-Reduced Lunch '!AT28,'NCES Public Free-Reduced Lunch '!$AT$11:$AT$64)</f>
        <v>34</v>
      </c>
    </row>
    <row r="31" spans="1:15">
      <c r="A31" s="121" t="s">
        <v>130</v>
      </c>
      <c r="B31" s="121"/>
      <c r="C31" s="181">
        <f>'Public PreK-12 Enrollment'!AU32</f>
        <v>1111695</v>
      </c>
      <c r="D31" s="216">
        <f>RANK('Public PreK-12 Enrollment'!AK32,'Public PreK-12 Enrollment'!$AK$14:$AK$67,0)</f>
        <v>13</v>
      </c>
      <c r="E31" s="181">
        <f>RANK('Public PreK-12 Enrollment'!AU32,'Public PreK-12 Enrollment'!$AU$14:$AU$67)</f>
        <v>13</v>
      </c>
      <c r="F31" s="130">
        <f>(('Public PreK-12 Enrollment'!AU32-'Public PreK-12 Enrollment'!AK32)/'Public PreK-12 Enrollment'!AK32)*100</f>
        <v>6.5558450222275892</v>
      </c>
      <c r="G31" s="130">
        <f>(('Public PreK-12 Enrollment'!BG32-'Public PreK-12 Enrollment'!AU32)/'Public PreK-12 Enrollment'!AU32)*100</f>
        <v>16.533761508327373</v>
      </c>
      <c r="H31" s="208">
        <f>'Public Minority Rep'!BR34</f>
        <v>51.680727845735348</v>
      </c>
      <c r="I31" s="130">
        <f>'Public Minority Rep'!GX34</f>
        <v>59.969955788233278</v>
      </c>
      <c r="J31" s="216">
        <f>RANK('Public Minority Rep'!BR34,'Public Minority Rep'!$BR$16:$BR$69)</f>
        <v>8</v>
      </c>
      <c r="K31" s="121">
        <f>RANK('Public Minority Rep'!GX34,'Public Minority Rep'!$GX$16:$GX$69)</f>
        <v>7</v>
      </c>
      <c r="L31" s="208">
        <f>+'NCES Public Free-Reduced Lunch '!AJ29</f>
        <v>53.592621031089458</v>
      </c>
      <c r="M31" s="470" t="str">
        <f>+'NCES Public Free-Reduced Lunch '!AT29</f>
        <v>—</v>
      </c>
      <c r="N31" s="216">
        <f>RANK('NCES Public Free-Reduced Lunch '!AJ29,'NCES Public Free-Reduced Lunch '!$AJ$11:$AJ$64)</f>
        <v>6</v>
      </c>
      <c r="O31" s="516" t="s">
        <v>318</v>
      </c>
    </row>
    <row r="32" spans="1:15">
      <c r="A32" s="121" t="s">
        <v>131</v>
      </c>
      <c r="B32" s="121"/>
      <c r="C32" s="181">
        <f>'Public PreK-12 Enrollment'!AU33</f>
        <v>6312161</v>
      </c>
      <c r="D32" s="216">
        <f>RANK('Public PreK-12 Enrollment'!AK33,'Public PreK-12 Enrollment'!$AK$14:$AK$67,0)</f>
        <v>1</v>
      </c>
      <c r="E32" s="181">
        <f>RANK('Public PreK-12 Enrollment'!AU33,'Public PreK-12 Enrollment'!$AU$14:$AU$67)</f>
        <v>1</v>
      </c>
      <c r="F32" s="130">
        <f>(('Public PreK-12 Enrollment'!AU33-'Public PreK-12 Enrollment'!AK33)/'Public PreK-12 Enrollment'!AK33)*100</f>
        <v>-2.0087689979301588</v>
      </c>
      <c r="G32" s="130">
        <f>(('Public PreK-12 Enrollment'!BG33-'Public PreK-12 Enrollment'!AU33)/'Public PreK-12 Enrollment'!AU33)*100</f>
        <v>6.816033367970177</v>
      </c>
      <c r="H32" s="208">
        <f>'Public Minority Rep'!BR35</f>
        <v>68.106072470096521</v>
      </c>
      <c r="I32" s="470" t="str">
        <f>'Public Minority Rep'!GX35</f>
        <v>—</v>
      </c>
      <c r="J32" s="216">
        <f>RANK('Public Minority Rep'!BR35,'Public Minority Rep'!$BR$16:$BR$69)</f>
        <v>4</v>
      </c>
      <c r="K32" s="516" t="s">
        <v>318</v>
      </c>
      <c r="L32" s="208">
        <f>+'NCES Public Free-Reduced Lunch '!AJ30</f>
        <v>49.045723378958698</v>
      </c>
      <c r="M32" s="130">
        <f>+'NCES Public Free-Reduced Lunch '!AT30</f>
        <v>57.843074661752134</v>
      </c>
      <c r="N32" s="216">
        <f>RANK('NCES Public Free-Reduced Lunch '!AJ30,'NCES Public Free-Reduced Lunch '!$AJ$11:$AJ$64)</f>
        <v>11</v>
      </c>
      <c r="O32" s="121">
        <f>RANK('NCES Public Free-Reduced Lunch '!AT30,'NCES Public Free-Reduced Lunch '!$AT$11:$AT$64)</f>
        <v>10</v>
      </c>
    </row>
    <row r="33" spans="1:15">
      <c r="A33" s="121" t="s">
        <v>132</v>
      </c>
      <c r="B33" s="121"/>
      <c r="C33" s="181">
        <f>'Public PreK-12 Enrollment'!AU34</f>
        <v>889006</v>
      </c>
      <c r="D33" s="216">
        <f>RANK('Public PreK-12 Enrollment'!AK34,'Public PreK-12 Enrollment'!$AK$14:$AK$67,0)</f>
        <v>22</v>
      </c>
      <c r="E33" s="181">
        <f>RANK('Public PreK-12 Enrollment'!AU34,'Public PreK-12 Enrollment'!$AU$14:$AU$67)</f>
        <v>19</v>
      </c>
      <c r="F33" s="130">
        <f>(('Public PreK-12 Enrollment'!AU34-'Public PreK-12 Enrollment'!AK34)/'Public PreK-12 Enrollment'!AK34)*100</f>
        <v>16.061860946034862</v>
      </c>
      <c r="G33" s="130">
        <f>(('Public PreK-12 Enrollment'!BG34-'Public PreK-12 Enrollment'!AU34)/'Public PreK-12 Enrollment'!AU34)*100</f>
        <v>7.3108617939586464</v>
      </c>
      <c r="H33" s="208">
        <f>'Public Minority Rep'!BR36</f>
        <v>36.464197311665124</v>
      </c>
      <c r="I33" s="130">
        <f>'Public Minority Rep'!GX36</f>
        <v>45.522864862554357</v>
      </c>
      <c r="J33" s="216">
        <f>RANK('Public Minority Rep'!BR36,'Public Minority Rep'!$BR$16:$BR$69)</f>
        <v>22</v>
      </c>
      <c r="K33" s="121">
        <f>RANK('Public Minority Rep'!GX36,'Public Minority Rep'!$GX$16:$GX$69)</f>
        <v>20</v>
      </c>
      <c r="L33" s="208">
        <f>+'NCES Public Free-Reduced Lunch '!AJ31</f>
        <v>31.537411093820172</v>
      </c>
      <c r="M33" s="130">
        <f>+'NCES Public Free-Reduced Lunch '!AT31</f>
        <v>41.59004551150386</v>
      </c>
      <c r="N33" s="216">
        <f>RANK('NCES Public Free-Reduced Lunch '!AJ31,'NCES Public Free-Reduced Lunch '!$AJ$11:$AJ$64)</f>
        <v>35</v>
      </c>
      <c r="O33" s="121">
        <f>RANK('NCES Public Free-Reduced Lunch '!AT31,'NCES Public Free-Reduced Lunch '!$AT$11:$AT$64)</f>
        <v>35</v>
      </c>
    </row>
    <row r="34" spans="1:15">
      <c r="A34" s="122" t="s">
        <v>134</v>
      </c>
      <c r="B34" s="122"/>
      <c r="C34" s="180">
        <f>'Public PreK-12 Enrollment'!AU35</f>
        <v>182384</v>
      </c>
      <c r="D34" s="215">
        <f>RANK('Public PreK-12 Enrollment'!AK35,'Public PreK-12 Enrollment'!$AK$14:$AK$67,0)</f>
        <v>42</v>
      </c>
      <c r="E34" s="180">
        <f>RANK('Public PreK-12 Enrollment'!AU35,'Public PreK-12 Enrollment'!$AU$14:$AU$67)</f>
        <v>42</v>
      </c>
      <c r="F34" s="129">
        <f>(('Public PreK-12 Enrollment'!AU35-'Public PreK-12 Enrollment'!AK35)/'Public PreK-12 Enrollment'!AK35)*100</f>
        <v>-0.43726287632721017</v>
      </c>
      <c r="G34" s="129">
        <f>(('Public PreK-12 Enrollment'!BG35-'Public PreK-12 Enrollment'!AU35)/'Public PreK-12 Enrollment'!AU35)*100</f>
        <v>-2.4037196245284673</v>
      </c>
      <c r="H34" s="207">
        <f>'Public Minority Rep'!BR37</f>
        <v>79.984169009471302</v>
      </c>
      <c r="I34" s="129">
        <f>'Public Minority Rep'!GX37</f>
        <v>86.674269672778323</v>
      </c>
      <c r="J34" s="215">
        <f>RANK('Public Minority Rep'!BR37,'Public Minority Rep'!$BR$16:$BR$69)</f>
        <v>2</v>
      </c>
      <c r="K34" s="120">
        <f>RANK('Public Minority Rep'!GX37,'Public Minority Rep'!$GX$16:$GX$69)</f>
        <v>2</v>
      </c>
      <c r="L34" s="207">
        <f>+'NCES Public Free-Reduced Lunch '!AJ32</f>
        <v>41.607096297583865</v>
      </c>
      <c r="M34" s="129">
        <f>+'NCES Public Free-Reduced Lunch '!AT32</f>
        <v>50.105820686025091</v>
      </c>
      <c r="N34" s="215">
        <f>RANK('NCES Public Free-Reduced Lunch '!AJ32,'NCES Public Free-Reduced Lunch '!$AJ$11:$AJ$64)</f>
        <v>17</v>
      </c>
      <c r="O34" s="120">
        <f>RANK('NCES Public Free-Reduced Lunch '!AT32,'NCES Public Free-Reduced Lunch '!$AT$11:$AT$64)</f>
        <v>20</v>
      </c>
    </row>
    <row r="35" spans="1:15">
      <c r="A35" s="122" t="s">
        <v>135</v>
      </c>
      <c r="B35" s="122"/>
      <c r="C35" s="180">
        <f>'Public PreK-12 Enrollment'!AU36</f>
        <v>290885</v>
      </c>
      <c r="D35" s="215">
        <f>RANK('Public PreK-12 Enrollment'!AK36,'Public PreK-12 Enrollment'!$AK$14:$AK$67,0)</f>
        <v>39</v>
      </c>
      <c r="E35" s="180">
        <f>RANK('Public PreK-12 Enrollment'!AU36,'Public PreK-12 Enrollment'!$AU$14:$AU$67)</f>
        <v>38</v>
      </c>
      <c r="F35" s="129">
        <f>(('Public PreK-12 Enrollment'!AU36-'Public PreK-12 Enrollment'!AK36)/'Public PreK-12 Enrollment'!AK36)*100</f>
        <v>13.589681510754284</v>
      </c>
      <c r="G35" s="129">
        <f>(('Public PreK-12 Enrollment'!BG36-'Public PreK-12 Enrollment'!AU36)/'Public PreK-12 Enrollment'!AU36)*100</f>
        <v>7.9464393145057324</v>
      </c>
      <c r="H35" s="207">
        <f>'Public Minority Rep'!BR38</f>
        <v>16.548476281220225</v>
      </c>
      <c r="I35" s="129">
        <f>'Public Minority Rep'!GX38</f>
        <v>23.2404558502501</v>
      </c>
      <c r="J35" s="215">
        <f>RANK('Public Minority Rep'!BR38,'Public Minority Rep'!$BR$16:$BR$69)</f>
        <v>40</v>
      </c>
      <c r="K35" s="120">
        <f>RANK('Public Minority Rep'!GX38,'Public Minority Rep'!$GX$16:$GX$69)</f>
        <v>40</v>
      </c>
      <c r="L35" s="207">
        <f>+'NCES Public Free-Reduced Lunch '!AJ33</f>
        <v>39.52391816868203</v>
      </c>
      <c r="M35" s="129">
        <f>+'NCES Public Free-Reduced Lunch '!AT33</f>
        <v>48.541176066142974</v>
      </c>
      <c r="N35" s="215">
        <f>RANK('NCES Public Free-Reduced Lunch '!AJ33,'NCES Public Free-Reduced Lunch '!$AJ$11:$AJ$64)</f>
        <v>18</v>
      </c>
      <c r="O35" s="120">
        <f>RANK('NCES Public Free-Reduced Lunch '!AT33,'NCES Public Free-Reduced Lunch '!$AT$11:$AT$64)</f>
        <v>23</v>
      </c>
    </row>
    <row r="36" spans="1:15">
      <c r="A36" s="122" t="s">
        <v>145</v>
      </c>
      <c r="B36" s="122"/>
      <c r="C36" s="180">
        <f>'Public PreK-12 Enrollment'!AU37</f>
        <v>144532</v>
      </c>
      <c r="D36" s="215">
        <f>RANK('Public PreK-12 Enrollment'!AK37,'Public PreK-12 Enrollment'!$AK$14:$AK$67,0)</f>
        <v>44</v>
      </c>
      <c r="E36" s="180">
        <f>RANK('Public PreK-12 Enrollment'!AU37,'Public PreK-12 Enrollment'!$AU$14:$AU$67)</f>
        <v>43</v>
      </c>
      <c r="F36" s="129">
        <f>(('Public PreK-12 Enrollment'!AU37-'Public PreK-12 Enrollment'!AK37)/'Public PreK-12 Enrollment'!AK37)*100</f>
        <v>-1.4812037762857435</v>
      </c>
      <c r="G36" s="129">
        <f>(('Public PreK-12 Enrollment'!BG37-'Public PreK-12 Enrollment'!AU37)/'Public PreK-12 Enrollment'!AU37)*100</f>
        <v>1.5692026679212909</v>
      </c>
      <c r="H36" s="207">
        <f>'Public Minority Rep'!BR39</f>
        <v>15.457550867386933</v>
      </c>
      <c r="I36" s="129">
        <f>'Public Minority Rep'!GX39</f>
        <v>20.445991199180803</v>
      </c>
      <c r="J36" s="215">
        <f>RANK('Public Minority Rep'!BR39,'Public Minority Rep'!$BR$16:$BR$69)</f>
        <v>41</v>
      </c>
      <c r="K36" s="120">
        <f>RANK('Public Minority Rep'!GX39,'Public Minority Rep'!$GX$16:$GX$69)</f>
        <v>44</v>
      </c>
      <c r="L36" s="207">
        <f>+'NCES Public Free-Reduced Lunch '!AJ34</f>
        <v>34.270977236912444</v>
      </c>
      <c r="M36" s="129">
        <f>+'NCES Public Free-Reduced Lunch '!AT34</f>
        <v>43.598649434035366</v>
      </c>
      <c r="N36" s="215">
        <f>RANK('NCES Public Free-Reduced Lunch '!AJ34,'NCES Public Free-Reduced Lunch '!$AJ$11:$AJ$64)</f>
        <v>28</v>
      </c>
      <c r="O36" s="120">
        <f>RANK('NCES Public Free-Reduced Lunch '!AT34,'NCES Public Free-Reduced Lunch '!$AT$11:$AT$64)</f>
        <v>33</v>
      </c>
    </row>
    <row r="37" spans="1:15">
      <c r="A37" s="122" t="s">
        <v>147</v>
      </c>
      <c r="B37" s="122"/>
      <c r="C37" s="180">
        <f>'Public PreK-12 Enrollment'!AU38</f>
        <v>459189</v>
      </c>
      <c r="D37" s="215">
        <f>RANK('Public PreK-12 Enrollment'!AK38,'Public PreK-12 Enrollment'!$AK$14:$AK$67,0)</f>
        <v>35</v>
      </c>
      <c r="E37" s="180">
        <f>RANK('Public PreK-12 Enrollment'!AU38,'Public PreK-12 Enrollment'!$AU$14:$AU$67)</f>
        <v>35</v>
      </c>
      <c r="F37" s="129">
        <f>(('Public PreK-12 Enrollment'!AU38-'Public PreK-12 Enrollment'!AK38)/'Public PreK-12 Enrollment'!AK38)*100</f>
        <v>14.773434512338691</v>
      </c>
      <c r="G37" s="129">
        <f>(('Public PreK-12 Enrollment'!BG38-'Public PreK-12 Enrollment'!AU38)/'Public PreK-12 Enrollment'!AU38)*100</f>
        <v>16.444427022424318</v>
      </c>
      <c r="H37" s="207">
        <f>'Public Minority Rep'!BR40</f>
        <v>0</v>
      </c>
      <c r="I37" s="129">
        <f>'Public Minority Rep'!GX40</f>
        <v>64.926642406503646</v>
      </c>
      <c r="J37" s="215">
        <f>RANK('Public Minority Rep'!BR40,'Public Minority Rep'!$BR$16:$BR$69)</f>
        <v>51</v>
      </c>
      <c r="K37" s="120">
        <f>RANK('Public Minority Rep'!GX40,'Public Minority Rep'!$GX$16:$GX$69)</f>
        <v>5</v>
      </c>
      <c r="L37" s="207">
        <f>+'NCES Public Free-Reduced Lunch '!AJ35</f>
        <v>28.718094500153455</v>
      </c>
      <c r="M37" s="129">
        <f>+'NCES Public Free-Reduced Lunch '!AT35</f>
        <v>52.237096271905472</v>
      </c>
      <c r="N37" s="215">
        <f>RANK('NCES Public Free-Reduced Lunch '!AJ35,'NCES Public Free-Reduced Lunch '!$AJ$11:$AJ$64)</f>
        <v>42</v>
      </c>
      <c r="O37" s="120">
        <f>RANK('NCES Public Free-Reduced Lunch '!AT35,'NCES Public Free-Reduced Lunch '!$AT$11:$AT$64)</f>
        <v>16</v>
      </c>
    </row>
    <row r="38" spans="1:15">
      <c r="A38" s="121" t="s">
        <v>150</v>
      </c>
      <c r="B38" s="121"/>
      <c r="C38" s="181">
        <f>'Public PreK-12 Enrollment'!AU39</f>
        <v>340365</v>
      </c>
      <c r="D38" s="216">
        <f>RANK('Public PreK-12 Enrollment'!AK39,'Public PreK-12 Enrollment'!$AK$14:$AK$67,0)</f>
        <v>36</v>
      </c>
      <c r="E38" s="181">
        <f>RANK('Public PreK-12 Enrollment'!AU39,'Public PreK-12 Enrollment'!$AU$14:$AU$67)</f>
        <v>36</v>
      </c>
      <c r="F38" s="130">
        <f>(('Public PreK-12 Enrollment'!AU39-'Public PreK-12 Enrollment'!AK39)/'Public PreK-12 Enrollment'!AK39)*100</f>
        <v>4.3737848893904365</v>
      </c>
      <c r="G38" s="130">
        <f>(('Public PreK-12 Enrollment'!BG39-'Public PreK-12 Enrollment'!AU39)/'Public PreK-12 Enrollment'!AU39)*100</f>
        <v>-0.22475871490899474</v>
      </c>
      <c r="H38" s="208">
        <f>'Public Minority Rep'!BR41</f>
        <v>68.134816713788936</v>
      </c>
      <c r="I38" s="130">
        <f>'Public Minority Rep'!GX41</f>
        <v>75.952286515946099</v>
      </c>
      <c r="J38" s="216">
        <f>RANK('Public Minority Rep'!BR41,'Public Minority Rep'!$BR$16:$BR$69)</f>
        <v>3</v>
      </c>
      <c r="K38" s="121">
        <f>RANK('Public Minority Rep'!GX41,'Public Minority Rep'!$GX$16:$GX$69)</f>
        <v>3</v>
      </c>
      <c r="L38" s="208">
        <f>+'NCES Public Free-Reduced Lunch '!AJ36</f>
        <v>58.117527284324275</v>
      </c>
      <c r="M38" s="130">
        <f>+'NCES Public Free-Reduced Lunch '!AT36</f>
        <v>62.171492368486767</v>
      </c>
      <c r="N38" s="216">
        <f>RANK('NCES Public Free-Reduced Lunch '!AJ36,'NCES Public Free-Reduced Lunch '!$AJ$11:$AJ$64)</f>
        <v>4</v>
      </c>
      <c r="O38" s="121">
        <f>RANK('NCES Public Free-Reduced Lunch '!AT36,'NCES Public Free-Reduced Lunch '!$AT$11:$AT$64)</f>
        <v>6</v>
      </c>
    </row>
    <row r="39" spans="1:15">
      <c r="A39" s="121" t="s">
        <v>154</v>
      </c>
      <c r="B39" s="121"/>
      <c r="C39" s="181">
        <f>'Public PreK-12 Enrollment'!AU40</f>
        <v>601318</v>
      </c>
      <c r="D39" s="216">
        <f>RANK('Public PreK-12 Enrollment'!AK40,'Public PreK-12 Enrollment'!$AK$14:$AK$67,0)</f>
        <v>29</v>
      </c>
      <c r="E39" s="181">
        <f>RANK('Public PreK-12 Enrollment'!AU40,'Public PreK-12 Enrollment'!$AU$14:$AU$67)</f>
        <v>29</v>
      </c>
      <c r="F39" s="130">
        <f>(('Public PreK-12 Enrollment'!AU40-'Public PreK-12 Enrollment'!AK40)/'Public PreK-12 Enrollment'!AK40)*100</f>
        <v>8.8348521732834993</v>
      </c>
      <c r="G39" s="130">
        <f>(('Public PreK-12 Enrollment'!BG40-'Public PreK-12 Enrollment'!AU40)/'Public PreK-12 Enrollment'!AU40)*100</f>
        <v>4.2044309333830023</v>
      </c>
      <c r="H39" s="208">
        <f>'Public Minority Rep'!BR42</f>
        <v>24.613078881075332</v>
      </c>
      <c r="I39" s="130">
        <f>'Public Minority Rep'!GX42</f>
        <v>36.687576290747991</v>
      </c>
      <c r="J39" s="216">
        <f>RANK('Public Minority Rep'!BR42,'Public Minority Rep'!$BR$16:$BR$69)</f>
        <v>30</v>
      </c>
      <c r="K39" s="121">
        <f>RANK('Public Minority Rep'!GX42,'Public Minority Rep'!$GX$16:$GX$69)</f>
        <v>26</v>
      </c>
      <c r="L39" s="208">
        <f>+'NCES Public Free-Reduced Lunch '!AJ37</f>
        <v>41.930121108551901</v>
      </c>
      <c r="M39" s="130">
        <f>+'NCES Public Free-Reduced Lunch '!AT37</f>
        <v>47.848226728619466</v>
      </c>
      <c r="N39" s="216">
        <f>RANK('NCES Public Free-Reduced Lunch '!AJ37,'NCES Public Free-Reduced Lunch '!$AJ$11:$AJ$64)</f>
        <v>16</v>
      </c>
      <c r="O39" s="121">
        <f>RANK('NCES Public Free-Reduced Lunch '!AT37,'NCES Public Free-Reduced Lunch '!$AT$11:$AT$64)</f>
        <v>24</v>
      </c>
    </row>
    <row r="40" spans="1:15">
      <c r="A40" s="121" t="s">
        <v>158</v>
      </c>
      <c r="B40" s="121"/>
      <c r="C40" s="181">
        <f>'Public PreK-12 Enrollment'!AU41</f>
        <v>635577</v>
      </c>
      <c r="D40" s="216">
        <f>RANK('Public PreK-12 Enrollment'!AK41,'Public PreK-12 Enrollment'!$AK$14:$AK$67,0)</f>
        <v>30</v>
      </c>
      <c r="E40" s="181">
        <f>RANK('Public PreK-12 Enrollment'!AU41,'Public PreK-12 Enrollment'!$AU$14:$AU$67)</f>
        <v>28</v>
      </c>
      <c r="F40" s="130">
        <f>(('Public PreK-12 Enrollment'!AU41-'Public PreK-12 Enrollment'!AK41)/'Public PreK-12 Enrollment'!AK41)*100</f>
        <v>26.204957437049124</v>
      </c>
      <c r="G40" s="130">
        <f>(('Public PreK-12 Enrollment'!BG41-'Public PreK-12 Enrollment'!AU41)/'Public PreK-12 Enrollment'!AU41)*100</f>
        <v>10.859895811207769</v>
      </c>
      <c r="H40" s="208">
        <f>'Public Minority Rep'!BR43</f>
        <v>17.325213213796115</v>
      </c>
      <c r="I40" s="130">
        <f>'Public Minority Rep'!GX43</f>
        <v>24.308777693340069</v>
      </c>
      <c r="J40" s="216">
        <f>RANK('Public Minority Rep'!BR43,'Public Minority Rep'!$BR$16:$BR$69)</f>
        <v>39</v>
      </c>
      <c r="K40" s="121">
        <f>RANK('Public Minority Rep'!GX43,'Public Minority Rep'!$GX$16:$GX$69)</f>
        <v>38</v>
      </c>
      <c r="L40" s="208">
        <f>+'NCES Public Free-Reduced Lunch '!AJ38</f>
        <v>32.364068727466119</v>
      </c>
      <c r="M40" s="130">
        <f>+'NCES Public Free-Reduced Lunch '!AT38</f>
        <v>36.939033350797779</v>
      </c>
      <c r="N40" s="216">
        <f>RANK('NCES Public Free-Reduced Lunch '!AJ38,'NCES Public Free-Reduced Lunch '!$AJ$11:$AJ$64)</f>
        <v>32</v>
      </c>
      <c r="O40" s="121">
        <f>RANK('NCES Public Free-Reduced Lunch '!AT38,'NCES Public Free-Reduced Lunch '!$AT$11:$AT$64)</f>
        <v>46</v>
      </c>
    </row>
    <row r="41" spans="1:15">
      <c r="A41" s="121" t="s">
        <v>160</v>
      </c>
      <c r="B41" s="121"/>
      <c r="C41" s="181">
        <f>'Public PreK-12 Enrollment'!AU42</f>
        <v>1073638</v>
      </c>
      <c r="D41" s="216">
        <f>RANK('Public PreK-12 Enrollment'!AK42,'Public PreK-12 Enrollment'!$AK$14:$AK$67,0)</f>
        <v>15</v>
      </c>
      <c r="E41" s="181">
        <f>RANK('Public PreK-12 Enrollment'!AU42,'Public PreK-12 Enrollment'!$AU$14:$AU$67)</f>
        <v>14</v>
      </c>
      <c r="F41" s="130">
        <f>(('Public PreK-12 Enrollment'!AU42-'Public PreK-12 Enrollment'!AK42)/'Public PreK-12 Enrollment'!AK42)*100</f>
        <v>5.2581114798456872</v>
      </c>
      <c r="G41" s="130">
        <f>(('Public PreK-12 Enrollment'!BG42-'Public PreK-12 Enrollment'!AU42)/'Public PreK-12 Enrollment'!AU42)*100</f>
        <v>9.6645237966614452</v>
      </c>
      <c r="H41" s="208">
        <f>'Public Minority Rep'!BR44</f>
        <v>29.282967422654416</v>
      </c>
      <c r="I41" s="130">
        <f>'Public Minority Rep'!GX44</f>
        <v>42.817784020312246</v>
      </c>
      <c r="J41" s="216">
        <f>RANK('Public Minority Rep'!BR44,'Public Minority Rep'!$BR$16:$BR$69)</f>
        <v>26</v>
      </c>
      <c r="K41" s="121">
        <f>RANK('Public Minority Rep'!GX44,'Public Minority Rep'!$GX$16:$GX$69)</f>
        <v>22</v>
      </c>
      <c r="L41" s="208">
        <f>+'NCES Public Free-Reduced Lunch '!AJ39</f>
        <v>36.081224962793463</v>
      </c>
      <c r="M41" s="130">
        <f>+'NCES Public Free-Reduced Lunch '!AT39</f>
        <v>45.945840218025069</v>
      </c>
      <c r="N41" s="216">
        <f>RANK('NCES Public Free-Reduced Lunch '!AJ39,'NCES Public Free-Reduced Lunch '!$AJ$11:$AJ$64)</f>
        <v>24</v>
      </c>
      <c r="O41" s="121">
        <f>RANK('NCES Public Free-Reduced Lunch '!AT39,'NCES Public Free-Reduced Lunch '!$AT$11:$AT$64)</f>
        <v>26</v>
      </c>
    </row>
    <row r="42" spans="1:15">
      <c r="A42" s="125" t="s">
        <v>162</v>
      </c>
      <c r="B42" s="125"/>
      <c r="C42" s="183">
        <f>'Public PreK-12 Enrollment'!AU43</f>
        <v>94067</v>
      </c>
      <c r="D42" s="218">
        <f>RANK('Public PreK-12 Enrollment'!AK43,'Public PreK-12 Enrollment'!$AK$14:$AK$67,0)</f>
        <v>50</v>
      </c>
      <c r="E42" s="183">
        <f>RANK('Public PreK-12 Enrollment'!AU43,'Public PreK-12 Enrollment'!$AU$14:$AU$67)</f>
        <v>49</v>
      </c>
      <c r="F42" s="466">
        <f>(('Public PreK-12 Enrollment'!AU43-'Public PreK-12 Enrollment'!AK43)/'Public PreK-12 Enrollment'!AK43)*100</f>
        <v>11.015778976313833</v>
      </c>
      <c r="G42" s="466">
        <f>(('Public PreK-12 Enrollment'!BG43-'Public PreK-12 Enrollment'!AU43)/'Public PreK-12 Enrollment'!AU43)*100</f>
        <v>0.88553903069089057</v>
      </c>
      <c r="H42" s="210">
        <f>'Public Minority Rep'!BR45</f>
        <v>14.445375473546314</v>
      </c>
      <c r="I42" s="466">
        <f>'Public Minority Rep'!GX45</f>
        <v>21.249747520384407</v>
      </c>
      <c r="J42" s="218">
        <f>RANK('Public Minority Rep'!BR45,'Public Minority Rep'!$BR$16:$BR$69)</f>
        <v>43</v>
      </c>
      <c r="K42" s="125">
        <f>RANK('Public Minority Rep'!GX45,'Public Minority Rep'!$GX$16:$GX$69)</f>
        <v>42</v>
      </c>
      <c r="L42" s="210">
        <f>+'NCES Public Free-Reduced Lunch '!AJ40</f>
        <v>32.146537327221694</v>
      </c>
      <c r="M42" s="437">
        <f>+'NCES Public Free-Reduced Lunch '!AT40</f>
        <v>37.62530961973912</v>
      </c>
      <c r="N42" s="216">
        <f>RANK('NCES Public Free-Reduced Lunch '!AJ40,'NCES Public Free-Reduced Lunch '!$AJ$11:$AJ$64)</f>
        <v>33</v>
      </c>
      <c r="O42" s="121">
        <f>RANK('NCES Public Free-Reduced Lunch '!AT40,'NCES Public Free-Reduced Lunch '!$AT$11:$AT$64)</f>
        <v>44</v>
      </c>
    </row>
    <row r="43" spans="1:15">
      <c r="A43" s="120" t="s">
        <v>246</v>
      </c>
      <c r="B43" s="120"/>
      <c r="C43" s="180">
        <f>'Public PreK-12 Enrollment'!AU9</f>
        <v>10560539</v>
      </c>
      <c r="D43" s="215"/>
      <c r="E43" s="180"/>
      <c r="F43" s="129">
        <f>(('Public PreK-12 Enrollment'!AU9-'Public PreK-12 Enrollment'!AK9)/'Public PreK-12 Enrollment'!AK9)*100</f>
        <v>-1.994077440587174</v>
      </c>
      <c r="G43" s="129">
        <f>(('Public PreK-12 Enrollment'!BG9-'Public PreK-12 Enrollment'!AU9)/'Public PreK-12 Enrollment'!AU9)*100</f>
        <v>-0.42743083473296201</v>
      </c>
      <c r="H43" s="207">
        <f>'Public Minority Rep'!BR11</f>
        <v>21.212987907177585</v>
      </c>
      <c r="I43" s="129">
        <f>'Public Minority Rep'!GX11</f>
        <v>33.35503992741279</v>
      </c>
      <c r="J43" s="215"/>
      <c r="K43" s="120"/>
      <c r="L43" s="207">
        <f>+'NCES Public Free-Reduced Lunch '!AJ8</f>
        <v>34.844725305500994</v>
      </c>
      <c r="M43" s="129">
        <f>+'NCES Public Free-Reduced Lunch '!AT8</f>
        <v>46.601352449908099</v>
      </c>
      <c r="N43" s="225"/>
      <c r="O43" s="126"/>
    </row>
    <row r="44" spans="1:15">
      <c r="A44" s="120" t="s">
        <v>248</v>
      </c>
      <c r="B44" s="120"/>
      <c r="C44" s="186">
        <f>'Public PreK-12 Enrollment'!AU10</f>
        <v>20.989857387757546</v>
      </c>
      <c r="D44" s="215"/>
      <c r="E44" s="180"/>
      <c r="G44" s="129"/>
      <c r="H44" s="209"/>
      <c r="I44" s="131"/>
      <c r="J44" s="215"/>
      <c r="K44" s="120"/>
      <c r="L44" s="209"/>
      <c r="M44" s="131"/>
      <c r="N44" s="217"/>
      <c r="O44" s="122"/>
    </row>
    <row r="45" spans="1:15">
      <c r="A45" s="121" t="s">
        <v>136</v>
      </c>
      <c r="B45" s="121"/>
      <c r="C45" s="181">
        <f>'Public PreK-12 Enrollment'!AU45</f>
        <v>2050239</v>
      </c>
      <c r="D45" s="216">
        <f>RANK('Public PreK-12 Enrollment'!AK45,'Public PreK-12 Enrollment'!$AK$14:$AK$67,0)</f>
        <v>5</v>
      </c>
      <c r="E45" s="181">
        <f>RANK('Public PreK-12 Enrollment'!AU45,'Public PreK-12 Enrollment'!$AU$14:$AU$67)</f>
        <v>5</v>
      </c>
      <c r="F45" s="130">
        <f>(('Public PreK-12 Enrollment'!AU45-'Public PreK-12 Enrollment'!AK45)/'Public PreK-12 Enrollment'!AK45)*100</f>
        <v>-2.25334600236567</v>
      </c>
      <c r="G45" s="130">
        <f>(('Public PreK-12 Enrollment'!BG45-'Public PreK-12 Enrollment'!AU45)/'Public PreK-12 Enrollment'!AU45)*100</f>
        <v>0.13466722660138647</v>
      </c>
      <c r="H45" s="208">
        <f>'Public Minority Rep'!BR47</f>
        <v>43.016181447419314</v>
      </c>
      <c r="I45" s="130">
        <f>'Public Minority Rep'!GX47</f>
        <v>50.595272063403343</v>
      </c>
      <c r="J45" s="216">
        <f>RANK('Public Minority Rep'!BR47,'Public Minority Rep'!$BR16:$BR$69)</f>
        <v>15</v>
      </c>
      <c r="K45" s="121">
        <f>RANK('Public Minority Rep'!GX47,'Public Minority Rep'!$GX$16:$GX$69)</f>
        <v>16</v>
      </c>
      <c r="L45" s="208">
        <f>+'NCES Public Free-Reduced Lunch '!AJ42</f>
        <v>39.508571991559208</v>
      </c>
      <c r="M45" s="130">
        <f>+'NCES Public Free-Reduced Lunch '!AT42</f>
        <v>53.866012694129807</v>
      </c>
      <c r="N45" s="216">
        <f>RANK('NCES Public Free-Reduced Lunch '!AJ42,'NCES Public Free-Reduced Lunch '!$AJ$11:$AJ$64)</f>
        <v>19</v>
      </c>
      <c r="O45" s="121">
        <f>RANK('NCES Public Free-Reduced Lunch '!AT42,'NCES Public Free-Reduced Lunch '!$AT$11:$AT$64)</f>
        <v>15</v>
      </c>
    </row>
    <row r="46" spans="1:15">
      <c r="A46" s="121" t="s">
        <v>137</v>
      </c>
      <c r="B46" s="121"/>
      <c r="C46" s="181">
        <f>'Public PreK-12 Enrollment'!AU46</f>
        <v>1046269</v>
      </c>
      <c r="D46" s="216">
        <f>RANK('Public PreK-12 Enrollment'!AK46,'Public PreK-12 Enrollment'!$AK$14:$AK$67,0)</f>
        <v>14</v>
      </c>
      <c r="E46" s="181">
        <f>RANK('Public PreK-12 Enrollment'!AU46,'Public PreK-12 Enrollment'!$AU$14:$AU$67)</f>
        <v>15</v>
      </c>
      <c r="F46" s="130">
        <f>(('Public PreK-12 Enrollment'!AU46-'Public PreK-12 Enrollment'!AK46)/'Public PreK-12 Enrollment'!AK46)*100</f>
        <v>2.4400106525885401</v>
      </c>
      <c r="G46" s="130">
        <f>(('Public PreK-12 Enrollment'!BG46-'Public PreK-12 Enrollment'!AU46)/'Public PreK-12 Enrollment'!AU46)*100</f>
        <v>-3.5142969924560505</v>
      </c>
      <c r="H46" s="208">
        <f>'Public Minority Rep'!BR48</f>
        <v>18.960922232187261</v>
      </c>
      <c r="I46" s="130">
        <f>'Public Minority Rep'!GX48</f>
        <v>29.790617900367877</v>
      </c>
      <c r="J46" s="216">
        <f>RANK('Public Minority Rep'!BR48,'Public Minority Rep'!$BR17:$BR$69)</f>
        <v>37</v>
      </c>
      <c r="K46" s="121">
        <f>RANK('Public Minority Rep'!GX48,'Public Minority Rep'!$GX$16:$GX$69)</f>
        <v>34</v>
      </c>
      <c r="L46" s="208">
        <f>+'NCES Public Free-Reduced Lunch '!AJ43</f>
        <v>36.335050105959908</v>
      </c>
      <c r="M46" s="130">
        <f>+'NCES Public Free-Reduced Lunch '!AT43</f>
        <v>49.125702854619604</v>
      </c>
      <c r="N46" s="216">
        <f>RANK('NCES Public Free-Reduced Lunch '!AJ43,'NCES Public Free-Reduced Lunch '!$AJ$11:$AJ$64)</f>
        <v>23</v>
      </c>
      <c r="O46" s="121">
        <f>RANK('NCES Public Free-Reduced Lunch '!AT43,'NCES Public Free-Reduced Lunch '!$AT$11:$AT$64)</f>
        <v>22</v>
      </c>
    </row>
    <row r="47" spans="1:15">
      <c r="A47" s="121" t="s">
        <v>138</v>
      </c>
      <c r="B47" s="121"/>
      <c r="C47" s="181">
        <f>'Public PreK-12 Enrollment'!AU47</f>
        <v>505311</v>
      </c>
      <c r="D47" s="216">
        <f>RANK('Public PreK-12 Enrollment'!AK47,'Public PreK-12 Enrollment'!$AK$14:$AK$67,0)</f>
        <v>32</v>
      </c>
      <c r="E47" s="181">
        <f>RANK('Public PreK-12 Enrollment'!AU47,'Public PreK-12 Enrollment'!$AU$14:$AU$67)</f>
        <v>31</v>
      </c>
      <c r="F47" s="130">
        <f>(('Public PreK-12 Enrollment'!AU47-'Public PreK-12 Enrollment'!AK47)/'Public PreK-12 Enrollment'!AK47)*100</f>
        <v>5.6430959255225064</v>
      </c>
      <c r="G47" s="130">
        <f>(('Public PreK-12 Enrollment'!BG47-'Public PreK-12 Enrollment'!AU47)/'Public PreK-12 Enrollment'!AU47)*100</f>
        <v>-0.754189004395313</v>
      </c>
      <c r="H47" s="208">
        <f>'Public Minority Rep'!BR49</f>
        <v>12.647835440365112</v>
      </c>
      <c r="I47" s="130">
        <f>'Public Minority Rep'!GX49</f>
        <v>21.705048969842338</v>
      </c>
      <c r="J47" s="216">
        <f>RANK('Public Minority Rep'!BR49,'Public Minority Rep'!$BR18:$BR$69)</f>
        <v>44</v>
      </c>
      <c r="K47" s="121">
        <f>RANK('Public Minority Rep'!GX49,'Public Minority Rep'!$GX$16:$GX$69)</f>
        <v>41</v>
      </c>
      <c r="L47" s="208">
        <f>+'NCES Public Free-Reduced Lunch '!AJ44</f>
        <v>31.11673413597704</v>
      </c>
      <c r="M47" s="130">
        <f>+'NCES Public Free-Reduced Lunch '!AT44</f>
        <v>40.032376101054595</v>
      </c>
      <c r="N47" s="216">
        <f>RANK('NCES Public Free-Reduced Lunch '!AJ44,'NCES Public Free-Reduced Lunch '!$AJ$11:$AJ$64)</f>
        <v>37</v>
      </c>
      <c r="O47" s="121">
        <f>RANK('NCES Public Free-Reduced Lunch '!AT44,'NCES Public Free-Reduced Lunch '!$AT$11:$AT$64)</f>
        <v>38</v>
      </c>
    </row>
    <row r="48" spans="1:15">
      <c r="A48" s="121" t="s">
        <v>139</v>
      </c>
      <c r="B48" s="121"/>
      <c r="C48" s="181">
        <f>'Public PreK-12 Enrollment'!AU48</f>
        <v>497275</v>
      </c>
      <c r="D48" s="216">
        <f>RANK('Public PreK-12 Enrollment'!AK48,'Public PreK-12 Enrollment'!$AK$14:$AK$67,0)</f>
        <v>33</v>
      </c>
      <c r="E48" s="181">
        <f>RANK('Public PreK-12 Enrollment'!AU48,'Public PreK-12 Enrollment'!$AU$14:$AU$67)</f>
        <v>32</v>
      </c>
      <c r="F48" s="130">
        <f>(('Public PreK-12 Enrollment'!AU48-'Public PreK-12 Enrollment'!AK48)/'Public PreK-12 Enrollment'!AK48)*100</f>
        <v>5.9980474745063264</v>
      </c>
      <c r="G48" s="130">
        <f>(('Public PreK-12 Enrollment'!BG48-'Public PreK-12 Enrollment'!AU48)/'Public PreK-12 Enrollment'!AU48)*100</f>
        <v>0.40721934543260768</v>
      </c>
      <c r="H48" s="208">
        <f>'Public Minority Rep'!BR50</f>
        <v>24.119517845223601</v>
      </c>
      <c r="I48" s="130">
        <f>'Public Minority Rep'!GX50</f>
        <v>34.637976974511083</v>
      </c>
      <c r="J48" s="216">
        <f>RANK('Public Minority Rep'!BR50,'Public Minority Rep'!$BR19:$BR$69)</f>
        <v>29</v>
      </c>
      <c r="K48" s="121">
        <f>RANK('Public Minority Rep'!GX50,'Public Minority Rep'!$GX$16:$GX$69)</f>
        <v>29</v>
      </c>
      <c r="L48" s="208">
        <f>+'NCES Public Free-Reduced Lunch '!AJ45</f>
        <v>38.552693338934404</v>
      </c>
      <c r="M48" s="130">
        <f>+'NCES Public Free-Reduced Lunch '!AT45</f>
        <v>49.211201045699063</v>
      </c>
      <c r="N48" s="216">
        <f>RANK('NCES Public Free-Reduced Lunch '!AJ45,'NCES Public Free-Reduced Lunch '!$AJ$11:$AJ$64)</f>
        <v>21</v>
      </c>
      <c r="O48" s="121">
        <f>RANK('NCES Public Free-Reduced Lunch '!AT45,'NCES Public Free-Reduced Lunch '!$AT$11:$AT$64)</f>
        <v>21</v>
      </c>
    </row>
    <row r="49" spans="1:15">
      <c r="A49" s="122" t="s">
        <v>142</v>
      </c>
      <c r="B49" s="122"/>
      <c r="C49" s="180">
        <f>'Public PreK-12 Enrollment'!AU49</f>
        <v>1537922</v>
      </c>
      <c r="D49" s="215">
        <f>RANK('Public PreK-12 Enrollment'!AK49,'Public PreK-12 Enrollment'!$AK$14:$AK$67,0)</f>
        <v>8</v>
      </c>
      <c r="E49" s="180">
        <f>RANK('Public PreK-12 Enrollment'!AU49,'Public PreK-12 Enrollment'!$AU$14:$AU$67)</f>
        <v>10</v>
      </c>
      <c r="F49" s="129">
        <f>(('Public PreK-12 Enrollment'!AU49-'Public PreK-12 Enrollment'!AK49)/'Public PreK-12 Enrollment'!AK49)*100</f>
        <v>-12.18347618041558</v>
      </c>
      <c r="G49" s="129">
        <f>(('Public PreK-12 Enrollment'!BG49-'Public PreK-12 Enrollment'!AU49)/'Public PreK-12 Enrollment'!AU49)*100</f>
        <v>-4.2019036075951837</v>
      </c>
      <c r="H49" s="207">
        <f>'Public Minority Rep'!BR51</f>
        <v>27.296515805630126</v>
      </c>
      <c r="I49" s="129">
        <f>'Public Minority Rep'!GX51</f>
        <v>32.292795083235688</v>
      </c>
      <c r="J49" s="215">
        <f>RANK('Public Minority Rep'!BR51,'Public Minority Rep'!$BR20:$BR$69)</f>
        <v>24</v>
      </c>
      <c r="K49" s="120">
        <f>RANK('Public Minority Rep'!GX51,'Public Minority Rep'!$GX$16:$GX$69)</f>
        <v>30</v>
      </c>
      <c r="L49" s="207">
        <f>+'NCES Public Free-Reduced Lunch '!AJ46</f>
        <v>35.978392279792907</v>
      </c>
      <c r="M49" s="129">
        <f>+'NCES Public Free-Reduced Lunch '!AT46</f>
        <v>45.221994353419745</v>
      </c>
      <c r="N49" s="215">
        <f>RANK('NCES Public Free-Reduced Lunch '!AJ46,'NCES Public Free-Reduced Lunch '!$AJ$11:$AJ$64)</f>
        <v>25</v>
      </c>
      <c r="O49" s="120">
        <f>RANK('NCES Public Free-Reduced Lunch '!AT46,'NCES Public Free-Reduced Lunch '!$AT$11:$AT$64)</f>
        <v>28</v>
      </c>
    </row>
    <row r="50" spans="1:15">
      <c r="A50" s="122" t="s">
        <v>143</v>
      </c>
      <c r="B50" s="122"/>
      <c r="C50" s="180">
        <f>'Public PreK-12 Enrollment'!AU50</f>
        <v>857235</v>
      </c>
      <c r="D50" s="215">
        <f>RANK('Public PreK-12 Enrollment'!AK50,'Public PreK-12 Enrollment'!$AK$14:$AK$67,0)</f>
        <v>21</v>
      </c>
      <c r="E50" s="180">
        <f>RANK('Public PreK-12 Enrollment'!AU50,'Public PreK-12 Enrollment'!$AU$14:$AU$67)</f>
        <v>22</v>
      </c>
      <c r="F50" s="129">
        <f>(('Public PreK-12 Enrollment'!AU50-'Public PreK-12 Enrollment'!AK50)/'Public PreK-12 Enrollment'!AK50)*100</f>
        <v>2.23398127377004</v>
      </c>
      <c r="G50" s="129">
        <f>(('Public PreK-12 Enrollment'!BG50-'Public PreK-12 Enrollment'!AU50)/'Public PreK-12 Enrollment'!AU50)*100</f>
        <v>9.3865742765985978</v>
      </c>
      <c r="H50" s="207">
        <f>'Public Minority Rep'!BR52</f>
        <v>20.681261724764255</v>
      </c>
      <c r="I50" s="129">
        <f>'Public Minority Rep'!GX52</f>
        <v>30.392949424603525</v>
      </c>
      <c r="J50" s="215">
        <f>RANK('Public Minority Rep'!BR52,'Public Minority Rep'!$BR21:$BR$69)</f>
        <v>32</v>
      </c>
      <c r="K50" s="120">
        <f>RANK('Public Minority Rep'!GX52,'Public Minority Rep'!$GX$16:$GX$69)</f>
        <v>33</v>
      </c>
      <c r="L50" s="207">
        <f>+'NCES Public Free-Reduced Lunch '!AJ47</f>
        <v>29.521738767438784</v>
      </c>
      <c r="M50" s="129">
        <f>+'NCES Public Free-Reduced Lunch '!AT47</f>
        <v>38.324496783262468</v>
      </c>
      <c r="N50" s="215">
        <f>RANK('NCES Public Free-Reduced Lunch '!AJ47,'NCES Public Free-Reduced Lunch '!$AJ$11:$AJ$64)</f>
        <v>40</v>
      </c>
      <c r="O50" s="120">
        <f>RANK('NCES Public Free-Reduced Lunch '!AT47,'NCES Public Free-Reduced Lunch '!$AT$11:$AT$64)</f>
        <v>41</v>
      </c>
    </row>
    <row r="51" spans="1:15">
      <c r="A51" s="122" t="s">
        <v>144</v>
      </c>
      <c r="B51" s="122"/>
      <c r="C51" s="180">
        <f>'Public PreK-12 Enrollment'!AU51</f>
        <v>917785</v>
      </c>
      <c r="D51" s="215">
        <f>RANK('Public PreK-12 Enrollment'!AK51,'Public PreK-12 Enrollment'!$AK$14:$AK$67,0)</f>
        <v>18</v>
      </c>
      <c r="E51" s="180">
        <f>RANK('Public PreK-12 Enrollment'!AU51,'Public PreK-12 Enrollment'!$AU$14:$AU$67)</f>
        <v>18</v>
      </c>
      <c r="F51" s="129">
        <f>(('Public PreK-12 Enrollment'!AU51-'Public PreK-12 Enrollment'!AK51)/'Public PreK-12 Enrollment'!AK51)*100</f>
        <v>1.3624179826804159</v>
      </c>
      <c r="G51" s="129">
        <f>(('Public PreK-12 Enrollment'!BG51-'Public PreK-12 Enrollment'!AU51)/'Public PreK-12 Enrollment'!AU51)*100</f>
        <v>1.3309217300348122</v>
      </c>
      <c r="H51" s="207">
        <f>'Public Minority Rep'!BR53</f>
        <v>22.650309404505386</v>
      </c>
      <c r="I51" s="129">
        <f>'Public Minority Rep'!GX53</f>
        <v>27.321649405906616</v>
      </c>
      <c r="J51" s="215">
        <f>RANK('Public Minority Rep'!BR53,'Public Minority Rep'!$BR22:$BR$69)</f>
        <v>28</v>
      </c>
      <c r="K51" s="120">
        <f>RANK('Public Minority Rep'!GX53,'Public Minority Rep'!$GX$16:$GX$69)</f>
        <v>37</v>
      </c>
      <c r="L51" s="207">
        <f>+'NCES Public Free-Reduced Lunch '!AJ48</f>
        <v>39.105188121527711</v>
      </c>
      <c r="M51" s="129">
        <f>+'NCES Public Free-Reduced Lunch '!AT48</f>
        <v>51.311254814580757</v>
      </c>
      <c r="N51" s="215">
        <f>RANK('NCES Public Free-Reduced Lunch '!AJ48,'NCES Public Free-Reduced Lunch '!$AJ$11:$AJ$64)</f>
        <v>20</v>
      </c>
      <c r="O51" s="120">
        <f>RANK('NCES Public Free-Reduced Lunch '!AT48,'NCES Public Free-Reduced Lunch '!$AT$11:$AT$64)</f>
        <v>18</v>
      </c>
    </row>
    <row r="52" spans="1:15">
      <c r="A52" s="122" t="s">
        <v>146</v>
      </c>
      <c r="B52" s="122"/>
      <c r="C52" s="180">
        <f>'Public PreK-12 Enrollment'!AU52</f>
        <v>312635</v>
      </c>
      <c r="D52" s="215">
        <f>RANK('Public PreK-12 Enrollment'!AK52,'Public PreK-12 Enrollment'!$AK$14:$AK$67,0)</f>
        <v>37</v>
      </c>
      <c r="E52" s="180">
        <f>RANK('Public PreK-12 Enrollment'!AU52,'Public PreK-12 Enrollment'!$AU$14:$AU$67)</f>
        <v>37</v>
      </c>
      <c r="F52" s="129">
        <f>(('Public PreK-12 Enrollment'!AU52-'Public PreK-12 Enrollment'!AK52)/'Public PreK-12 Enrollment'!AK52)*100</f>
        <v>9.4043623867497672</v>
      </c>
      <c r="G52" s="129">
        <f>(('Public PreK-12 Enrollment'!BG52-'Public PreK-12 Enrollment'!AU52)/'Public PreK-12 Enrollment'!AU52)*100</f>
        <v>1.2042797511475043</v>
      </c>
      <c r="H52" s="207">
        <f>'Public Minority Rep'!BR54</f>
        <v>21.543527633231964</v>
      </c>
      <c r="I52" s="129">
        <f>'Public Minority Rep'!GX54</f>
        <v>31.831048986837683</v>
      </c>
      <c r="J52" s="215">
        <f>RANK('Public Minority Rep'!BR54,'Public Minority Rep'!$BR23:$BR$69)</f>
        <v>29</v>
      </c>
      <c r="K52" s="120">
        <f>RANK('Public Minority Rep'!GX54,'Public Minority Rep'!$GX$16:$GX$69)</f>
        <v>31</v>
      </c>
      <c r="L52" s="207">
        <f>+'NCES Public Free-Reduced Lunch '!AJ49</f>
        <v>34.763176407589278</v>
      </c>
      <c r="M52" s="129">
        <f>+'NCES Public Free-Reduced Lunch '!AT49</f>
        <v>44.262158747421118</v>
      </c>
      <c r="N52" s="215">
        <f>RANK('NCES Public Free-Reduced Lunch '!AJ49,'NCES Public Free-Reduced Lunch '!$AJ$11:$AJ$64)</f>
        <v>27</v>
      </c>
      <c r="O52" s="120">
        <f>RANK('NCES Public Free-Reduced Lunch '!AT49,'NCES Public Free-Reduced Lunch '!$AT$11:$AT$64)</f>
        <v>32</v>
      </c>
    </row>
    <row r="53" spans="1:15">
      <c r="A53" s="121" t="s">
        <v>152</v>
      </c>
      <c r="B53" s="121"/>
      <c r="C53" s="181">
        <f>'Public PreK-12 Enrollment'!AU53</f>
        <v>106586</v>
      </c>
      <c r="D53" s="216">
        <f>RANK('Public PreK-12 Enrollment'!AK53,'Public PreK-12 Enrollment'!$AK$14:$AK$67,0)</f>
        <v>48</v>
      </c>
      <c r="E53" s="181">
        <f>RANK('Public PreK-12 Enrollment'!AU53,'Public PreK-12 Enrollment'!$AU$14:$AU$67)</f>
        <v>48</v>
      </c>
      <c r="F53" s="130">
        <f>(('Public PreK-12 Enrollment'!AU53-'Public PreK-12 Enrollment'!AK53)/'Public PreK-12 Enrollment'!AK53)*100</f>
        <v>6.0420045168286691</v>
      </c>
      <c r="G53" s="130">
        <f>(('Public PreK-12 Enrollment'!BG53-'Public PreK-12 Enrollment'!AU53)/'Public PreK-12 Enrollment'!AU53)*100</f>
        <v>1.1389863584335655</v>
      </c>
      <c r="H53" s="208">
        <f>'Public Minority Rep'!BR55</f>
        <v>12.762528230179182</v>
      </c>
      <c r="I53" s="130">
        <f>'Public Minority Rep'!GX55</f>
        <v>19.746495787439251</v>
      </c>
      <c r="J53" s="216">
        <f>RANK('Public Minority Rep'!BR55,'Public Minority Rep'!$BR24:$BR$69)</f>
        <v>37</v>
      </c>
      <c r="K53" s="121">
        <f>RANK('Public Minority Rep'!GX55,'Public Minority Rep'!$GX$16:$GX$69)</f>
        <v>45</v>
      </c>
      <c r="L53" s="208">
        <f>+'NCES Public Free-Reduced Lunch '!AJ50</f>
        <v>29.056393520913758</v>
      </c>
      <c r="M53" s="130">
        <f>+'NCES Public Free-Reduced Lunch '!AT50</f>
        <v>30.393297431182333</v>
      </c>
      <c r="N53" s="216">
        <f>RANK('NCES Public Free-Reduced Lunch '!AJ50,'NCES Public Free-Reduced Lunch '!$AJ$11:$AJ$64)</f>
        <v>41</v>
      </c>
      <c r="O53" s="121">
        <f>RANK('NCES Public Free-Reduced Lunch '!AT50,'NCES Public Free-Reduced Lunch '!$AT$11:$AT$64)</f>
        <v>48</v>
      </c>
    </row>
    <row r="54" spans="1:15">
      <c r="A54" s="121" t="s">
        <v>153</v>
      </c>
      <c r="B54" s="121"/>
      <c r="C54" s="181">
        <f>'Public PreK-12 Enrollment'!AU54</f>
        <v>1724810</v>
      </c>
      <c r="D54" s="216">
        <f>RANK('Public PreK-12 Enrollment'!AK54,'Public PreK-12 Enrollment'!$AK$14:$AK$67,0)</f>
        <v>6</v>
      </c>
      <c r="E54" s="181">
        <f>RANK('Public PreK-12 Enrollment'!AU54,'Public PreK-12 Enrollment'!$AU$14:$AU$67)</f>
        <v>8</v>
      </c>
      <c r="F54" s="130">
        <f>(('Public PreK-12 Enrollment'!AU54-'Public PreK-12 Enrollment'!AK54)/'Public PreK-12 Enrollment'!AK54)*100</f>
        <v>-6.2619563138032381</v>
      </c>
      <c r="G54" s="130">
        <f>(('Public PreK-12 Enrollment'!BG54-'Public PreK-12 Enrollment'!AU54)/'Public PreK-12 Enrollment'!AU54)*100</f>
        <v>-3.519807978849844</v>
      </c>
      <c r="H54" s="208">
        <f>'Public Minority Rep'!BR56</f>
        <v>20.882448181123205</v>
      </c>
      <c r="I54" s="130">
        <f>'Public Minority Rep'!GX56</f>
        <v>28.149825198137769</v>
      </c>
      <c r="J54" s="216">
        <f>RANK('Public Minority Rep'!BR56,'Public Minority Rep'!$BR25:$BR$69)</f>
        <v>28</v>
      </c>
      <c r="K54" s="121">
        <f>RANK('Public Minority Rep'!GX56,'Public Minority Rep'!$GX$16:$GX$69)</f>
        <v>36</v>
      </c>
      <c r="L54" s="208">
        <f>+'NCES Public Free-Reduced Lunch '!AJ51</f>
        <v>31.327054510083496</v>
      </c>
      <c r="M54" s="130">
        <f>+'NCES Public Free-Reduced Lunch '!AT51</f>
        <v>45.026176796284808</v>
      </c>
      <c r="N54" s="216">
        <f>RANK('NCES Public Free-Reduced Lunch '!AJ51,'NCES Public Free-Reduced Lunch '!$AJ$11:$AJ$64)</f>
        <v>36</v>
      </c>
      <c r="O54" s="121">
        <f>RANK('NCES Public Free-Reduced Lunch '!AT51,'NCES Public Free-Reduced Lunch '!$AT$11:$AT$64)</f>
        <v>31</v>
      </c>
    </row>
    <row r="55" spans="1:15">
      <c r="A55" s="121" t="s">
        <v>157</v>
      </c>
      <c r="B55" s="121"/>
      <c r="C55" s="181">
        <f>'Public PreK-12 Enrollment'!AU55</f>
        <v>133040</v>
      </c>
      <c r="D55" s="216">
        <f>RANK('Public PreK-12 Enrollment'!AK55,'Public PreK-12 Enrollment'!$AK$14:$AK$67,0)</f>
        <v>46</v>
      </c>
      <c r="E55" s="181">
        <f>RANK('Public PreK-12 Enrollment'!AU55,'Public PreK-12 Enrollment'!$AU$14:$AU$67)</f>
        <v>46</v>
      </c>
      <c r="F55" s="130">
        <f>(('Public PreK-12 Enrollment'!AU55-'Public PreK-12 Enrollment'!AK55)/'Public PreK-12 Enrollment'!AK55)*100</f>
        <v>8.3405267186762</v>
      </c>
      <c r="G55" s="130">
        <f>(('Public PreK-12 Enrollment'!BG55-'Public PreK-12 Enrollment'!AU55)/'Public PreK-12 Enrollment'!AU55)*100</f>
        <v>2.1497294046903188</v>
      </c>
      <c r="H55" s="208">
        <f>'Public Minority Rep'!BR57</f>
        <v>15.405788367888727</v>
      </c>
      <c r="I55" s="130">
        <f>'Public Minority Rep'!GX57</f>
        <v>23.960463018641008</v>
      </c>
      <c r="J55" s="216">
        <f>RANK('Public Minority Rep'!BR57,'Public Minority Rep'!$BR26:$BR$69)</f>
        <v>33</v>
      </c>
      <c r="K55" s="121">
        <f>RANK('Public Minority Rep'!GX57,'Public Minority Rep'!$GX$16:$GX$69)</f>
        <v>39</v>
      </c>
      <c r="L55" s="208">
        <f>+'NCES Public Free-Reduced Lunch '!AJ52</f>
        <v>30.006270817893821</v>
      </c>
      <c r="M55" s="130">
        <f>+'NCES Public Free-Reduced Lunch '!AT52</f>
        <v>39.427991581479255</v>
      </c>
      <c r="N55" s="216">
        <f>RANK('NCES Public Free-Reduced Lunch '!AJ52,'NCES Public Free-Reduced Lunch '!$AJ$11:$AJ$64)</f>
        <v>38</v>
      </c>
      <c r="O55" s="121">
        <f>RANK('NCES Public Free-Reduced Lunch '!AT52,'NCES Public Free-Reduced Lunch '!$AT$11:$AT$64)</f>
        <v>40</v>
      </c>
    </row>
    <row r="56" spans="1:15">
      <c r="A56" s="121" t="s">
        <v>161</v>
      </c>
      <c r="B56" s="121"/>
      <c r="C56" s="181">
        <f>'Public PreK-12 Enrollment'!AU56</f>
        <v>871432</v>
      </c>
      <c r="D56" s="216">
        <f>RANK('Public PreK-12 Enrollment'!AK56,'Public PreK-12 Enrollment'!$AK$14:$AK$67,0)</f>
        <v>20</v>
      </c>
      <c r="E56" s="181">
        <f>RANK('Public PreK-12 Enrollment'!AU56,'Public PreK-12 Enrollment'!$AU$14:$AU$67)</f>
        <v>21</v>
      </c>
      <c r="F56" s="130">
        <f>(('Public PreK-12 Enrollment'!AU56-'Public PreK-12 Enrollment'!AK56)/'Public PreK-12 Enrollment'!AK56)*100</f>
        <v>0.77189314454812163</v>
      </c>
      <c r="G56" s="130">
        <f>(('Public PreK-12 Enrollment'!BG56-'Public PreK-12 Enrollment'!AU56)/'Public PreK-12 Enrollment'!AU56)*100</f>
        <v>1.7750094097990432</v>
      </c>
      <c r="H56" s="208">
        <f>'Public Minority Rep'!BR58</f>
        <v>21.711070277546177</v>
      </c>
      <c r="I56" s="130">
        <f>'Public Minority Rep'!GX58</f>
        <v>28.187282541839181</v>
      </c>
      <c r="J56" s="218">
        <f>RANK('Public Minority Rep'!BR58,'Public Minority Rep'!$BR27:$BR$69)</f>
        <v>24</v>
      </c>
      <c r="K56" s="183">
        <f>RANK('Public Minority Rep'!GX58,'Public Minority Rep'!$GX$16:$GX$69)</f>
        <v>35</v>
      </c>
      <c r="L56" s="208">
        <f>+'NCES Public Free-Reduced Lunch '!AJ53</f>
        <v>29.782061239379605</v>
      </c>
      <c r="M56" s="130">
        <f>+'NCES Public Free-Reduced Lunch '!AT53</f>
        <v>41.449017249768197</v>
      </c>
      <c r="N56" s="216">
        <f>RANK('NCES Public Free-Reduced Lunch '!AJ53,'NCES Public Free-Reduced Lunch '!$AJ$11:$AJ$64)</f>
        <v>39</v>
      </c>
      <c r="O56" s="121">
        <f>RANK('NCES Public Free-Reduced Lunch '!AT53,'NCES Public Free-Reduced Lunch '!$AT$11:$AT$64)</f>
        <v>36</v>
      </c>
    </row>
    <row r="57" spans="1:15">
      <c r="A57" s="126" t="s">
        <v>247</v>
      </c>
      <c r="B57" s="126"/>
      <c r="C57" s="184">
        <f>'Public PreK-12 Enrollment'!AU11</f>
        <v>7979856</v>
      </c>
      <c r="D57" s="225"/>
      <c r="E57" s="184"/>
      <c r="F57" s="132">
        <f>(('Public PreK-12 Enrollment'!AU11-'Public PreK-12 Enrollment'!AK11)/'Public PreK-12 Enrollment'!AK11)*100</f>
        <v>-3.5230791346275097</v>
      </c>
      <c r="G57" s="132">
        <f>(('Public PreK-12 Enrollment'!BG11-'Public PreK-12 Enrollment'!AU11)/'Public PreK-12 Enrollment'!AU11)*100</f>
        <v>-2.3654060925410185</v>
      </c>
      <c r="H57" s="211">
        <f>'Public Minority Rep'!BR13</f>
        <v>27.476013963981252</v>
      </c>
      <c r="I57" s="132">
        <f>'Public Minority Rep'!GX13</f>
        <v>43.521073563232221</v>
      </c>
      <c r="J57" s="215"/>
      <c r="K57" s="120"/>
      <c r="L57" s="211">
        <f>+'NCES Public Free-Reduced Lunch '!AJ9</f>
        <v>23.750365714572695</v>
      </c>
      <c r="M57" s="132">
        <f>+'NCES Public Free-Reduced Lunch '!AT9</f>
        <v>43.798660025945331</v>
      </c>
      <c r="N57" s="225"/>
      <c r="O57" s="126"/>
    </row>
    <row r="58" spans="1:15">
      <c r="A58" s="122" t="s">
        <v>248</v>
      </c>
      <c r="B58" s="122"/>
      <c r="C58" s="187">
        <f>'Public PreK-12 Enrollment'!AU12</f>
        <v>15.860557819524304</v>
      </c>
      <c r="D58" s="217"/>
      <c r="E58" s="182"/>
      <c r="G58" s="129"/>
      <c r="H58" s="209"/>
      <c r="I58" s="131"/>
      <c r="J58" s="215"/>
      <c r="K58" s="120"/>
      <c r="L58" s="209"/>
      <c r="M58" s="131"/>
      <c r="N58" s="217"/>
      <c r="O58" s="122"/>
    </row>
    <row r="59" spans="1:15">
      <c r="A59" s="121" t="s">
        <v>133</v>
      </c>
      <c r="B59" s="121"/>
      <c r="C59" s="181">
        <f>'Public PreK-12 Enrollment'!AU58</f>
        <v>542678</v>
      </c>
      <c r="D59" s="216">
        <f>RANK('Public PreK-12 Enrollment'!AK58,'Public PreK-12 Enrollment'!$AK$14:$AK$67,0)</f>
        <v>28</v>
      </c>
      <c r="E59" s="181">
        <f>RANK('Public PreK-12 Enrollment'!AU58,'Public PreK-12 Enrollment'!$AU$14:$AU$67)</f>
        <v>30</v>
      </c>
      <c r="F59" s="130">
        <f>(('Public PreK-12 Enrollment'!AU58-'Public PreK-12 Enrollment'!AK58)/'Public PreK-12 Enrollment'!AK58)*100</f>
        <v>-6.0118810509361094</v>
      </c>
      <c r="G59" s="130">
        <f>(('Public PreK-12 Enrollment'!BG58-'Public PreK-12 Enrollment'!AU58)/'Public PreK-12 Enrollment'!AU58)*100</f>
        <v>-1.6912423204920781</v>
      </c>
      <c r="H59" s="208">
        <f>'Public Minority Rep'!BR60</f>
        <v>32.517189421361643</v>
      </c>
      <c r="I59" s="130">
        <f>'Public Minority Rep'!GX60</f>
        <v>42.718886706297283</v>
      </c>
      <c r="J59" s="216">
        <f>RANK('Public Minority Rep'!BR60,'Public Minority Rep'!$BR$16:$BR$69)</f>
        <v>23</v>
      </c>
      <c r="K59" s="121">
        <f>RANK('Public Minority Rep'!GX60,'Public Minority Rep'!$GX$16:$GX$69)</f>
        <v>23</v>
      </c>
      <c r="L59" s="460">
        <f>+'NCES Public Free-Reduced Lunch '!AJ55</f>
        <v>26.277522701411705</v>
      </c>
      <c r="M59" s="130">
        <f>+'NCES Public Free-Reduced Lunch '!AT55</f>
        <v>37.687357880732222</v>
      </c>
      <c r="N59" s="216">
        <f>RANK('NCES Public Free-Reduced Lunch '!AJ55,'NCES Public Free-Reduced Lunch '!$AJ$11:$AJ$64)</f>
        <v>45</v>
      </c>
      <c r="O59" s="121">
        <f>RANK('NCES Public Free-Reduced Lunch '!AT55,'NCES Public Free-Reduced Lunch '!$AT$11:$AT$64)</f>
        <v>43</v>
      </c>
    </row>
    <row r="60" spans="1:15">
      <c r="A60" s="121" t="s">
        <v>140</v>
      </c>
      <c r="B60" s="121"/>
      <c r="C60" s="181">
        <f>'Public PreK-12 Enrollment'!AU59</f>
        <v>182470</v>
      </c>
      <c r="D60" s="216">
        <f>RANK('Public PreK-12 Enrollment'!AK59,'Public PreK-12 Enrollment'!$AK$14:$AK$67,0)</f>
        <v>41</v>
      </c>
      <c r="E60" s="181">
        <f>RANK('Public PreK-12 Enrollment'!AU59,'Public PreK-12 Enrollment'!$AU$14:$AU$67)</f>
        <v>41</v>
      </c>
      <c r="F60" s="130">
        <f>(('Public PreK-12 Enrollment'!AU59-'Public PreK-12 Enrollment'!AK59)/'Public PreK-12 Enrollment'!AK59)*100</f>
        <v>-8.2235187606880586</v>
      </c>
      <c r="G60" s="130">
        <f>(('Public PreK-12 Enrollment'!BG59-'Public PreK-12 Enrollment'!AU59)/'Public PreK-12 Enrollment'!AU59)*100</f>
        <v>2.5922069381268154</v>
      </c>
      <c r="H60" s="208">
        <f>'Public Minority Rep'!BR61</f>
        <v>4.5236897696408818</v>
      </c>
      <c r="I60" s="130">
        <f>'Public Minority Rep'!GX61</f>
        <v>9.4190825889187266</v>
      </c>
      <c r="J60" s="216">
        <f>RANK('Public Minority Rep'!BR61,'Public Minority Rep'!$BR$16:$BR$69)</f>
        <v>49</v>
      </c>
      <c r="K60" s="121">
        <f>RANK('Public Minority Rep'!GX61,'Public Minority Rep'!$GX$16:$GX$69)</f>
        <v>47</v>
      </c>
      <c r="L60" s="460">
        <f>+'NCES Public Free-Reduced Lunch '!AJ56</f>
        <v>33.464831247235161</v>
      </c>
      <c r="M60" s="130">
        <f>+'NCES Public Free-Reduced Lunch '!AT56</f>
        <v>45.785060557899932</v>
      </c>
      <c r="N60" s="216">
        <f>RANK('NCES Public Free-Reduced Lunch '!AJ56,'NCES Public Free-Reduced Lunch '!$AJ$11:$AJ$64)</f>
        <v>29</v>
      </c>
      <c r="O60" s="121">
        <f>RANK('NCES Public Free-Reduced Lunch '!AT56,'NCES Public Free-Reduced Lunch '!$AT$11:$AT$64)</f>
        <v>27</v>
      </c>
    </row>
    <row r="61" spans="1:15">
      <c r="A61" s="121" t="s">
        <v>141</v>
      </c>
      <c r="B61" s="121"/>
      <c r="C61" s="181">
        <f>'Public PreK-12 Enrollment'!AU60</f>
        <v>955844</v>
      </c>
      <c r="D61" s="216">
        <f>RANK('Public PreK-12 Enrollment'!AK60,'Public PreK-12 Enrollment'!$AK$14:$AK$67,0)</f>
        <v>16</v>
      </c>
      <c r="E61" s="181">
        <f>RANK('Public PreK-12 Enrollment'!AU60,'Public PreK-12 Enrollment'!$AU$14:$AU$67)</f>
        <v>17</v>
      </c>
      <c r="F61" s="130">
        <f>(('Public PreK-12 Enrollment'!AU60-'Public PreK-12 Enrollment'!AK60)/'Public PreK-12 Enrollment'!AK60)*100</f>
        <v>-2.0223991209277821</v>
      </c>
      <c r="G61" s="130">
        <f>(('Public PreK-12 Enrollment'!BG60-'Public PreK-12 Enrollment'!AU60)/'Public PreK-12 Enrollment'!AU60)*100</f>
        <v>-3.1118048551855741</v>
      </c>
      <c r="H61" s="208">
        <f>'Public Minority Rep'!BR62</f>
        <v>25.822848907412457</v>
      </c>
      <c r="I61" s="130">
        <f>'Public Minority Rep'!GX62</f>
        <v>36.343901306070855</v>
      </c>
      <c r="J61" s="216">
        <f>RANK('Public Minority Rep'!BR62,'Public Minority Rep'!$BR$16:$BR$69)</f>
        <v>29</v>
      </c>
      <c r="K61" s="121">
        <f>RANK('Public Minority Rep'!GX62,'Public Minority Rep'!$GX$16:$GX$69)</f>
        <v>27</v>
      </c>
      <c r="L61" s="460">
        <f>+'NCES Public Free-Reduced Lunch '!AJ57</f>
        <v>27.74282958390522</v>
      </c>
      <c r="M61" s="130">
        <f>+'NCES Public Free-Reduced Lunch '!AT57</f>
        <v>39.922937215696287</v>
      </c>
      <c r="N61" s="216">
        <f>RANK('NCES Public Free-Reduced Lunch '!AJ57,'NCES Public Free-Reduced Lunch '!$AJ$11:$AJ$64)</f>
        <v>44</v>
      </c>
      <c r="O61" s="121">
        <f>RANK('NCES Public Free-Reduced Lunch '!AT57,'NCES Public Free-Reduced Lunch '!$AT$11:$AT$64)</f>
        <v>39</v>
      </c>
    </row>
    <row r="62" spans="1:15">
      <c r="A62" s="121" t="s">
        <v>148</v>
      </c>
      <c r="B62" s="121"/>
      <c r="C62" s="181">
        <f>'Public PreK-12 Enrollment'!AU61</f>
        <v>184670</v>
      </c>
      <c r="D62" s="216">
        <f>RANK('Public PreK-12 Enrollment'!AK61,'Public PreK-12 Enrollment'!$AK$14:$AK$67,0)</f>
        <v>40</v>
      </c>
      <c r="E62" s="181">
        <f>RANK('Public PreK-12 Enrollment'!AU61,'Public PreK-12 Enrollment'!$AU$14:$AU$67)</f>
        <v>40</v>
      </c>
      <c r="F62" s="130">
        <f>(('Public PreK-12 Enrollment'!AU61-'Public PreK-12 Enrollment'!AK61)/'Public PreK-12 Enrollment'!AK61)*100</f>
        <v>-10.723609150503743</v>
      </c>
      <c r="G62" s="130">
        <f>(('Public PreK-12 Enrollment'!BG61-'Public PreK-12 Enrollment'!AU61)/'Public PreK-12 Enrollment'!AU61)*100</f>
        <v>0.93680619483402838</v>
      </c>
      <c r="H62" s="208">
        <f>'Public Minority Rep'!BR63</f>
        <v>6.2460116411733999</v>
      </c>
      <c r="I62" s="130">
        <f>'Public Minority Rep'!GX63</f>
        <v>12.631179942600312</v>
      </c>
      <c r="J62" s="216">
        <f>RANK('Public Minority Rep'!BR63,'Public Minority Rep'!$BR$16:$BR$69)</f>
        <v>47</v>
      </c>
      <c r="K62" s="121">
        <f>RANK('Public Minority Rep'!GX63,'Public Minority Rep'!$GX$16:$GX$69)</f>
        <v>46</v>
      </c>
      <c r="L62" s="460">
        <f>+'NCES Public Free-Reduced Lunch '!AJ58</f>
        <v>16.593967066595425</v>
      </c>
      <c r="M62" s="130">
        <f>+'NCES Public Free-Reduced Lunch '!AT58</f>
        <v>28.825472464395951</v>
      </c>
      <c r="N62" s="216">
        <f>RANK('NCES Public Free-Reduced Lunch '!AJ58,'NCES Public Free-Reduced Lunch '!$AJ$11:$AJ$64)</f>
        <v>48</v>
      </c>
      <c r="O62" s="121">
        <f>RANK('NCES Public Free-Reduced Lunch '!AT58,'NCES Public Free-Reduced Lunch '!$AT$11:$AT$64)</f>
        <v>49</v>
      </c>
    </row>
    <row r="63" spans="1:15">
      <c r="A63" s="122" t="s">
        <v>149</v>
      </c>
      <c r="B63" s="122"/>
      <c r="C63" s="180">
        <f>'Public PreK-12 Enrollment'!AU62</f>
        <v>1400579</v>
      </c>
      <c r="D63" s="215">
        <f>RANK('Public PreK-12 Enrollment'!AK62,'Public PreK-12 Enrollment'!$AK$14:$AK$67,0)</f>
        <v>10</v>
      </c>
      <c r="E63" s="180">
        <f>RANK('Public PreK-12 Enrollment'!AU62,'Public PreK-12 Enrollment'!$AU$14:$AU$67)</f>
        <v>11</v>
      </c>
      <c r="F63" s="129">
        <f>(('Public PreK-12 Enrollment'!AU62-'Public PreK-12 Enrollment'!AK62)/'Public PreK-12 Enrollment'!AK62)*100</f>
        <v>0.51903797115865602</v>
      </c>
      <c r="G63" s="129">
        <f>(('Public PreK-12 Enrollment'!BG62-'Public PreK-12 Enrollment'!AU62)/'Public PreK-12 Enrollment'!AU62)*100</f>
        <v>-7.3811616481469446</v>
      </c>
      <c r="H63" s="207">
        <f>'Public Minority Rep'!BR64</f>
        <v>42.867036905723971</v>
      </c>
      <c r="I63" s="129">
        <f>'Public Minority Rep'!GX64</f>
        <v>52.882557856429386</v>
      </c>
      <c r="J63" s="215">
        <f>RANK('Public Minority Rep'!BR64,'Public Minority Rep'!$BR$16:$BR$69)</f>
        <v>16</v>
      </c>
      <c r="K63" s="120">
        <f>RANK('Public Minority Rep'!GX64,'Public Minority Rep'!$GX$16:$GX$69)</f>
        <v>14</v>
      </c>
      <c r="L63" s="459" t="str">
        <f>+'NCES Public Free-Reduced Lunch '!AJ59</f>
        <v>—</v>
      </c>
      <c r="M63" s="129">
        <f>+'NCES Public Free-Reduced Lunch '!AT59</f>
        <v>35.912290559832755</v>
      </c>
      <c r="N63" s="514" t="s">
        <v>318</v>
      </c>
      <c r="O63" s="120">
        <f>RANK('NCES Public Free-Reduced Lunch '!AT59,'NCES Public Free-Reduced Lunch '!$AT$11:$AT$64)</f>
        <v>47</v>
      </c>
    </row>
    <row r="64" spans="1:15">
      <c r="A64" s="122" t="s">
        <v>151</v>
      </c>
      <c r="B64" s="122"/>
      <c r="C64" s="180">
        <f>'Public PreK-12 Enrollment'!AU63</f>
        <v>2741185</v>
      </c>
      <c r="D64" s="215">
        <f>RANK('Public PreK-12 Enrollment'!AK63,'Public PreK-12 Enrollment'!$AK$14:$AK$67,0)</f>
        <v>3</v>
      </c>
      <c r="E64" s="180">
        <f>RANK('Public PreK-12 Enrollment'!AU63,'Public PreK-12 Enrollment'!$AU$14:$AU$67)</f>
        <v>4</v>
      </c>
      <c r="F64" s="129">
        <f>(('Public PreK-12 Enrollment'!AU63-'Public PreK-12 Enrollment'!AK63)/'Public PreK-12 Enrollment'!AK63)*100</f>
        <v>-3.3547494532560833</v>
      </c>
      <c r="G64" s="129">
        <f>(('Public PreK-12 Enrollment'!BG63-'Public PreK-12 Enrollment'!AU63)/'Public PreK-12 Enrollment'!AU63)*100</f>
        <v>-3.2316315753953129</v>
      </c>
      <c r="H64" s="207">
        <f>'Public Minority Rep'!BR65</f>
        <v>46.943928031119015</v>
      </c>
      <c r="I64" s="129">
        <f>'Public Minority Rep'!GX65</f>
        <v>54.563519062011508</v>
      </c>
      <c r="J64" s="215">
        <f>RANK('Public Minority Rep'!BR65,'Public Minority Rep'!$BR$16:$BR$69)</f>
        <v>12</v>
      </c>
      <c r="K64" s="120">
        <f>RANK('Public Minority Rep'!GX65,'Public Minority Rep'!$GX$16:$GX$69)</f>
        <v>11</v>
      </c>
      <c r="L64" s="459">
        <f>+'NCES Public Free-Reduced Lunch '!AJ60</f>
        <v>18.16182438316503</v>
      </c>
      <c r="M64" s="129">
        <f>+'NCES Public Free-Reduced Lunch '!AT60</f>
        <v>50.498890078560912</v>
      </c>
      <c r="N64" s="215">
        <f>RANK('NCES Public Free-Reduced Lunch '!AJ60,'NCES Public Free-Reduced Lunch '!$AJ$11:$AJ$64)</f>
        <v>47</v>
      </c>
      <c r="O64" s="120">
        <f>RANK('NCES Public Free-Reduced Lunch '!AT60,'NCES Public Free-Reduced Lunch '!$AT$11:$AT$64)</f>
        <v>19</v>
      </c>
    </row>
    <row r="65" spans="1:28">
      <c r="A65" s="122" t="s">
        <v>155</v>
      </c>
      <c r="B65" s="122"/>
      <c r="C65" s="180">
        <f>'Public PreK-12 Enrollment'!AU64</f>
        <v>1743160</v>
      </c>
      <c r="D65" s="215">
        <f>RANK('Public PreK-12 Enrollment'!AK64,'Public PreK-12 Enrollment'!$AK$14:$AK$67,0)</f>
        <v>7</v>
      </c>
      <c r="E65" s="180">
        <f>RANK('Public PreK-12 Enrollment'!AU64,'Public PreK-12 Enrollment'!$AU$14:$AU$67)</f>
        <v>7</v>
      </c>
      <c r="F65" s="129">
        <f>(('Public PreK-12 Enrollment'!AU64-'Public PreK-12 Enrollment'!AK64)/'Public PreK-12 Enrollment'!AK64)*100</f>
        <v>-4.6457803750255042</v>
      </c>
      <c r="G65" s="129">
        <f>(('Public PreK-12 Enrollment'!BG64-'Public PreK-12 Enrollment'!AU64)/'Public PreK-12 Enrollment'!AU64)*100</f>
        <v>1.665940016980656</v>
      </c>
      <c r="H65" s="207">
        <f>'Public Minority Rep'!BR66</f>
        <v>24.480208567525981</v>
      </c>
      <c r="I65" s="129">
        <f>'Public Minority Rep'!GX66</f>
        <v>31.748720714105417</v>
      </c>
      <c r="J65" s="215">
        <f>RANK('Public Minority Rep'!BR66,'Public Minority Rep'!$BR$16:$BR$69)</f>
        <v>31</v>
      </c>
      <c r="K65" s="120">
        <f>RANK('Public Minority Rep'!GX66,'Public Minority Rep'!$GX$16:$GX$69)</f>
        <v>32</v>
      </c>
      <c r="L65" s="459">
        <f>+'NCES Public Free-Reduced Lunch '!AJ61</f>
        <v>28.517567252444366</v>
      </c>
      <c r="M65" s="129">
        <f>+'NCES Public Free-Reduced Lunch '!AT61</f>
        <v>45.107964845453083</v>
      </c>
      <c r="N65" s="215">
        <f>RANK('NCES Public Free-Reduced Lunch '!AJ61,'NCES Public Free-Reduced Lunch '!$AJ$11:$AJ$64)</f>
        <v>43</v>
      </c>
      <c r="O65" s="120">
        <f>RANK('NCES Public Free-Reduced Lunch '!AT61,'NCES Public Free-Reduced Lunch '!$AT$11:$AT$64)</f>
        <v>29</v>
      </c>
    </row>
    <row r="66" spans="1:28">
      <c r="A66" s="122" t="s">
        <v>156</v>
      </c>
      <c r="B66" s="122"/>
      <c r="C66" s="180">
        <f>'Public PreK-12 Enrollment'!AU65</f>
        <v>141959</v>
      </c>
      <c r="D66" s="215">
        <f>RANK('Public PreK-12 Enrollment'!AK65,'Public PreK-12 Enrollment'!$AK$14:$AK$67,0)</f>
        <v>43</v>
      </c>
      <c r="E66" s="180">
        <f>RANK('Public PreK-12 Enrollment'!AU65,'Public PreK-12 Enrollment'!$AU$14:$AU$67)</f>
        <v>44</v>
      </c>
      <c r="F66" s="129">
        <f>(('Public PreK-12 Enrollment'!AU65-'Public PreK-12 Enrollment'!AK65)/'Public PreK-12 Enrollment'!AK65)*100</f>
        <v>-9.2902145714322231</v>
      </c>
      <c r="G66" s="129">
        <f>(('Public PreK-12 Enrollment'!BG65-'Public PreK-12 Enrollment'!AU65)/'Public PreK-12 Enrollment'!AU65)*100</f>
        <v>1.9308391859621441</v>
      </c>
      <c r="H66" s="207">
        <f>'Public Minority Rep'!BR67</f>
        <v>29.129179020550044</v>
      </c>
      <c r="I66" s="129">
        <f>'Public Minority Rep'!GX67</f>
        <v>39.303601744165569</v>
      </c>
      <c r="J66" s="215">
        <f>RANK('Public Minority Rep'!BR67,'Public Minority Rep'!$BR$16:$BR$69)</f>
        <v>27</v>
      </c>
      <c r="K66" s="120">
        <f>RANK('Public Minority Rep'!GX67,'Public Minority Rep'!$GX$16:$GX$69)</f>
        <v>24</v>
      </c>
      <c r="L66" s="459">
        <f>+'NCES Public Free-Reduced Lunch '!AJ62</f>
        <v>32.397667615892757</v>
      </c>
      <c r="M66" s="129">
        <f>+'NCES Public Free-Reduced Lunch '!AT62</f>
        <v>46.239407152769459</v>
      </c>
      <c r="N66" s="215">
        <f>RANK('NCES Public Free-Reduced Lunch '!AJ62,'NCES Public Free-Reduced Lunch '!$AJ$11:$AJ$64)</f>
        <v>31</v>
      </c>
      <c r="O66" s="120">
        <f>RANK('NCES Public Free-Reduced Lunch '!AT62,'NCES Public Free-Reduced Lunch '!$AT$11:$AT$64)</f>
        <v>25</v>
      </c>
    </row>
    <row r="67" spans="1:28">
      <c r="A67" s="119" t="s">
        <v>159</v>
      </c>
      <c r="B67" s="119"/>
      <c r="C67" s="179">
        <f>'Public PreK-12 Enrollment'!AU66</f>
        <v>87311</v>
      </c>
      <c r="D67" s="219">
        <f>RANK('Public PreK-12 Enrollment'!AK66,'Public PreK-12 Enrollment'!$AK$14:$AK$67,0)</f>
        <v>49</v>
      </c>
      <c r="E67" s="179">
        <f>RANK('Public PreK-12 Enrollment'!AU66,'Public PreK-12 Enrollment'!$AU$14:$AU$67)</f>
        <v>50</v>
      </c>
      <c r="F67" s="128">
        <f>(('Public PreK-12 Enrollment'!AU66-'Public PreK-12 Enrollment'!AK66)/'Public PreK-12 Enrollment'!AK66)*100</f>
        <v>-11.226004555067512</v>
      </c>
      <c r="G67" s="128">
        <f>(('Public PreK-12 Enrollment'!BG66-'Public PreK-12 Enrollment'!AU66)/'Public PreK-12 Enrollment'!AU66)*100</f>
        <v>4.4541924843375975</v>
      </c>
      <c r="H67" s="212">
        <f>'Public Minority Rep'!BR68</f>
        <v>4.224113243055271</v>
      </c>
      <c r="I67" s="128">
        <f>'Public Minority Rep'!GX68</f>
        <v>8.7205506751726585</v>
      </c>
      <c r="J67" s="219">
        <f>RANK('Public Minority Rep'!BR68,'Public Minority Rep'!$BR$16:$BR$69)</f>
        <v>50</v>
      </c>
      <c r="K67" s="119">
        <f>RANK('Public Minority Rep'!GX68,'Public Minority Rep'!$GX$16:$GX$69)</f>
        <v>49</v>
      </c>
      <c r="L67" s="467">
        <f>+'NCES Public Free-Reduced Lunch '!AJ63</f>
        <v>25.155482815057283</v>
      </c>
      <c r="M67" s="128">
        <f>+'NCES Public Free-Reduced Lunch '!AT63</f>
        <v>37.771872959879055</v>
      </c>
      <c r="N67" s="219">
        <f>RANK('NCES Public Free-Reduced Lunch '!AJ63,'NCES Public Free-Reduced Lunch '!$AJ$11:$AJ$64)</f>
        <v>46</v>
      </c>
      <c r="O67" s="119">
        <f>RANK('NCES Public Free-Reduced Lunch '!AT63,'NCES Public Free-Reduced Lunch '!$AT$11:$AT$64)</f>
        <v>42</v>
      </c>
    </row>
    <row r="68" spans="1:28">
      <c r="A68" s="127" t="s">
        <v>171</v>
      </c>
      <c r="B68" s="127"/>
      <c r="C68" s="183">
        <f>'Public PreK-12 Enrollment'!AU67</f>
        <v>80958</v>
      </c>
      <c r="D68" s="220">
        <f>RANK('Public PreK-12 Enrollment'!AK67,'Public PreK-12 Enrollment'!$AK$14:$AK$67,0)</f>
        <v>51</v>
      </c>
      <c r="E68" s="185">
        <f>RANK('Public PreK-12 Enrollment'!AU67,'Public PreK-12 Enrollment'!$AU$14:$AU$67)</f>
        <v>51</v>
      </c>
      <c r="F68" s="133">
        <f>(('Public PreK-12 Enrollment'!AU67-'Public PreK-12 Enrollment'!AK67)/'Public PreK-12 Enrollment'!AK67)*100</f>
        <v>5.5322366191307975</v>
      </c>
      <c r="G68" s="133">
        <f>(('Public PreK-12 Enrollment'!BG67-'Public PreK-12 Enrollment'!AU67)/'Public PreK-12 Enrollment'!AU67)*100</f>
        <v>-14.029496776106129</v>
      </c>
      <c r="H68" s="213">
        <f>'Public Minority Rep'!BR69</f>
        <v>95.40370727637719</v>
      </c>
      <c r="I68" s="133">
        <f>'Public Minority Rep'!GX69</f>
        <v>90.425899849304571</v>
      </c>
      <c r="J68" s="220">
        <f>RANK('Public Minority Rep'!BR69,'Public Minority Rep'!$BR$16:$BR$69)</f>
        <v>1</v>
      </c>
      <c r="K68" s="127">
        <f>RANK('Public Minority Rep'!GX69,'Public Minority Rep'!$GX$16:$GX$69)</f>
        <v>1</v>
      </c>
      <c r="L68" s="468">
        <f>+'NCES Public Free-Reduced Lunch '!AJ64</f>
        <v>65.980122924022481</v>
      </c>
      <c r="M68" s="133">
        <f>+'NCES Public Free-Reduced Lunch '!AT64</f>
        <v>92.466464092492402</v>
      </c>
      <c r="N68" s="220">
        <f>RANK('NCES Public Free-Reduced Lunch '!AJ64,'NCES Public Free-Reduced Lunch '!$AJ$11:$AJ$64)</f>
        <v>1</v>
      </c>
      <c r="O68" s="127">
        <f>RANK('NCES Public Free-Reduced Lunch '!AT64,'NCES Public Free-Reduced Lunch '!$AT$11:$AT$64)</f>
        <v>1</v>
      </c>
    </row>
    <row r="69" spans="1:28" s="286" customFormat="1" ht="15" customHeight="1">
      <c r="A69" s="286" t="s">
        <v>300</v>
      </c>
      <c r="K69" s="287"/>
      <c r="L69" s="285"/>
      <c r="M69" s="285"/>
      <c r="N69" s="285"/>
      <c r="O69" s="285"/>
    </row>
    <row r="70" spans="1:28" s="238" customFormat="1" ht="15" customHeight="1">
      <c r="A70" s="236" t="s">
        <v>301</v>
      </c>
      <c r="B70" s="241"/>
      <c r="C70" s="241"/>
      <c r="D70" s="241"/>
      <c r="E70" s="241"/>
      <c r="F70" s="241"/>
      <c r="G70" s="241"/>
      <c r="H70" s="241"/>
      <c r="I70" s="241"/>
      <c r="J70" s="241"/>
      <c r="K70" s="241"/>
      <c r="L70" s="241"/>
      <c r="M70" s="241"/>
      <c r="N70" s="241"/>
      <c r="O70" s="241"/>
      <c r="P70" s="197"/>
    </row>
    <row r="71" spans="1:28" s="286" customFormat="1" ht="33" customHeight="1">
      <c r="A71" s="521" t="s">
        <v>328</v>
      </c>
      <c r="B71" s="522"/>
      <c r="C71" s="522"/>
      <c r="D71" s="522"/>
      <c r="E71" s="522"/>
      <c r="F71" s="522"/>
      <c r="G71" s="522"/>
      <c r="H71" s="522"/>
      <c r="I71" s="522"/>
      <c r="J71" s="522"/>
      <c r="K71" s="522"/>
      <c r="L71" s="522"/>
      <c r="M71" s="522"/>
      <c r="N71" s="522"/>
      <c r="O71" s="522"/>
    </row>
    <row r="72" spans="1:28" s="286" customFormat="1" ht="21" customHeight="1">
      <c r="A72" s="285"/>
      <c r="K72" s="287"/>
      <c r="L72" s="285"/>
      <c r="M72" s="285"/>
      <c r="N72" s="285"/>
      <c r="O72" s="285"/>
    </row>
    <row r="73" spans="1:28" s="286" customFormat="1" ht="21" customHeight="1">
      <c r="K73" s="287"/>
      <c r="L73" s="285"/>
      <c r="M73" s="285"/>
      <c r="N73" s="285"/>
      <c r="O73" s="285"/>
    </row>
    <row r="74" spans="1:28" s="286" customFormat="1" ht="27" customHeight="1">
      <c r="A74" s="237" t="s">
        <v>110</v>
      </c>
      <c r="B74" s="523" t="s">
        <v>347</v>
      </c>
      <c r="C74" s="523"/>
      <c r="D74" s="523"/>
      <c r="E74" s="523"/>
      <c r="F74" s="523"/>
      <c r="G74" s="523"/>
      <c r="H74" s="523"/>
      <c r="I74" s="523"/>
      <c r="J74" s="523"/>
      <c r="K74" s="523"/>
      <c r="L74" s="523"/>
      <c r="M74" s="523"/>
      <c r="N74" s="523"/>
      <c r="O74" s="523"/>
    </row>
    <row r="75" spans="1:28" s="238" customFormat="1" ht="17.25" customHeight="1">
      <c r="A75" s="453"/>
      <c r="B75" s="454"/>
      <c r="C75" s="454"/>
      <c r="D75" s="454"/>
      <c r="E75" s="454"/>
      <c r="F75" s="454"/>
      <c r="G75" s="454"/>
      <c r="H75" s="454"/>
      <c r="I75" s="454"/>
      <c r="J75" s="454"/>
      <c r="K75" s="454"/>
      <c r="L75" s="454"/>
      <c r="M75" s="454"/>
      <c r="N75" s="454"/>
      <c r="O75" s="469" t="s">
        <v>348</v>
      </c>
      <c r="P75" s="454"/>
      <c r="Q75" s="454"/>
      <c r="R75" s="454"/>
      <c r="S75" s="454"/>
      <c r="T75" s="454"/>
      <c r="U75" s="454"/>
      <c r="V75" s="454"/>
      <c r="W75" s="454"/>
      <c r="X75" s="454"/>
      <c r="Y75" s="454"/>
      <c r="Z75" s="454"/>
      <c r="AA75" s="454"/>
      <c r="AB75" s="454"/>
    </row>
    <row r="76" spans="1:28" ht="13.5">
      <c r="A76" s="453"/>
      <c r="B76" s="454"/>
      <c r="C76" s="454"/>
      <c r="D76" s="454"/>
      <c r="E76" s="454"/>
      <c r="F76" s="454"/>
      <c r="G76" s="454"/>
      <c r="H76" s="454"/>
      <c r="I76" s="454"/>
      <c r="J76" s="454"/>
      <c r="K76" s="454"/>
      <c r="L76" s="454"/>
      <c r="M76" s="454"/>
      <c r="N76" s="454"/>
      <c r="O76" s="454"/>
      <c r="P76" s="454"/>
      <c r="Q76" s="454"/>
      <c r="R76" s="454"/>
      <c r="S76" s="454"/>
      <c r="T76" s="454"/>
      <c r="U76" s="454"/>
      <c r="V76" s="454"/>
      <c r="W76" s="454"/>
      <c r="X76" s="454"/>
      <c r="Y76" s="454"/>
      <c r="Z76" s="454"/>
      <c r="AA76" s="454"/>
      <c r="AB76" s="454"/>
    </row>
    <row r="77" spans="1:28">
      <c r="C77" s="22"/>
      <c r="D77" s="22"/>
      <c r="E77" s="22"/>
      <c r="F77" s="22"/>
      <c r="G77" s="62"/>
      <c r="H77" s="68"/>
      <c r="I77" s="68"/>
      <c r="J77" s="68"/>
      <c r="K77" s="69"/>
      <c r="L77" s="65"/>
      <c r="M77" s="67"/>
      <c r="N77" s="65"/>
    </row>
    <row r="78" spans="1:28">
      <c r="A78" s="11"/>
      <c r="C78" s="22"/>
      <c r="D78" s="22"/>
      <c r="E78" s="22"/>
      <c r="F78" s="22"/>
      <c r="G78" s="68"/>
      <c r="H78" s="68"/>
      <c r="I78" s="68"/>
      <c r="J78" s="68"/>
      <c r="K78" s="69"/>
      <c r="L78" s="65"/>
      <c r="M78" s="67"/>
      <c r="N78" s="65"/>
    </row>
    <row r="79" spans="1:28">
      <c r="C79" s="22"/>
      <c r="D79" s="62"/>
      <c r="E79" s="62"/>
      <c r="F79" s="62"/>
      <c r="G79" s="68"/>
      <c r="H79" s="68"/>
      <c r="I79" s="68"/>
      <c r="J79" s="68"/>
      <c r="K79" s="69"/>
      <c r="L79" s="65"/>
      <c r="M79" s="67"/>
      <c r="N79" s="65"/>
    </row>
    <row r="80" spans="1:28">
      <c r="C80" s="22"/>
      <c r="D80" s="62"/>
      <c r="E80" s="62"/>
      <c r="F80" s="62"/>
      <c r="G80" s="68"/>
      <c r="H80" s="68"/>
      <c r="I80" s="68"/>
      <c r="J80" s="68"/>
      <c r="K80" s="69"/>
      <c r="L80" s="65"/>
      <c r="M80" s="67"/>
      <c r="N80" s="65"/>
    </row>
    <row r="81" spans="3:14">
      <c r="C81" s="22"/>
      <c r="D81" s="62"/>
      <c r="E81" s="62"/>
      <c r="F81" s="62"/>
      <c r="G81" s="68"/>
      <c r="H81" s="68"/>
      <c r="I81" s="68"/>
      <c r="J81" s="68"/>
      <c r="K81" s="69"/>
      <c r="L81" s="65"/>
      <c r="M81" s="67"/>
      <c r="N81" s="65"/>
    </row>
    <row r="82" spans="3:14">
      <c r="C82" s="22"/>
      <c r="D82" s="62"/>
      <c r="E82" s="62"/>
      <c r="F82" s="62"/>
      <c r="G82" s="68"/>
      <c r="H82" s="68"/>
      <c r="I82" s="68"/>
      <c r="J82" s="68"/>
      <c r="K82" s="69"/>
      <c r="L82" s="65"/>
      <c r="M82" s="67"/>
      <c r="N82" s="65"/>
    </row>
    <row r="83" spans="3:14">
      <c r="C83" s="22"/>
      <c r="D83" s="62"/>
      <c r="E83" s="62"/>
      <c r="F83" s="62"/>
      <c r="G83" s="68"/>
      <c r="H83" s="68"/>
      <c r="I83" s="68"/>
      <c r="J83" s="68"/>
      <c r="K83" s="69"/>
      <c r="L83" s="65"/>
      <c r="M83" s="67"/>
      <c r="N83" s="65"/>
    </row>
    <row r="84" spans="3:14">
      <c r="C84" s="22"/>
      <c r="D84" s="62"/>
      <c r="E84" s="62"/>
      <c r="F84" s="62"/>
      <c r="G84" s="68"/>
      <c r="H84" s="68"/>
      <c r="I84" s="68"/>
      <c r="J84" s="68"/>
      <c r="K84" s="69"/>
      <c r="L84" s="65"/>
      <c r="M84" s="67"/>
      <c r="N84" s="65"/>
    </row>
    <row r="85" spans="3:14">
      <c r="C85" s="22"/>
      <c r="D85" s="62"/>
      <c r="E85" s="62"/>
      <c r="F85" s="62"/>
      <c r="G85" s="68"/>
      <c r="H85" s="68"/>
      <c r="I85" s="68"/>
      <c r="J85" s="68"/>
      <c r="K85" s="69"/>
      <c r="L85" s="65"/>
      <c r="M85" s="67"/>
      <c r="N85" s="65"/>
    </row>
    <row r="86" spans="3:14">
      <c r="C86" s="22"/>
      <c r="D86" s="62"/>
      <c r="E86" s="62"/>
      <c r="F86" s="62"/>
      <c r="G86" s="68"/>
      <c r="H86" s="68"/>
      <c r="I86" s="68"/>
      <c r="J86" s="68"/>
      <c r="K86" s="69"/>
      <c r="L86" s="65"/>
      <c r="M86" s="67"/>
      <c r="N86" s="65"/>
    </row>
    <row r="87" spans="3:14">
      <c r="C87" s="22"/>
      <c r="D87" s="62"/>
      <c r="E87" s="62"/>
      <c r="F87" s="62"/>
      <c r="G87" s="68"/>
      <c r="H87" s="68"/>
      <c r="I87" s="68"/>
      <c r="J87" s="68"/>
      <c r="K87" s="69"/>
      <c r="L87" s="65"/>
      <c r="M87" s="67"/>
      <c r="N87" s="65"/>
    </row>
    <row r="88" spans="3:14">
      <c r="C88" s="22"/>
      <c r="D88" s="62"/>
      <c r="E88" s="62"/>
      <c r="F88" s="62"/>
      <c r="G88" s="68"/>
      <c r="H88" s="68"/>
      <c r="I88" s="68"/>
      <c r="J88" s="68"/>
      <c r="K88" s="69"/>
      <c r="L88" s="65"/>
      <c r="M88" s="67"/>
      <c r="N88" s="65"/>
    </row>
    <row r="89" spans="3:14">
      <c r="C89" s="22"/>
      <c r="D89" s="62"/>
      <c r="E89" s="62"/>
      <c r="F89" s="62"/>
      <c r="G89" s="68"/>
      <c r="H89" s="68"/>
      <c r="I89" s="68"/>
      <c r="J89" s="68"/>
      <c r="K89" s="69"/>
      <c r="L89" s="65"/>
      <c r="M89" s="67"/>
      <c r="N89" s="65"/>
    </row>
    <row r="90" spans="3:14">
      <c r="C90" s="22"/>
      <c r="D90" s="62"/>
      <c r="E90" s="62"/>
      <c r="F90" s="62"/>
      <c r="G90" s="68"/>
      <c r="H90" s="68"/>
      <c r="I90" s="68"/>
      <c r="J90" s="68"/>
      <c r="K90" s="69"/>
      <c r="L90" s="65"/>
      <c r="M90" s="67"/>
      <c r="N90" s="65"/>
    </row>
    <row r="91" spans="3:14">
      <c r="C91" s="22"/>
      <c r="D91" s="62"/>
      <c r="E91" s="62"/>
      <c r="F91" s="62"/>
      <c r="G91" s="68"/>
      <c r="H91" s="68"/>
      <c r="I91" s="68"/>
      <c r="J91" s="68"/>
      <c r="K91" s="69"/>
      <c r="L91" s="71"/>
      <c r="M91" s="67"/>
      <c r="N91" s="65"/>
    </row>
    <row r="92" spans="3:14">
      <c r="C92" s="22"/>
      <c r="D92" s="62"/>
      <c r="E92" s="62"/>
      <c r="F92" s="62"/>
      <c r="G92" s="68"/>
      <c r="H92" s="68"/>
      <c r="I92" s="68"/>
      <c r="J92" s="68"/>
      <c r="K92" s="69"/>
      <c r="L92" s="71"/>
      <c r="M92" s="67"/>
      <c r="N92" s="65"/>
    </row>
    <row r="93" spans="3:14">
      <c r="C93" s="22"/>
      <c r="D93" s="62"/>
      <c r="E93" s="62"/>
      <c r="F93" s="62"/>
      <c r="G93" s="68"/>
      <c r="H93" s="68"/>
      <c r="I93" s="68"/>
      <c r="J93" s="68"/>
      <c r="K93" s="69"/>
      <c r="L93" s="65"/>
      <c r="M93" s="67"/>
      <c r="N93" s="65"/>
    </row>
    <row r="94" spans="3:14">
      <c r="C94" s="22"/>
      <c r="D94" s="62"/>
      <c r="E94" s="62"/>
      <c r="F94" s="62"/>
      <c r="G94" s="62"/>
      <c r="H94" s="68"/>
      <c r="I94" s="68"/>
      <c r="J94" s="68"/>
      <c r="K94" s="69"/>
      <c r="L94" s="65"/>
      <c r="M94" s="67"/>
      <c r="N94" s="65"/>
    </row>
    <row r="95" spans="3:14">
      <c r="C95" s="22"/>
      <c r="D95" s="22"/>
      <c r="E95" s="22"/>
      <c r="F95" s="22"/>
      <c r="G95" s="62"/>
      <c r="H95" s="68"/>
      <c r="I95" s="68"/>
      <c r="J95" s="68"/>
      <c r="K95" s="69"/>
      <c r="L95" s="65"/>
      <c r="M95" s="67"/>
      <c r="N95" s="65"/>
    </row>
    <row r="96" spans="3:14">
      <c r="C96" s="22"/>
      <c r="D96" s="22"/>
      <c r="E96" s="22"/>
      <c r="F96" s="22"/>
      <c r="G96" s="62"/>
      <c r="H96" s="68"/>
      <c r="I96" s="68"/>
      <c r="J96" s="68"/>
      <c r="K96" s="69"/>
      <c r="L96" s="65"/>
      <c r="M96" s="67"/>
      <c r="N96" s="65"/>
    </row>
    <row r="97" spans="3:13">
      <c r="C97" s="22"/>
      <c r="D97" s="22"/>
      <c r="E97" s="22"/>
      <c r="F97" s="22"/>
      <c r="G97" s="22"/>
      <c r="I97" s="68"/>
      <c r="K97" s="69"/>
      <c r="M97" s="67"/>
    </row>
    <row r="98" spans="3:13">
      <c r="C98" s="22"/>
      <c r="D98" s="22"/>
      <c r="E98" s="22"/>
      <c r="F98" s="22"/>
      <c r="G98" s="22"/>
      <c r="I98" s="68"/>
      <c r="K98" s="69"/>
      <c r="M98" s="67"/>
    </row>
    <row r="99" spans="3:13">
      <c r="C99" s="22"/>
      <c r="D99" s="22"/>
      <c r="E99" s="22"/>
      <c r="F99" s="22"/>
      <c r="G99" s="22"/>
      <c r="I99" s="68"/>
      <c r="K99" s="69"/>
      <c r="M99" s="67"/>
    </row>
    <row r="100" spans="3:13">
      <c r="C100" s="22"/>
      <c r="D100" s="22"/>
      <c r="E100" s="22"/>
      <c r="F100" s="22"/>
      <c r="G100" s="22"/>
      <c r="I100" s="68"/>
      <c r="K100" s="69"/>
      <c r="M100" s="67"/>
    </row>
    <row r="101" spans="3:13">
      <c r="C101" s="22"/>
      <c r="D101" s="22"/>
      <c r="E101" s="22"/>
      <c r="F101" s="22"/>
      <c r="G101" s="22"/>
      <c r="I101" s="68"/>
      <c r="K101" s="69"/>
      <c r="M101" s="67"/>
    </row>
    <row r="102" spans="3:13">
      <c r="C102" s="22"/>
      <c r="D102" s="22"/>
      <c r="E102" s="22"/>
      <c r="F102" s="22"/>
      <c r="G102" s="22"/>
      <c r="I102" s="68"/>
      <c r="K102" s="69"/>
      <c r="M102" s="67"/>
    </row>
    <row r="103" spans="3:13">
      <c r="C103" s="22"/>
      <c r="D103" s="22"/>
      <c r="E103" s="22"/>
      <c r="F103" s="22"/>
      <c r="G103" s="22"/>
      <c r="M103" s="67"/>
    </row>
    <row r="104" spans="3:13">
      <c r="C104" s="22"/>
      <c r="D104" s="22"/>
      <c r="E104" s="22"/>
      <c r="F104" s="22"/>
      <c r="G104" s="22"/>
      <c r="M104" s="67"/>
    </row>
    <row r="105" spans="3:13">
      <c r="C105" s="22"/>
      <c r="D105" s="22"/>
      <c r="E105" s="22"/>
      <c r="F105" s="22"/>
      <c r="G105" s="22"/>
      <c r="M105" s="67"/>
    </row>
    <row r="106" spans="3:13">
      <c r="C106" s="22"/>
      <c r="D106" s="22"/>
      <c r="E106" s="22"/>
      <c r="F106" s="22"/>
      <c r="G106" s="22"/>
      <c r="M106" s="67"/>
    </row>
    <row r="107" spans="3:13">
      <c r="C107" s="22"/>
      <c r="D107" s="22"/>
      <c r="E107" s="22"/>
      <c r="F107" s="22"/>
      <c r="G107" s="22"/>
    </row>
    <row r="108" spans="3:13">
      <c r="C108" s="22"/>
      <c r="D108" s="22"/>
      <c r="E108" s="22"/>
      <c r="F108" s="22"/>
      <c r="G108" s="22"/>
    </row>
    <row r="109" spans="3:13">
      <c r="C109" s="22"/>
      <c r="D109" s="22"/>
      <c r="E109" s="22"/>
      <c r="F109" s="22"/>
      <c r="G109" s="22"/>
    </row>
    <row r="110" spans="3:13">
      <c r="C110" s="22"/>
      <c r="D110" s="22"/>
      <c r="E110" s="22"/>
      <c r="F110" s="22"/>
      <c r="G110" s="22"/>
    </row>
    <row r="111" spans="3:13">
      <c r="C111" s="22"/>
      <c r="D111" s="22"/>
      <c r="E111" s="22"/>
      <c r="F111" s="22"/>
      <c r="G111" s="22"/>
    </row>
    <row r="112" spans="3:13">
      <c r="C112" s="22"/>
      <c r="D112" s="22"/>
      <c r="E112" s="22"/>
      <c r="F112" s="22"/>
      <c r="G112" s="22"/>
    </row>
    <row r="113" spans="3:7">
      <c r="C113" s="22"/>
      <c r="D113" s="22"/>
      <c r="E113" s="22"/>
      <c r="F113" s="22"/>
      <c r="G113" s="22"/>
    </row>
    <row r="114" spans="3:7">
      <c r="C114" s="22"/>
      <c r="D114" s="22"/>
      <c r="E114" s="22"/>
      <c r="F114" s="22"/>
      <c r="G114" s="22"/>
    </row>
    <row r="115" spans="3:7">
      <c r="C115" s="22"/>
      <c r="D115" s="22"/>
      <c r="E115" s="22"/>
      <c r="F115" s="22"/>
      <c r="G115" s="22"/>
    </row>
    <row r="116" spans="3:7">
      <c r="C116" s="22"/>
      <c r="D116" s="22"/>
      <c r="E116" s="22"/>
      <c r="F116" s="22"/>
      <c r="G116" s="22"/>
    </row>
    <row r="117" spans="3:7">
      <c r="C117" s="22"/>
      <c r="D117" s="22"/>
      <c r="E117" s="22"/>
      <c r="F117" s="22"/>
      <c r="G117" s="22"/>
    </row>
    <row r="118" spans="3:7">
      <c r="C118" s="22"/>
      <c r="D118" s="22"/>
      <c r="E118" s="22"/>
      <c r="F118" s="22"/>
      <c r="G118" s="22"/>
    </row>
    <row r="119" spans="3:7">
      <c r="C119" s="22"/>
      <c r="D119" s="22"/>
      <c r="E119" s="22"/>
      <c r="F119" s="22"/>
      <c r="G119" s="22"/>
    </row>
    <row r="120" spans="3:7">
      <c r="C120" s="22"/>
      <c r="D120" s="22"/>
      <c r="E120" s="22"/>
      <c r="F120" s="22"/>
      <c r="G120" s="22"/>
    </row>
    <row r="121" spans="3:7">
      <c r="C121" s="22"/>
      <c r="D121" s="22"/>
      <c r="E121" s="22"/>
      <c r="F121" s="22"/>
      <c r="G121" s="22"/>
    </row>
    <row r="122" spans="3:7">
      <c r="C122" s="22"/>
      <c r="D122" s="22"/>
      <c r="E122" s="22"/>
      <c r="F122" s="22"/>
      <c r="G122" s="22"/>
    </row>
  </sheetData>
  <mergeCells count="4">
    <mergeCell ref="L4:O4"/>
    <mergeCell ref="L5:O5"/>
    <mergeCell ref="A71:O71"/>
    <mergeCell ref="B74:O74"/>
  </mergeCells>
  <phoneticPr fontId="10" type="noConversion"/>
  <printOptions horizontalCentered="1"/>
  <pageMargins left="0.5" right="0.5" top="0.5" bottom="0.5" header="0.5" footer="0.5"/>
  <pageSetup scale="68"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indexed="18"/>
  </sheetPr>
  <dimension ref="A1:GX95"/>
  <sheetViews>
    <sheetView tabSelected="1" workbookViewId="0">
      <pane xSplit="1" ySplit="6" topLeftCell="FX7" activePane="bottomRight" state="frozen"/>
      <selection pane="topRight" activeCell="B1" sqref="B1"/>
      <selection pane="bottomLeft" activeCell="A7" sqref="A7"/>
      <selection pane="bottomRight" activeCell="GS10" sqref="GS10"/>
    </sheetView>
  </sheetViews>
  <sheetFormatPr defaultRowHeight="12.75"/>
  <cols>
    <col min="1" max="1" width="12" style="70" customWidth="1"/>
    <col min="2" max="12" width="9.140625" style="70"/>
    <col min="13" max="13" width="9.85546875" style="138" customWidth="1"/>
    <col min="14" max="17" width="9.140625" style="70"/>
    <col min="18" max="18" width="9.140625" style="138"/>
    <col min="19" max="23" width="9.140625" style="70"/>
    <col min="24" max="24" width="9.140625" style="138"/>
    <col min="25" max="29" width="9.140625" style="70"/>
    <col min="30" max="30" width="9.140625" style="138"/>
    <col min="31" max="35" width="9.140625" style="70"/>
    <col min="36" max="36" width="9.140625" style="138"/>
    <col min="37" max="37" width="8" style="70" customWidth="1"/>
    <col min="38" max="38" width="6.85546875" style="70" customWidth="1"/>
    <col min="39" max="45" width="9.140625" style="70"/>
    <col min="46" max="46" width="9.140625" style="138"/>
    <col min="47" max="51" width="9.140625" style="70"/>
    <col min="52" max="52" width="9.140625" style="138"/>
    <col min="53" max="57" width="9.140625" style="70"/>
    <col min="58" max="58" width="9.140625" style="138"/>
    <col min="59" max="63" width="9.140625" style="70"/>
    <col min="64" max="64" width="9.85546875" style="196" customWidth="1"/>
    <col min="65" max="69" width="9.140625" style="70"/>
    <col min="70" max="70" width="9.85546875" style="196" customWidth="1"/>
    <col min="71" max="75" width="9.140625" style="70"/>
    <col min="76" max="76" width="9.85546875" style="196" customWidth="1"/>
    <col min="77" max="77" width="11.85546875" style="70" customWidth="1"/>
    <col min="78" max="78" width="12.7109375" style="70" customWidth="1"/>
    <col min="79" max="79" width="11.5703125" style="70" customWidth="1"/>
    <col min="80" max="80" width="10.5703125" style="70" customWidth="1"/>
    <col min="81" max="81" width="10.42578125" style="70" customWidth="1"/>
    <col min="82" max="87" width="9.140625" style="70" customWidth="1"/>
    <col min="88" max="88" width="9.85546875" style="196" customWidth="1"/>
    <col min="89" max="89" width="11.85546875" style="70" customWidth="1"/>
    <col min="90" max="90" width="12.7109375" style="70" customWidth="1"/>
    <col min="91" max="91" width="11.5703125" style="70" customWidth="1"/>
    <col min="92" max="92" width="10.5703125" style="70" customWidth="1"/>
    <col min="93" max="93" width="10.42578125" style="70" customWidth="1"/>
    <col min="94" max="99" width="9.140625" style="70" customWidth="1"/>
    <col min="100" max="100" width="9.85546875" style="196" customWidth="1"/>
    <col min="101" max="101" width="11.85546875" style="70" customWidth="1"/>
    <col min="102" max="102" width="12.7109375" style="70" customWidth="1"/>
    <col min="103" max="103" width="11.5703125" style="70" customWidth="1"/>
    <col min="104" max="104" width="11.42578125" style="70" customWidth="1"/>
    <col min="105" max="107" width="10.42578125" style="70" customWidth="1"/>
    <col min="108" max="113" width="9.140625" style="70" customWidth="1"/>
    <col min="114" max="114" width="9.85546875" style="196" customWidth="1"/>
    <col min="115" max="115" width="12.5703125" style="196" customWidth="1"/>
    <col min="116" max="116" width="11.42578125" style="196" customWidth="1"/>
    <col min="117" max="117" width="11.140625" style="196" customWidth="1"/>
    <col min="118" max="118" width="11.28515625" style="196" customWidth="1"/>
    <col min="119" max="119" width="9.85546875" style="196" customWidth="1"/>
    <col min="120" max="120" width="10.5703125" style="196" customWidth="1"/>
    <col min="121" max="121" width="10.42578125" style="70" customWidth="1"/>
    <col min="122" max="128" width="9.85546875" style="196" customWidth="1"/>
    <col min="129" max="129" width="12.5703125" style="196" customWidth="1"/>
    <col min="130" max="130" width="11.42578125" style="196" customWidth="1"/>
    <col min="131" max="131" width="11.140625" style="196" customWidth="1"/>
    <col min="132" max="132" width="11.28515625" style="196" customWidth="1"/>
    <col min="133" max="133" width="9.85546875" style="196" customWidth="1"/>
    <col min="134" max="134" width="10.5703125" style="196" customWidth="1"/>
    <col min="135" max="135" width="10.42578125" style="70" customWidth="1"/>
    <col min="136" max="142" width="9.85546875" style="196" customWidth="1"/>
    <col min="143" max="143" width="11.85546875" style="70" customWidth="1"/>
    <col min="144" max="144" width="10.7109375" style="70" bestFit="1" customWidth="1"/>
    <col min="145" max="145" width="10.28515625" style="70" customWidth="1"/>
    <col min="146" max="146" width="10.7109375" style="70" customWidth="1"/>
    <col min="147" max="147" width="10.28515625" style="70" customWidth="1"/>
    <col min="148" max="149" width="9.140625" style="70"/>
    <col min="150" max="150" width="10.42578125" style="70" customWidth="1"/>
    <col min="151" max="158" width="9.140625" style="70"/>
    <col min="159" max="160" width="10.140625" style="70" bestFit="1" customWidth="1"/>
    <col min="161" max="161" width="9.140625" style="70"/>
    <col min="162" max="162" width="10.140625" style="70" bestFit="1" customWidth="1"/>
    <col min="163" max="174" width="9.140625" style="70"/>
    <col min="175" max="175" width="12.28515625" style="70" bestFit="1" customWidth="1"/>
    <col min="176" max="176" width="10.7109375" style="70" bestFit="1" customWidth="1"/>
    <col min="177" max="177" width="9.7109375" style="70" bestFit="1" customWidth="1"/>
    <col min="178" max="178" width="10.7109375" style="70" bestFit="1" customWidth="1"/>
    <col min="179" max="179" width="9.7109375" style="70" bestFit="1" customWidth="1"/>
    <col min="180" max="180" width="8.140625" style="70" bestFit="1" customWidth="1"/>
    <col min="181" max="181" width="8.85546875" style="70" bestFit="1" customWidth="1"/>
    <col min="182" max="182" width="9.7109375" style="70" bestFit="1" customWidth="1"/>
    <col min="183" max="190" width="9.140625" style="70"/>
    <col min="191" max="191" width="12.28515625" style="70" customWidth="1"/>
    <col min="192" max="192" width="10.7109375" style="70" customWidth="1"/>
    <col min="193" max="193" width="9.7109375" style="70" customWidth="1"/>
    <col min="194" max="194" width="10.7109375" style="70" customWidth="1"/>
    <col min="195" max="195" width="9.7109375" style="70" customWidth="1"/>
    <col min="196" max="196" width="8.140625" style="70" customWidth="1"/>
    <col min="197" max="197" width="8.85546875" style="70" customWidth="1"/>
    <col min="198" max="198" width="9.7109375" style="70" customWidth="1"/>
    <col min="199" max="16384" width="9.140625" style="70"/>
  </cols>
  <sheetData>
    <row r="1" spans="1:206">
      <c r="A1" s="5" t="s">
        <v>250</v>
      </c>
      <c r="BG1" s="222"/>
      <c r="BM1" s="222"/>
      <c r="BS1" s="222"/>
    </row>
    <row r="2" spans="1:206" s="11" customFormat="1" ht="12.75" customHeight="1">
      <c r="B2" s="140"/>
      <c r="C2" s="3"/>
      <c r="D2" s="3"/>
      <c r="E2" s="1"/>
      <c r="F2" s="3"/>
      <c r="G2" s="3"/>
      <c r="H2" s="51"/>
      <c r="I2" s="20"/>
      <c r="J2" s="20"/>
      <c r="K2" s="20"/>
      <c r="L2" s="20"/>
      <c r="M2" s="138"/>
      <c r="N2" s="70"/>
      <c r="O2" s="3"/>
      <c r="P2" s="3"/>
      <c r="Q2" s="3"/>
      <c r="R2" s="138"/>
      <c r="S2" s="51"/>
      <c r="T2" s="20"/>
      <c r="U2" s="20"/>
      <c r="V2" s="20"/>
      <c r="W2" s="70"/>
      <c r="X2" s="138"/>
      <c r="Y2" s="70"/>
      <c r="Z2" s="20"/>
      <c r="AA2" s="20"/>
      <c r="AB2" s="20"/>
      <c r="AC2" s="70"/>
      <c r="AD2" s="138"/>
      <c r="AE2" s="70"/>
      <c r="AF2" s="70"/>
      <c r="AG2" s="70"/>
      <c r="AH2" s="70"/>
      <c r="AI2" s="70"/>
      <c r="AJ2" s="138"/>
      <c r="AK2" s="70"/>
      <c r="AL2" s="3"/>
      <c r="AM2" s="3"/>
      <c r="AN2" s="70"/>
      <c r="AO2" s="70"/>
      <c r="AP2" s="1"/>
      <c r="AQ2" s="1"/>
      <c r="AR2" s="1"/>
      <c r="AS2" s="1"/>
      <c r="AT2" s="138"/>
      <c r="AU2" s="1"/>
      <c r="AV2" s="1"/>
      <c r="AW2" s="1"/>
      <c r="AX2" s="1"/>
      <c r="AY2" s="1"/>
      <c r="AZ2" s="138"/>
      <c r="BA2" s="1"/>
      <c r="BB2" s="1"/>
      <c r="BC2" s="1"/>
      <c r="BD2" s="1"/>
      <c r="BE2" s="1"/>
      <c r="BF2" s="138"/>
      <c r="BG2" s="1"/>
      <c r="BH2" s="1"/>
      <c r="BI2" s="1"/>
      <c r="BJ2" s="1"/>
      <c r="BK2" s="1"/>
      <c r="BL2" s="190"/>
      <c r="BM2" s="1"/>
      <c r="BN2" s="1"/>
      <c r="BO2" s="1"/>
      <c r="BP2" s="1"/>
      <c r="BQ2" s="1"/>
      <c r="BR2" s="190"/>
      <c r="BS2" s="1"/>
      <c r="BT2" s="1"/>
      <c r="BU2" s="1"/>
      <c r="BV2" s="1"/>
      <c r="BW2" s="1"/>
      <c r="BX2" s="190"/>
      <c r="BY2" s="1"/>
      <c r="BZ2" s="1"/>
      <c r="CA2" s="1"/>
      <c r="CB2" s="1"/>
      <c r="CC2" s="1"/>
      <c r="CD2" s="1"/>
      <c r="CE2" s="1"/>
      <c r="CF2" s="1"/>
      <c r="CG2" s="1"/>
      <c r="CH2" s="1"/>
      <c r="CI2" s="1"/>
      <c r="CJ2" s="190"/>
      <c r="CK2" s="1"/>
      <c r="CL2" s="1"/>
      <c r="CM2" s="1"/>
      <c r="CN2" s="1"/>
      <c r="CO2" s="1"/>
      <c r="CP2" s="1"/>
      <c r="CQ2" s="1"/>
      <c r="CR2" s="1"/>
      <c r="CS2" s="1"/>
      <c r="CT2" s="1"/>
      <c r="CU2" s="1"/>
      <c r="CV2" s="190"/>
      <c r="CW2" s="1"/>
      <c r="CX2" s="1"/>
      <c r="CY2" s="1"/>
      <c r="CZ2" s="1"/>
      <c r="DA2" s="1"/>
      <c r="DB2" s="1"/>
      <c r="DC2" s="1"/>
      <c r="DD2" s="1"/>
      <c r="DE2" s="1"/>
      <c r="DF2" s="1"/>
      <c r="DG2" s="1"/>
      <c r="DH2" s="1"/>
      <c r="DI2" s="1"/>
      <c r="DJ2" s="190"/>
      <c r="DK2" s="284"/>
      <c r="DL2" s="284"/>
      <c r="DM2" s="284"/>
      <c r="DN2" s="284"/>
      <c r="DO2" s="284"/>
      <c r="DP2" s="284"/>
      <c r="DQ2" s="1"/>
      <c r="DR2" s="284"/>
      <c r="DS2" s="284"/>
      <c r="DT2" s="284"/>
      <c r="DU2" s="284"/>
      <c r="DV2" s="284"/>
      <c r="DW2" s="284"/>
      <c r="DX2" s="284"/>
      <c r="DY2" s="284"/>
      <c r="DZ2" s="284"/>
      <c r="EA2" s="284"/>
      <c r="EB2" s="284"/>
      <c r="EC2" s="284"/>
      <c r="ED2" s="284"/>
      <c r="EE2" s="1"/>
      <c r="EF2" s="284"/>
      <c r="EG2" s="284"/>
      <c r="EH2" s="284"/>
      <c r="EI2" s="284"/>
      <c r="EJ2" s="284"/>
      <c r="EK2" s="284"/>
      <c r="EL2" s="284"/>
      <c r="FS2" s="70"/>
      <c r="GI2" s="70"/>
    </row>
    <row r="3" spans="1:206" s="11" customFormat="1" ht="12.75" customHeight="1">
      <c r="A3" s="5"/>
      <c r="B3" s="140"/>
      <c r="C3" s="3"/>
      <c r="D3" s="3"/>
      <c r="E3" s="1"/>
      <c r="F3" s="3"/>
      <c r="G3" s="3"/>
      <c r="H3" s="51"/>
      <c r="I3" s="20"/>
      <c r="J3" s="20"/>
      <c r="K3" s="20"/>
      <c r="L3" s="20"/>
      <c r="M3" s="138"/>
      <c r="N3" s="70"/>
      <c r="O3" s="3"/>
      <c r="P3" s="3"/>
      <c r="Q3" s="3"/>
      <c r="R3" s="138"/>
      <c r="S3" s="51"/>
      <c r="T3" s="20"/>
      <c r="U3" s="20"/>
      <c r="V3" s="20"/>
      <c r="W3" s="70"/>
      <c r="X3" s="138"/>
      <c r="Y3" s="70"/>
      <c r="Z3" s="20"/>
      <c r="AA3" s="20"/>
      <c r="AB3" s="20"/>
      <c r="AC3" s="70"/>
      <c r="AD3" s="138"/>
      <c r="AE3" s="70"/>
      <c r="AF3" s="70"/>
      <c r="AG3" s="70"/>
      <c r="AH3" s="70"/>
      <c r="AI3" s="70"/>
      <c r="AJ3" s="138"/>
      <c r="AK3" s="70"/>
      <c r="AL3" s="3"/>
      <c r="AM3" s="3"/>
      <c r="AN3" s="70"/>
      <c r="AO3" s="70"/>
      <c r="AP3" s="1"/>
      <c r="AQ3" s="1"/>
      <c r="AR3" s="1"/>
      <c r="AS3" s="1"/>
      <c r="AT3" s="138"/>
      <c r="AU3" s="1"/>
      <c r="AV3" s="1"/>
      <c r="AW3" s="1"/>
      <c r="AX3" s="1"/>
      <c r="AY3" s="1"/>
      <c r="AZ3" s="138"/>
      <c r="BA3" s="1"/>
      <c r="BB3" s="1"/>
      <c r="BC3" s="1"/>
      <c r="BD3" s="1"/>
      <c r="BE3" s="1"/>
      <c r="BF3" s="138"/>
      <c r="BG3" s="1"/>
      <c r="BH3" s="1"/>
      <c r="BI3" s="1"/>
      <c r="BJ3" s="1"/>
      <c r="BK3" s="1"/>
      <c r="BL3" s="190"/>
      <c r="BM3" s="1"/>
      <c r="BN3" s="1"/>
      <c r="BO3" s="1"/>
      <c r="BP3" s="1"/>
      <c r="BQ3" s="1"/>
      <c r="BR3" s="190"/>
      <c r="BS3" s="1"/>
      <c r="BT3" s="1"/>
      <c r="BU3" s="1"/>
      <c r="BV3" s="1"/>
      <c r="BW3" s="1"/>
      <c r="BX3" s="190"/>
      <c r="BY3" s="1"/>
      <c r="BZ3" s="1"/>
      <c r="CA3" s="1"/>
      <c r="CB3" s="1"/>
      <c r="CC3" s="1"/>
      <c r="CD3" s="1"/>
      <c r="CE3" s="1"/>
      <c r="CF3" s="1"/>
      <c r="CG3" s="1"/>
      <c r="CH3" s="1"/>
      <c r="CI3" s="1"/>
      <c r="CJ3" s="190"/>
      <c r="CK3" s="1"/>
      <c r="CL3" s="1"/>
      <c r="CM3" s="1"/>
      <c r="CN3" s="1"/>
      <c r="CO3" s="1"/>
      <c r="CP3" s="1"/>
      <c r="CQ3" s="1"/>
      <c r="CR3" s="1"/>
      <c r="CS3" s="1"/>
      <c r="CT3" s="1"/>
      <c r="CU3" s="1"/>
      <c r="CV3" s="190"/>
      <c r="CW3" s="1"/>
      <c r="CX3" s="1"/>
      <c r="CY3" s="1"/>
      <c r="CZ3" s="1"/>
      <c r="DA3" s="1"/>
      <c r="DB3" s="1"/>
      <c r="DC3" s="1"/>
      <c r="DD3" s="1"/>
      <c r="DE3" s="1"/>
      <c r="DF3" s="1"/>
      <c r="DG3" s="1"/>
      <c r="DH3" s="1"/>
      <c r="DI3" s="1"/>
      <c r="DJ3" s="190"/>
      <c r="DK3" s="284"/>
      <c r="DL3" s="284"/>
      <c r="DM3" s="284"/>
      <c r="DN3" s="284"/>
      <c r="DO3" s="284"/>
      <c r="DP3" s="284"/>
      <c r="DQ3" s="1"/>
      <c r="DR3" s="284"/>
      <c r="DS3" s="284"/>
      <c r="DT3" s="284"/>
      <c r="DU3" s="284"/>
      <c r="DV3" s="284"/>
      <c r="DW3" s="284"/>
      <c r="DX3" s="284"/>
      <c r="DY3" s="284"/>
      <c r="DZ3" s="284"/>
      <c r="EA3" s="284"/>
      <c r="EB3" s="284"/>
      <c r="EC3" s="284"/>
      <c r="ED3" s="284"/>
      <c r="EE3" s="1"/>
      <c r="EF3" s="284"/>
      <c r="EG3" s="284"/>
      <c r="EH3" s="284"/>
      <c r="EI3" s="284"/>
      <c r="EJ3" s="284"/>
      <c r="EK3" s="284"/>
      <c r="EL3" s="284"/>
      <c r="FS3" s="70"/>
      <c r="GI3" s="70"/>
    </row>
    <row r="4" spans="1:206" s="11" customFormat="1" ht="12.75" customHeight="1">
      <c r="A4" s="1"/>
      <c r="B4" s="87"/>
      <c r="C4" s="87"/>
      <c r="D4" s="87"/>
      <c r="E4" s="87"/>
      <c r="F4" s="87"/>
      <c r="G4" s="87"/>
      <c r="H4" s="88" t="s">
        <v>172</v>
      </c>
      <c r="I4" s="55"/>
      <c r="J4" s="55"/>
      <c r="K4" s="55"/>
      <c r="L4" s="55"/>
      <c r="M4" s="137"/>
      <c r="N4" s="76"/>
      <c r="O4" s="82"/>
      <c r="P4" s="82"/>
      <c r="Q4" s="82"/>
      <c r="R4" s="136"/>
      <c r="S4" s="88" t="s">
        <v>197</v>
      </c>
      <c r="T4" s="55"/>
      <c r="U4" s="55"/>
      <c r="V4" s="55"/>
      <c r="W4" s="55"/>
      <c r="X4" s="136"/>
      <c r="Y4" s="88" t="s">
        <v>206</v>
      </c>
      <c r="Z4" s="55"/>
      <c r="AA4" s="55"/>
      <c r="AB4" s="55"/>
      <c r="AC4" s="55"/>
      <c r="AD4" s="136"/>
      <c r="AE4" s="88" t="s">
        <v>203</v>
      </c>
      <c r="AF4" s="55"/>
      <c r="AG4" s="55"/>
      <c r="AH4" s="55"/>
      <c r="AI4" s="55"/>
      <c r="AJ4" s="136"/>
      <c r="AK4" s="255"/>
      <c r="AL4" s="255"/>
      <c r="AM4" s="255"/>
      <c r="AN4" s="255"/>
      <c r="AO4" s="88" t="s">
        <v>174</v>
      </c>
      <c r="AP4" s="55"/>
      <c r="AQ4" s="55"/>
      <c r="AR4" s="55"/>
      <c r="AS4" s="55"/>
      <c r="AT4" s="136"/>
      <c r="AU4" s="88" t="s">
        <v>182</v>
      </c>
      <c r="AV4" s="55"/>
      <c r="AW4" s="55"/>
      <c r="AX4" s="55"/>
      <c r="AY4" s="55"/>
      <c r="AZ4" s="136"/>
      <c r="BA4" s="88" t="s">
        <v>181</v>
      </c>
      <c r="BB4" s="55"/>
      <c r="BC4" s="55"/>
      <c r="BD4" s="55"/>
      <c r="BE4" s="55"/>
      <c r="BF4" s="136"/>
      <c r="BG4" s="88" t="s">
        <v>200</v>
      </c>
      <c r="BH4" s="55"/>
      <c r="BI4" s="55"/>
      <c r="BJ4" s="55"/>
      <c r="BK4" s="55"/>
      <c r="BL4" s="200"/>
      <c r="BM4" s="88" t="s">
        <v>201</v>
      </c>
      <c r="BN4" s="55"/>
      <c r="BO4" s="55"/>
      <c r="BP4" s="55"/>
      <c r="BQ4" s="55"/>
      <c r="BR4" s="200"/>
      <c r="BS4" s="88" t="s">
        <v>202</v>
      </c>
      <c r="BT4" s="55"/>
      <c r="BU4" s="55"/>
      <c r="BV4" s="55"/>
      <c r="BW4" s="55"/>
      <c r="BX4" s="200"/>
      <c r="BY4" s="88" t="s">
        <v>209</v>
      </c>
      <c r="BZ4" s="49"/>
      <c r="CA4" s="49"/>
      <c r="CB4" s="49"/>
      <c r="CC4" s="49"/>
      <c r="CD4" s="49"/>
      <c r="CE4" s="49"/>
      <c r="CF4" s="49"/>
      <c r="CG4" s="49"/>
      <c r="CH4" s="49"/>
      <c r="CI4" s="49"/>
      <c r="CJ4" s="200"/>
      <c r="CK4" s="88" t="s">
        <v>218</v>
      </c>
      <c r="CL4" s="49"/>
      <c r="CM4" s="49"/>
      <c r="CN4" s="49"/>
      <c r="CO4" s="49"/>
      <c r="CP4" s="49"/>
      <c r="CQ4" s="49"/>
      <c r="CR4" s="49"/>
      <c r="CS4" s="49"/>
      <c r="CT4" s="49"/>
      <c r="CU4" s="49"/>
      <c r="CV4" s="200"/>
      <c r="CW4" s="88" t="s">
        <v>256</v>
      </c>
      <c r="CX4" s="49"/>
      <c r="CY4" s="49"/>
      <c r="CZ4" s="49"/>
      <c r="DA4" s="49"/>
      <c r="DB4" s="49"/>
      <c r="DC4" s="49"/>
      <c r="DD4" s="49"/>
      <c r="DE4" s="49"/>
      <c r="DF4" s="49"/>
      <c r="DG4" s="49"/>
      <c r="DH4" s="49"/>
      <c r="DI4" s="49"/>
      <c r="DJ4" s="200"/>
      <c r="DK4" s="378" t="s">
        <v>291</v>
      </c>
      <c r="DL4" s="49"/>
      <c r="DM4" s="49"/>
      <c r="DN4" s="49"/>
      <c r="DO4" s="49"/>
      <c r="DP4" s="49"/>
      <c r="DQ4" s="49"/>
      <c r="DR4" s="49"/>
      <c r="DS4" s="49"/>
      <c r="DT4" s="49"/>
      <c r="DU4" s="49"/>
      <c r="DV4" s="49"/>
      <c r="DW4" s="49"/>
      <c r="DX4" s="200"/>
      <c r="DY4" s="413">
        <v>2010</v>
      </c>
      <c r="DZ4" s="49"/>
      <c r="EA4" s="49"/>
      <c r="EB4" s="49"/>
      <c r="EC4" s="49"/>
      <c r="ED4" s="49"/>
      <c r="EE4" s="49"/>
      <c r="EF4" s="49"/>
      <c r="EG4" s="49"/>
      <c r="EH4" s="49"/>
      <c r="EI4" s="49"/>
      <c r="EJ4" s="49"/>
      <c r="EK4" s="49"/>
      <c r="EL4" s="200"/>
      <c r="EM4" s="413" t="s">
        <v>306</v>
      </c>
      <c r="EN4" s="49"/>
      <c r="EO4" s="49"/>
      <c r="EP4" s="49"/>
      <c r="EQ4" s="49"/>
      <c r="ER4" s="49"/>
      <c r="ES4" s="49"/>
      <c r="ET4" s="49"/>
      <c r="EU4" s="49"/>
      <c r="EV4" s="49"/>
      <c r="EW4" s="49"/>
      <c r="EX4" s="49"/>
      <c r="EY4" s="49"/>
      <c r="EZ4" s="49"/>
      <c r="FA4" s="49"/>
      <c r="FB4" s="200"/>
      <c r="FC4" s="473" t="s">
        <v>325</v>
      </c>
      <c r="FR4" s="476"/>
      <c r="FS4" s="70" t="s">
        <v>333</v>
      </c>
      <c r="GI4" s="495" t="s">
        <v>341</v>
      </c>
    </row>
    <row r="5" spans="1:206" s="11" customFormat="1" ht="54.75" customHeight="1" thickBot="1">
      <c r="A5" s="14"/>
      <c r="B5" s="389" t="s">
        <v>0</v>
      </c>
      <c r="C5" s="389" t="s">
        <v>10</v>
      </c>
      <c r="D5" s="389" t="s">
        <v>105</v>
      </c>
      <c r="E5" s="389" t="s">
        <v>1</v>
      </c>
      <c r="F5" s="389" t="s">
        <v>2</v>
      </c>
      <c r="G5" s="389" t="s">
        <v>3</v>
      </c>
      <c r="H5" s="390" t="s">
        <v>175</v>
      </c>
      <c r="I5" s="391" t="s">
        <v>176</v>
      </c>
      <c r="J5" s="391" t="s">
        <v>170</v>
      </c>
      <c r="K5" s="391" t="s">
        <v>177</v>
      </c>
      <c r="L5" s="391" t="s">
        <v>178</v>
      </c>
      <c r="M5" s="392" t="s">
        <v>173</v>
      </c>
      <c r="N5" s="393" t="s">
        <v>11</v>
      </c>
      <c r="O5" s="250" t="s">
        <v>12</v>
      </c>
      <c r="P5" s="250" t="s">
        <v>13</v>
      </c>
      <c r="Q5" s="250" t="s">
        <v>14</v>
      </c>
      <c r="R5" s="394" t="s">
        <v>121</v>
      </c>
      <c r="S5" s="390" t="s">
        <v>175</v>
      </c>
      <c r="T5" s="391" t="s">
        <v>176</v>
      </c>
      <c r="U5" s="391" t="s">
        <v>170</v>
      </c>
      <c r="V5" s="391" t="s">
        <v>177</v>
      </c>
      <c r="W5" s="391" t="s">
        <v>178</v>
      </c>
      <c r="X5" s="262" t="s">
        <v>173</v>
      </c>
      <c r="Y5" s="390" t="s">
        <v>175</v>
      </c>
      <c r="Z5" s="391" t="s">
        <v>176</v>
      </c>
      <c r="AA5" s="391" t="s">
        <v>170</v>
      </c>
      <c r="AB5" s="391" t="s">
        <v>177</v>
      </c>
      <c r="AC5" s="391" t="s">
        <v>178</v>
      </c>
      <c r="AD5" s="262" t="s">
        <v>173</v>
      </c>
      <c r="AE5" s="390" t="s">
        <v>175</v>
      </c>
      <c r="AF5" s="391" t="s">
        <v>176</v>
      </c>
      <c r="AG5" s="391" t="s">
        <v>170</v>
      </c>
      <c r="AH5" s="391" t="s">
        <v>177</v>
      </c>
      <c r="AI5" s="391" t="s">
        <v>178</v>
      </c>
      <c r="AJ5" s="262" t="s">
        <v>173</v>
      </c>
      <c r="AK5" s="395" t="s">
        <v>112</v>
      </c>
      <c r="AL5" s="395" t="s">
        <v>116</v>
      </c>
      <c r="AM5" s="389" t="s">
        <v>123</v>
      </c>
      <c r="AN5" s="389" t="s">
        <v>168</v>
      </c>
      <c r="AO5" s="390" t="s">
        <v>175</v>
      </c>
      <c r="AP5" s="391" t="s">
        <v>176</v>
      </c>
      <c r="AQ5" s="391" t="s">
        <v>170</v>
      </c>
      <c r="AR5" s="391" t="s">
        <v>177</v>
      </c>
      <c r="AS5" s="391" t="s">
        <v>178</v>
      </c>
      <c r="AT5" s="262" t="s">
        <v>173</v>
      </c>
      <c r="AU5" s="390" t="s">
        <v>175</v>
      </c>
      <c r="AV5" s="391" t="s">
        <v>176</v>
      </c>
      <c r="AW5" s="391" t="s">
        <v>170</v>
      </c>
      <c r="AX5" s="391" t="s">
        <v>177</v>
      </c>
      <c r="AY5" s="391" t="s">
        <v>178</v>
      </c>
      <c r="AZ5" s="262" t="s">
        <v>173</v>
      </c>
      <c r="BA5" s="390" t="s">
        <v>175</v>
      </c>
      <c r="BB5" s="391" t="s">
        <v>176</v>
      </c>
      <c r="BC5" s="391" t="s">
        <v>170</v>
      </c>
      <c r="BD5" s="391" t="s">
        <v>177</v>
      </c>
      <c r="BE5" s="391" t="s">
        <v>178</v>
      </c>
      <c r="BF5" s="262" t="s">
        <v>173</v>
      </c>
      <c r="BG5" s="390" t="s">
        <v>175</v>
      </c>
      <c r="BH5" s="391" t="s">
        <v>176</v>
      </c>
      <c r="BI5" s="391" t="s">
        <v>170</v>
      </c>
      <c r="BJ5" s="391" t="s">
        <v>177</v>
      </c>
      <c r="BK5" s="391" t="s">
        <v>178</v>
      </c>
      <c r="BL5" s="194" t="s">
        <v>173</v>
      </c>
      <c r="BM5" s="390" t="s">
        <v>175</v>
      </c>
      <c r="BN5" s="391" t="s">
        <v>176</v>
      </c>
      <c r="BO5" s="391" t="s">
        <v>170</v>
      </c>
      <c r="BP5" s="391" t="s">
        <v>177</v>
      </c>
      <c r="BQ5" s="391" t="s">
        <v>178</v>
      </c>
      <c r="BR5" s="194" t="s">
        <v>173</v>
      </c>
      <c r="BS5" s="390" t="s">
        <v>175</v>
      </c>
      <c r="BT5" s="391" t="s">
        <v>176</v>
      </c>
      <c r="BU5" s="391" t="s">
        <v>170</v>
      </c>
      <c r="BV5" s="391" t="s">
        <v>177</v>
      </c>
      <c r="BW5" s="391" t="s">
        <v>178</v>
      </c>
      <c r="BX5" s="194" t="s">
        <v>173</v>
      </c>
      <c r="BY5" s="390" t="s">
        <v>220</v>
      </c>
      <c r="BZ5" s="391" t="s">
        <v>216</v>
      </c>
      <c r="CA5" s="391" t="s">
        <v>215</v>
      </c>
      <c r="CB5" s="391" t="s">
        <v>214</v>
      </c>
      <c r="CC5" s="391" t="s">
        <v>213</v>
      </c>
      <c r="CD5" s="14" t="s">
        <v>212</v>
      </c>
      <c r="CE5" s="390" t="s">
        <v>175</v>
      </c>
      <c r="CF5" s="391" t="s">
        <v>176</v>
      </c>
      <c r="CG5" s="391" t="s">
        <v>170</v>
      </c>
      <c r="CH5" s="391" t="s">
        <v>177</v>
      </c>
      <c r="CI5" s="391" t="s">
        <v>178</v>
      </c>
      <c r="CJ5" s="194" t="s">
        <v>173</v>
      </c>
      <c r="CK5" s="390" t="s">
        <v>220</v>
      </c>
      <c r="CL5" s="391" t="s">
        <v>216</v>
      </c>
      <c r="CM5" s="391" t="s">
        <v>215</v>
      </c>
      <c r="CN5" s="391" t="s">
        <v>214</v>
      </c>
      <c r="CO5" s="391" t="s">
        <v>213</v>
      </c>
      <c r="CP5" s="14" t="s">
        <v>212</v>
      </c>
      <c r="CQ5" s="390" t="s">
        <v>175</v>
      </c>
      <c r="CR5" s="391" t="s">
        <v>176</v>
      </c>
      <c r="CS5" s="391" t="s">
        <v>170</v>
      </c>
      <c r="CT5" s="391" t="s">
        <v>177</v>
      </c>
      <c r="CU5" s="391" t="s">
        <v>178</v>
      </c>
      <c r="CV5" s="194" t="s">
        <v>257</v>
      </c>
      <c r="CW5" s="390" t="s">
        <v>258</v>
      </c>
      <c r="CX5" s="391" t="s">
        <v>175</v>
      </c>
      <c r="CY5" s="391" t="s">
        <v>176</v>
      </c>
      <c r="CZ5" s="391" t="s">
        <v>170</v>
      </c>
      <c r="DA5" s="391" t="s">
        <v>259</v>
      </c>
      <c r="DB5" s="391" t="s">
        <v>213</v>
      </c>
      <c r="DC5" s="391" t="s">
        <v>261</v>
      </c>
      <c r="DD5" s="396" t="s">
        <v>175</v>
      </c>
      <c r="DE5" s="391" t="s">
        <v>176</v>
      </c>
      <c r="DF5" s="391" t="s">
        <v>170</v>
      </c>
      <c r="DG5" s="391" t="s">
        <v>260</v>
      </c>
      <c r="DH5" s="391" t="s">
        <v>259</v>
      </c>
      <c r="DI5" s="391" t="s">
        <v>261</v>
      </c>
      <c r="DJ5" s="194" t="s">
        <v>257</v>
      </c>
      <c r="DK5" s="397" t="s">
        <v>258</v>
      </c>
      <c r="DL5" s="391" t="s">
        <v>175</v>
      </c>
      <c r="DM5" s="391" t="s">
        <v>176</v>
      </c>
      <c r="DN5" s="391" t="s">
        <v>170</v>
      </c>
      <c r="DO5" s="391" t="s">
        <v>259</v>
      </c>
      <c r="DP5" s="391" t="s">
        <v>213</v>
      </c>
      <c r="DQ5" s="391" t="s">
        <v>261</v>
      </c>
      <c r="DR5" s="396" t="s">
        <v>175</v>
      </c>
      <c r="DS5" s="391" t="s">
        <v>176</v>
      </c>
      <c r="DT5" s="391" t="s">
        <v>170</v>
      </c>
      <c r="DU5" s="391" t="s">
        <v>260</v>
      </c>
      <c r="DV5" s="391" t="s">
        <v>259</v>
      </c>
      <c r="DW5" s="391" t="s">
        <v>261</v>
      </c>
      <c r="DX5" s="201" t="s">
        <v>257</v>
      </c>
      <c r="DY5" s="397" t="s">
        <v>258</v>
      </c>
      <c r="DZ5" s="391" t="s">
        <v>175</v>
      </c>
      <c r="EA5" s="391" t="s">
        <v>176</v>
      </c>
      <c r="EB5" s="391" t="s">
        <v>170</v>
      </c>
      <c r="EC5" s="391" t="s">
        <v>259</v>
      </c>
      <c r="ED5" s="391" t="s">
        <v>213</v>
      </c>
      <c r="EE5" s="391" t="s">
        <v>261</v>
      </c>
      <c r="EF5" s="396" t="s">
        <v>175</v>
      </c>
      <c r="EG5" s="391" t="s">
        <v>176</v>
      </c>
      <c r="EH5" s="391" t="s">
        <v>170</v>
      </c>
      <c r="EI5" s="391" t="s">
        <v>260</v>
      </c>
      <c r="EJ5" s="391" t="s">
        <v>259</v>
      </c>
      <c r="EK5" s="391" t="s">
        <v>261</v>
      </c>
      <c r="EL5" s="201" t="s">
        <v>257</v>
      </c>
      <c r="EM5" s="397" t="s">
        <v>258</v>
      </c>
      <c r="EN5" s="391" t="s">
        <v>175</v>
      </c>
      <c r="EO5" s="391" t="s">
        <v>176</v>
      </c>
      <c r="EP5" s="391" t="s">
        <v>170</v>
      </c>
      <c r="EQ5" s="391" t="s">
        <v>321</v>
      </c>
      <c r="ER5" s="391" t="s">
        <v>320</v>
      </c>
      <c r="ES5" s="391" t="s">
        <v>322</v>
      </c>
      <c r="ET5" s="391" t="s">
        <v>261</v>
      </c>
      <c r="EU5" s="396" t="s">
        <v>175</v>
      </c>
      <c r="EV5" s="391" t="s">
        <v>176</v>
      </c>
      <c r="EW5" s="391" t="s">
        <v>170</v>
      </c>
      <c r="EX5" s="391" t="s">
        <v>321</v>
      </c>
      <c r="EY5" s="391" t="s">
        <v>320</v>
      </c>
      <c r="EZ5" s="391" t="s">
        <v>259</v>
      </c>
      <c r="FA5" s="391" t="s">
        <v>261</v>
      </c>
      <c r="FB5" s="201" t="s">
        <v>257</v>
      </c>
      <c r="FC5" s="397" t="s">
        <v>258</v>
      </c>
      <c r="FD5" s="391" t="s">
        <v>175</v>
      </c>
      <c r="FE5" s="391" t="s">
        <v>176</v>
      </c>
      <c r="FF5" s="391" t="s">
        <v>170</v>
      </c>
      <c r="FG5" s="391" t="s">
        <v>321</v>
      </c>
      <c r="FH5" s="391" t="s">
        <v>320</v>
      </c>
      <c r="FI5" s="391" t="s">
        <v>322</v>
      </c>
      <c r="FJ5" s="391" t="s">
        <v>261</v>
      </c>
      <c r="FK5" s="396" t="s">
        <v>175</v>
      </c>
      <c r="FL5" s="391" t="s">
        <v>176</v>
      </c>
      <c r="FM5" s="391" t="s">
        <v>170</v>
      </c>
      <c r="FN5" s="391" t="s">
        <v>321</v>
      </c>
      <c r="FO5" s="391" t="s">
        <v>320</v>
      </c>
      <c r="FP5" s="391" t="s">
        <v>259</v>
      </c>
      <c r="FQ5" s="391" t="s">
        <v>261</v>
      </c>
      <c r="FR5" s="201" t="s">
        <v>257</v>
      </c>
      <c r="FS5" s="475" t="s">
        <v>266</v>
      </c>
      <c r="FT5" s="391" t="s">
        <v>175</v>
      </c>
      <c r="FU5" s="391" t="s">
        <v>176</v>
      </c>
      <c r="FV5" s="391" t="s">
        <v>170</v>
      </c>
      <c r="FW5" s="391" t="s">
        <v>321</v>
      </c>
      <c r="FX5" s="391" t="s">
        <v>320</v>
      </c>
      <c r="FY5" s="391" t="s">
        <v>259</v>
      </c>
      <c r="FZ5" s="478" t="s">
        <v>261</v>
      </c>
      <c r="GA5" s="477" t="s">
        <v>175</v>
      </c>
      <c r="GB5" s="391" t="s">
        <v>176</v>
      </c>
      <c r="GC5" s="391" t="s">
        <v>170</v>
      </c>
      <c r="GD5" s="391" t="s">
        <v>321</v>
      </c>
      <c r="GE5" s="391" t="s">
        <v>320</v>
      </c>
      <c r="GF5" s="391" t="s">
        <v>259</v>
      </c>
      <c r="GG5" s="391" t="s">
        <v>261</v>
      </c>
      <c r="GH5" s="201" t="s">
        <v>257</v>
      </c>
      <c r="GI5" s="475" t="s">
        <v>266</v>
      </c>
      <c r="GJ5" s="391" t="s">
        <v>175</v>
      </c>
      <c r="GK5" s="391" t="s">
        <v>176</v>
      </c>
      <c r="GL5" s="391" t="s">
        <v>170</v>
      </c>
      <c r="GM5" s="391" t="s">
        <v>321</v>
      </c>
      <c r="GN5" s="391" t="s">
        <v>320</v>
      </c>
      <c r="GO5" s="391" t="s">
        <v>259</v>
      </c>
      <c r="GP5" s="478" t="s">
        <v>261</v>
      </c>
      <c r="GQ5" s="477" t="s">
        <v>175</v>
      </c>
      <c r="GR5" s="391" t="s">
        <v>176</v>
      </c>
      <c r="GS5" s="391" t="s">
        <v>170</v>
      </c>
      <c r="GT5" s="391" t="s">
        <v>321</v>
      </c>
      <c r="GU5" s="391" t="s">
        <v>320</v>
      </c>
      <c r="GV5" s="391" t="s">
        <v>259</v>
      </c>
      <c r="GW5" s="391" t="s">
        <v>261</v>
      </c>
      <c r="GX5" s="201" t="s">
        <v>257</v>
      </c>
    </row>
    <row r="6" spans="1:206" s="11" customFormat="1" ht="15">
      <c r="A6" s="307" t="s">
        <v>243</v>
      </c>
      <c r="B6" s="243">
        <v>22.1</v>
      </c>
      <c r="C6" s="243">
        <v>23.9</v>
      </c>
      <c r="D6" s="243">
        <v>24.7</v>
      </c>
      <c r="E6" s="243">
        <f>100-73.3</f>
        <v>26.700000000000003</v>
      </c>
      <c r="F6" s="243">
        <v>26.7</v>
      </c>
      <c r="G6" s="243">
        <v>29</v>
      </c>
      <c r="H6" s="53">
        <v>70.35803934081504</v>
      </c>
      <c r="I6" s="46">
        <v>16.089897481866331</v>
      </c>
      <c r="J6" s="46">
        <v>9.8740680467866238</v>
      </c>
      <c r="K6" s="46">
        <v>2.8134901038574269</v>
      </c>
      <c r="L6" s="44">
        <v>0.86450502667458062</v>
      </c>
      <c r="M6" s="263">
        <f>SUM(I6:L6)</f>
        <v>29.641960659184964</v>
      </c>
      <c r="N6" s="248">
        <f>100-70.4</f>
        <v>29.599999999999994</v>
      </c>
      <c r="O6" s="249" t="s">
        <v>109</v>
      </c>
      <c r="P6" s="249" t="s">
        <v>109</v>
      </c>
      <c r="Q6" s="250">
        <f>100-67.4</f>
        <v>32.599999999999994</v>
      </c>
      <c r="R6" s="135">
        <v>33.271813902375783</v>
      </c>
      <c r="S6" s="53">
        <v>66.120718547825845</v>
      </c>
      <c r="T6" s="46">
        <v>16.569671194913408</v>
      </c>
      <c r="U6" s="46">
        <v>12.658232438501638</v>
      </c>
      <c r="V6" s="46">
        <v>3.5756302977149192</v>
      </c>
      <c r="W6" s="46">
        <v>1.075747521044186</v>
      </c>
      <c r="X6" s="262">
        <f>SUM(T6:W6)</f>
        <v>33.879281452174148</v>
      </c>
      <c r="Y6" s="53">
        <v>65.599999999999994</v>
      </c>
      <c r="Z6" s="46">
        <v>16.7</v>
      </c>
      <c r="AA6" s="46">
        <v>13</v>
      </c>
      <c r="AB6" s="46">
        <v>3.6</v>
      </c>
      <c r="AC6" s="46">
        <v>1.1000000000000001</v>
      </c>
      <c r="AD6" s="262">
        <f>SUM(Z6:AC6)</f>
        <v>34.4</v>
      </c>
      <c r="AE6" s="53">
        <v>64.8</v>
      </c>
      <c r="AF6" s="46">
        <v>16.8</v>
      </c>
      <c r="AG6" s="46">
        <v>13.5</v>
      </c>
      <c r="AH6" s="46">
        <v>3.7</v>
      </c>
      <c r="AI6" s="46">
        <v>1.1000000000000001</v>
      </c>
      <c r="AJ6" s="262">
        <f>SUM(AF6:AI6)</f>
        <v>35.1</v>
      </c>
      <c r="AK6" s="246">
        <f>100-64.2</f>
        <v>35.799999999999997</v>
      </c>
      <c r="AL6" s="246">
        <f>100-63.5</f>
        <v>36.5</v>
      </c>
      <c r="AM6" s="246">
        <f>100-62.9</f>
        <v>37.1</v>
      </c>
      <c r="AN6" s="256">
        <f>100-62.1</f>
        <v>37.9</v>
      </c>
      <c r="AO6" s="203">
        <v>61.220349663280103</v>
      </c>
      <c r="AP6" s="204">
        <v>17.187544862559303</v>
      </c>
      <c r="AQ6" s="204">
        <v>16.308909711189653</v>
      </c>
      <c r="AR6" s="204">
        <v>4.1166533095430351</v>
      </c>
      <c r="AS6" s="204">
        <v>1.1665424534279047</v>
      </c>
      <c r="AT6" s="262">
        <f>SUM(AP6:AS6)</f>
        <v>38.779650336719897</v>
      </c>
      <c r="AU6" s="204">
        <v>60.312086837844973</v>
      </c>
      <c r="AV6" s="204">
        <v>17.18443649240394</v>
      </c>
      <c r="AW6" s="204">
        <v>17.080930025336571</v>
      </c>
      <c r="AX6" s="204">
        <v>4.2383288680219611</v>
      </c>
      <c r="AY6" s="204">
        <v>1.1842177763925577</v>
      </c>
      <c r="AZ6" s="262">
        <f>SUM(AV6:AY6)</f>
        <v>39.687913162155027</v>
      </c>
      <c r="BA6" s="204">
        <v>59.454990305134459</v>
      </c>
      <c r="BB6" s="204">
        <v>17.251799053879893</v>
      </c>
      <c r="BC6" s="204">
        <v>17.765508468856929</v>
      </c>
      <c r="BD6" s="204">
        <v>4.3148345749696366</v>
      </c>
      <c r="BE6" s="204">
        <v>1.212867597159087</v>
      </c>
      <c r="BF6" s="262">
        <f>SUM(BB6:BE6)</f>
        <v>40.545009694865549</v>
      </c>
      <c r="BG6" s="204">
        <v>58.749303829198119</v>
      </c>
      <c r="BH6" s="204">
        <v>17.122828155933782</v>
      </c>
      <c r="BI6" s="204">
        <v>18.49876005647581</v>
      </c>
      <c r="BJ6" s="204">
        <v>4.402330431369684</v>
      </c>
      <c r="BK6" s="204">
        <v>1.2267775270226065</v>
      </c>
      <c r="BL6" s="201">
        <f>SUM(BH6:BK6)</f>
        <v>41.250696170801881</v>
      </c>
      <c r="BM6" s="204">
        <v>57.934575040098913</v>
      </c>
      <c r="BN6" s="204">
        <v>17.30579274919841</v>
      </c>
      <c r="BO6" s="204">
        <v>19.075209773241081</v>
      </c>
      <c r="BP6" s="204">
        <v>4.4719813217499551</v>
      </c>
      <c r="BQ6" s="204">
        <v>1.2124411157116339</v>
      </c>
      <c r="BR6" s="201">
        <f>SUM(BN6:BQ6)</f>
        <v>42.06542495990108</v>
      </c>
      <c r="BS6" s="204">
        <v>57.098397720432189</v>
      </c>
      <c r="BT6" s="204">
        <v>17.232562235682746</v>
      </c>
      <c r="BU6" s="204">
        <v>19.833952738473723</v>
      </c>
      <c r="BV6" s="204">
        <v>4.6117681532047179</v>
      </c>
      <c r="BW6" s="204">
        <v>1.2233191522066229</v>
      </c>
      <c r="BX6" s="201">
        <f>SUM(BT6:BW6)</f>
        <v>42.901602279567804</v>
      </c>
      <c r="BY6" s="205">
        <f t="shared" ref="BY6:CD6" si="0">SUM(BY16:BY63)</f>
        <v>42144313</v>
      </c>
      <c r="BZ6" s="205">
        <f t="shared" si="0"/>
        <v>23577550</v>
      </c>
      <c r="CA6" s="205">
        <f t="shared" si="0"/>
        <v>7126422</v>
      </c>
      <c r="CB6" s="205">
        <f t="shared" si="0"/>
        <v>8953487</v>
      </c>
      <c r="CC6" s="205">
        <f t="shared" si="0"/>
        <v>1917868</v>
      </c>
      <c r="CD6" s="205">
        <f t="shared" si="0"/>
        <v>568986</v>
      </c>
      <c r="CE6" s="192">
        <f>(BZ6/$BY6)*100</f>
        <v>55.944796157906282</v>
      </c>
      <c r="CF6" s="193">
        <f t="shared" ref="CF6:CI6" si="1">(CA6/$BY6)*100</f>
        <v>16.909569744321136</v>
      </c>
      <c r="CG6" s="193">
        <f t="shared" si="1"/>
        <v>21.244828454078725</v>
      </c>
      <c r="CH6" s="193">
        <f t="shared" si="1"/>
        <v>4.5507160123834502</v>
      </c>
      <c r="CI6" s="193">
        <f t="shared" si="1"/>
        <v>1.3500896313103976</v>
      </c>
      <c r="CJ6" s="201">
        <f>SUM(CF6:CI6)</f>
        <v>44.055203842093704</v>
      </c>
      <c r="CK6" s="205">
        <f t="shared" ref="CK6:CP6" si="2">SUM(CK16:CK63)</f>
        <v>42260272</v>
      </c>
      <c r="CL6" s="205">
        <f t="shared" si="2"/>
        <v>23358733</v>
      </c>
      <c r="CM6" s="205">
        <f t="shared" si="2"/>
        <v>7122264</v>
      </c>
      <c r="CN6" s="205">
        <f t="shared" si="2"/>
        <v>9237246</v>
      </c>
      <c r="CO6" s="205">
        <f t="shared" si="2"/>
        <v>1974990</v>
      </c>
      <c r="CP6" s="205">
        <f t="shared" si="2"/>
        <v>567039</v>
      </c>
      <c r="CQ6" s="192">
        <f>(CL6/CK6)*100</f>
        <v>55.273503682134375</v>
      </c>
      <c r="CR6" s="193">
        <f>(CM6/CK6)*100</f>
        <v>16.853332131889733</v>
      </c>
      <c r="CS6" s="193">
        <f>(CN6/CK6)*100</f>
        <v>21.857989934376189</v>
      </c>
      <c r="CT6" s="193">
        <f>(CO6/CK6)*100</f>
        <v>4.6733963283530215</v>
      </c>
      <c r="CU6" s="193">
        <f>(CP6/CK6)*100</f>
        <v>1.3417779232466842</v>
      </c>
      <c r="CV6" s="201">
        <f>SUM(CR6:CU6)</f>
        <v>44.726496317865625</v>
      </c>
      <c r="CW6" s="205">
        <f t="shared" ref="CW6:DC6" si="3">CW7+CW9+CW11+CW13+CW69</f>
        <v>48690379</v>
      </c>
      <c r="CX6" s="205">
        <f t="shared" si="3"/>
        <v>26725381</v>
      </c>
      <c r="CY6" s="205">
        <f t="shared" si="3"/>
        <v>8254980</v>
      </c>
      <c r="CZ6" s="205">
        <f t="shared" si="3"/>
        <v>10456541</v>
      </c>
      <c r="DA6" s="205">
        <f t="shared" si="3"/>
        <v>585979</v>
      </c>
      <c r="DB6" s="205">
        <f t="shared" si="3"/>
        <v>2423172</v>
      </c>
      <c r="DC6" s="205">
        <f t="shared" si="3"/>
        <v>244326</v>
      </c>
      <c r="DD6" s="192">
        <f>(CX6/CW6)*100</f>
        <v>54.888422618357524</v>
      </c>
      <c r="DE6" s="193">
        <f>(CY6/CW6)*100</f>
        <v>16.954026995764398</v>
      </c>
      <c r="DF6" s="193">
        <f>(CZ6/CW6)*100</f>
        <v>21.475579395264102</v>
      </c>
      <c r="DG6" s="193">
        <f>(DB6/CW6)*100</f>
        <v>4.9766957040938209</v>
      </c>
      <c r="DH6" s="193">
        <f>(DA6/CW6)*100</f>
        <v>1.2034800550638556</v>
      </c>
      <c r="DI6" s="193">
        <f>(DC6/CW6)*100</f>
        <v>0.50179523145630067</v>
      </c>
      <c r="DJ6" s="194">
        <f>SUM(DE6:DI6)</f>
        <v>45.111577381642476</v>
      </c>
      <c r="DK6" s="379">
        <f t="shared" ref="DK6:DQ6" si="4">DK7+DK9+DK11+DK13+DK69</f>
        <v>48775838</v>
      </c>
      <c r="DL6" s="205">
        <f t="shared" si="4"/>
        <v>26393240</v>
      </c>
      <c r="DM6" s="205">
        <f t="shared" si="4"/>
        <v>8197317</v>
      </c>
      <c r="DN6" s="205">
        <f t="shared" si="4"/>
        <v>10796257</v>
      </c>
      <c r="DO6" s="205">
        <f t="shared" si="4"/>
        <v>588507</v>
      </c>
      <c r="DP6" s="205">
        <f t="shared" si="4"/>
        <v>2465167</v>
      </c>
      <c r="DQ6" s="205">
        <f t="shared" si="4"/>
        <v>335350</v>
      </c>
      <c r="DR6" s="192">
        <f>(DL6/DK6)*100</f>
        <v>54.111299943221894</v>
      </c>
      <c r="DS6" s="193">
        <f>(DM6/DK6)*100</f>
        <v>16.806101824432005</v>
      </c>
      <c r="DT6" s="193">
        <f>(DN6/DK6)*100</f>
        <v>22.134436726643219</v>
      </c>
      <c r="DU6" s="193">
        <f>(DP6/DK6)*100</f>
        <v>5.054074109398182</v>
      </c>
      <c r="DV6" s="193">
        <f>(DO6/DK6)*100</f>
        <v>1.2065543599681465</v>
      </c>
      <c r="DW6" s="193">
        <f>(DQ6/DK6)*100</f>
        <v>0.68753303633655671</v>
      </c>
      <c r="DX6" s="194">
        <f>SUM(DS6:DW6)</f>
        <v>45.888700056778099</v>
      </c>
      <c r="DY6" s="379">
        <f t="shared" ref="DY6:EE6" si="5">DY7+DY9+DY11+DY13+DY69</f>
        <v>49402385</v>
      </c>
      <c r="DZ6" s="205">
        <f t="shared" si="5"/>
        <v>25907184</v>
      </c>
      <c r="EA6" s="205">
        <f t="shared" si="5"/>
        <v>7911927</v>
      </c>
      <c r="EB6" s="205">
        <f t="shared" si="5"/>
        <v>11399633</v>
      </c>
      <c r="EC6" s="205">
        <f t="shared" si="5"/>
        <v>564949</v>
      </c>
      <c r="ED6" s="205">
        <f t="shared" si="5"/>
        <v>2457341</v>
      </c>
      <c r="EE6" s="205">
        <f t="shared" si="5"/>
        <v>1161351</v>
      </c>
      <c r="EF6" s="192">
        <f>(DZ6/DY6)*100</f>
        <v>52.441160482434199</v>
      </c>
      <c r="EG6" s="193">
        <f>(EA6/DY6)*100</f>
        <v>16.015273351681302</v>
      </c>
      <c r="EH6" s="193">
        <f>(EB6/DY6)*100</f>
        <v>23.07506611269881</v>
      </c>
      <c r="EI6" s="193">
        <f>(ED6/DY6)*100</f>
        <v>4.974134345943015</v>
      </c>
      <c r="EJ6" s="193">
        <f>(EC6/DY6)*100</f>
        <v>1.1435662468522523</v>
      </c>
      <c r="EK6" s="193">
        <f>(EE6/DY6)*100</f>
        <v>2.3507994603904243</v>
      </c>
      <c r="EL6" s="194">
        <f>SUM(EG6:EK6)</f>
        <v>47.558839517565801</v>
      </c>
      <c r="EM6" s="11">
        <v>49521669</v>
      </c>
      <c r="EN6" s="444">
        <f>(EM6*EU6)/100</f>
        <v>25620928.627776638</v>
      </c>
      <c r="EO6" s="444">
        <f>(EM6*EV6)/100</f>
        <v>7834225.8909405852</v>
      </c>
      <c r="EP6" s="444">
        <f>(EM6*EW6)/100</f>
        <v>11738652.851880539</v>
      </c>
      <c r="EQ6" s="444">
        <f>(EM6*EX6)/100</f>
        <v>2329405.9476439287</v>
      </c>
      <c r="ER6" s="444">
        <f>(EM6*EY6)/100</f>
        <v>178485.10231530131</v>
      </c>
      <c r="ES6" s="444">
        <f>(EM6*EZ6)/100</f>
        <v>547747.70247170946</v>
      </c>
      <c r="ET6" s="444">
        <f>(EM6*FA6)/100</f>
        <v>1272222.8769713005</v>
      </c>
      <c r="EU6" s="148">
        <v>51.736803595566691</v>
      </c>
      <c r="EV6" s="148">
        <v>15.819793737041829</v>
      </c>
      <c r="EW6" s="148">
        <v>23.704073568038545</v>
      </c>
      <c r="EX6" s="148">
        <v>4.7038114721939772</v>
      </c>
      <c r="EY6" s="148">
        <v>0.36041818848088764</v>
      </c>
      <c r="EZ6" s="148">
        <v>1.1060768215863432</v>
      </c>
      <c r="FA6" s="148">
        <v>2.569022617091723</v>
      </c>
      <c r="FB6" s="191">
        <f>SUM(EV6:FA6)</f>
        <v>48.263196404433302</v>
      </c>
      <c r="FC6" s="462">
        <v>49771118</v>
      </c>
      <c r="FD6" s="462">
        <v>25366857</v>
      </c>
      <c r="FE6" s="462">
        <v>7798560</v>
      </c>
      <c r="FF6" s="462">
        <v>12064310</v>
      </c>
      <c r="FG6" s="462">
        <v>2363484</v>
      </c>
      <c r="FH6" s="462">
        <v>179935</v>
      </c>
      <c r="FI6" s="462">
        <v>533098</v>
      </c>
      <c r="FJ6" s="462">
        <v>1390514</v>
      </c>
      <c r="FK6" s="189">
        <f>(FD6/FC6)*100</f>
        <v>50.967022681708698</v>
      </c>
      <c r="FL6" s="190">
        <f>(FE6/FC6)*100</f>
        <v>15.668846337749537</v>
      </c>
      <c r="FM6" s="190">
        <f>(FF6/FC6)*100</f>
        <v>24.239580071317668</v>
      </c>
      <c r="FN6" s="190">
        <f>(FG6/FC6)*100</f>
        <v>4.7487058659200709</v>
      </c>
      <c r="FO6" s="190">
        <f>(FH6/FC6)*100</f>
        <v>0.36152493098507449</v>
      </c>
      <c r="FP6" s="190">
        <f>(FI6/FC6)*100</f>
        <v>1.0710991061121029</v>
      </c>
      <c r="FQ6" s="190">
        <f>(FJ6/FC6)*100</f>
        <v>2.7938170888586429</v>
      </c>
      <c r="FR6" s="199">
        <f>SUM(FL6:FQ6)</f>
        <v>48.883573400943099</v>
      </c>
      <c r="FS6" s="481">
        <v>49937593</v>
      </c>
      <c r="FT6" s="474">
        <v>25125347</v>
      </c>
      <c r="FU6" s="474">
        <v>7792057</v>
      </c>
      <c r="FV6" s="474">
        <v>12407372</v>
      </c>
      <c r="FW6" s="474">
        <v>2407598</v>
      </c>
      <c r="FX6" s="474">
        <v>175761</v>
      </c>
      <c r="FY6" s="474">
        <v>522588</v>
      </c>
      <c r="FZ6" s="480">
        <v>1506870</v>
      </c>
      <c r="GA6" s="189">
        <f>(FT6/FS6)*100</f>
        <v>50.31349228225718</v>
      </c>
      <c r="GB6" s="190">
        <f>(FU6/FS6)*100</f>
        <v>15.603589464153789</v>
      </c>
      <c r="GC6" s="190">
        <f>(FV6/FS6)*100</f>
        <v>24.845754980621511</v>
      </c>
      <c r="GD6" s="190">
        <f>(FW6/FS6)*100</f>
        <v>4.8212135494796478</v>
      </c>
      <c r="GE6" s="190">
        <f>(FX6/FS6)*100</f>
        <v>0.35196129697320411</v>
      </c>
      <c r="GF6" s="190">
        <f>(FY6/FS6)*100</f>
        <v>1.0464821562384876</v>
      </c>
      <c r="GG6" s="190">
        <f>(FZ6/FS6)*100</f>
        <v>3.0175062702761823</v>
      </c>
      <c r="GH6" s="199">
        <f>SUM(GB6:GG6)</f>
        <v>49.686507717742813</v>
      </c>
      <c r="GI6" s="481">
        <f>SUM(GI16:GI69)</f>
        <v>50312581</v>
      </c>
      <c r="GJ6" s="481">
        <f t="shared" ref="GJ6:GP6" si="6">SUM(GJ16:GJ69)</f>
        <v>22588657</v>
      </c>
      <c r="GK6" s="481">
        <f t="shared" si="6"/>
        <v>7027394</v>
      </c>
      <c r="GL6" s="481">
        <f t="shared" si="6"/>
        <v>9179958</v>
      </c>
      <c r="GM6" s="481">
        <f t="shared" si="6"/>
        <v>1713261</v>
      </c>
      <c r="GN6" s="481">
        <f t="shared" si="6"/>
        <v>141083</v>
      </c>
      <c r="GO6" s="481">
        <f t="shared" si="6"/>
        <v>461290</v>
      </c>
      <c r="GP6" s="481">
        <f t="shared" si="6"/>
        <v>1339203</v>
      </c>
      <c r="GQ6" s="189">
        <f>(GJ6/GI6)*100</f>
        <v>44.896637284419974</v>
      </c>
      <c r="GR6" s="190">
        <f>(GK6/GI6)*100</f>
        <v>13.967468693367172</v>
      </c>
      <c r="GS6" s="190">
        <f>(GL6/GI6)*100</f>
        <v>18.24584987997336</v>
      </c>
      <c r="GT6" s="190">
        <f>(GM6/GI6)*100</f>
        <v>3.4052337724435167</v>
      </c>
      <c r="GU6" s="190">
        <f>(GN6/GI6)*100</f>
        <v>0.28041296470161209</v>
      </c>
      <c r="GV6" s="190">
        <f>(GO6/GI6)*100</f>
        <v>0.91684821337231737</v>
      </c>
      <c r="GW6" s="190">
        <f>(GP6/GI6)*100</f>
        <v>2.6617656526108249</v>
      </c>
      <c r="GX6" s="199">
        <f>SUM(GR6:GW6)</f>
        <v>39.477579176468801</v>
      </c>
    </row>
    <row r="7" spans="1:206" s="11" customFormat="1">
      <c r="A7" s="106" t="s">
        <v>108</v>
      </c>
      <c r="B7" s="190">
        <f t="shared" ref="B7:G7" si="7">MEDIAN(B16:B31)</f>
        <v>28.7</v>
      </c>
      <c r="C7" s="190">
        <f t="shared" si="7"/>
        <v>30.05</v>
      </c>
      <c r="D7" s="190">
        <f t="shared" si="7"/>
        <v>30.95</v>
      </c>
      <c r="E7" s="190">
        <f t="shared" si="7"/>
        <v>30.35</v>
      </c>
      <c r="F7" s="190">
        <f t="shared" si="7"/>
        <v>32.200000000000003</v>
      </c>
      <c r="G7" s="190">
        <f t="shared" si="7"/>
        <v>33</v>
      </c>
      <c r="H7" s="190">
        <f t="shared" ref="H7:L7" si="8">MEDIAN(H16:H31)</f>
        <v>66.847907802596112</v>
      </c>
      <c r="I7" s="190">
        <f t="shared" si="8"/>
        <v>25.95558922031622</v>
      </c>
      <c r="J7" s="190">
        <f t="shared" si="8"/>
        <v>0.50001051789843931</v>
      </c>
      <c r="K7" s="190">
        <f t="shared" si="8"/>
        <v>0.71471791028094578</v>
      </c>
      <c r="L7" s="190">
        <f t="shared" si="8"/>
        <v>0.15557702913972538</v>
      </c>
      <c r="M7" s="264">
        <f>SUM(I7:L7)</f>
        <v>27.325894677635329</v>
      </c>
      <c r="N7" s="251">
        <f>MEDIAN(N16:N31)</f>
        <v>33.15</v>
      </c>
      <c r="O7" s="252">
        <f t="shared" ref="O7:W7" si="9">MEDIAN(O16:O31)</f>
        <v>35.299999999999997</v>
      </c>
      <c r="P7" s="252">
        <f t="shared" si="9"/>
        <v>35.35</v>
      </c>
      <c r="Q7" s="252">
        <f t="shared" si="9"/>
        <v>35.4</v>
      </c>
      <c r="R7" s="134">
        <f t="shared" ref="R7" si="10">MEDIAN(R16:R31)</f>
        <v>35.626181391192858</v>
      </c>
      <c r="S7" s="190">
        <f t="shared" si="9"/>
        <v>64.068948603044333</v>
      </c>
      <c r="T7" s="190">
        <f t="shared" si="9"/>
        <v>27.146680714234961</v>
      </c>
      <c r="U7" s="190">
        <f t="shared" si="9"/>
        <v>1.2192429666273514</v>
      </c>
      <c r="V7" s="190">
        <f t="shared" si="9"/>
        <v>1.1610285190962319</v>
      </c>
      <c r="W7" s="190">
        <f t="shared" si="9"/>
        <v>0.22145921235695659</v>
      </c>
      <c r="X7" s="264">
        <f>SUM(T7:W7)</f>
        <v>29.748411412315502</v>
      </c>
      <c r="Y7" s="190">
        <f t="shared" ref="Y7:AC7" si="11">MEDIAN(Y16:Y31)</f>
        <v>63.75</v>
      </c>
      <c r="Z7" s="190">
        <f t="shared" si="11"/>
        <v>27.65</v>
      </c>
      <c r="AA7" s="190">
        <f t="shared" si="11"/>
        <v>1.3</v>
      </c>
      <c r="AB7" s="190">
        <f t="shared" si="11"/>
        <v>1.2</v>
      </c>
      <c r="AC7" s="190">
        <f t="shared" si="11"/>
        <v>0.2</v>
      </c>
      <c r="AD7" s="264">
        <f>SUM(Z7:AC7)</f>
        <v>30.349999999999998</v>
      </c>
      <c r="AE7" s="190">
        <f t="shared" ref="AE7:AI7" si="12">MEDIAN(AE16:AE31)</f>
        <v>63.349999999999994</v>
      </c>
      <c r="AF7" s="190">
        <f t="shared" si="12"/>
        <v>27.95</v>
      </c>
      <c r="AG7" s="190">
        <f t="shared" si="12"/>
        <v>1.7</v>
      </c>
      <c r="AH7" s="190">
        <f t="shared" si="12"/>
        <v>1.3</v>
      </c>
      <c r="AI7" s="190">
        <f t="shared" si="12"/>
        <v>0.25</v>
      </c>
      <c r="AJ7" s="264">
        <f>SUM(AF7:AI7)</f>
        <v>31.2</v>
      </c>
      <c r="AK7" s="245">
        <f t="shared" ref="AK7:AN7" si="13">MEDIAN(AK16:AK31)</f>
        <v>37.299999999999997</v>
      </c>
      <c r="AL7" s="245">
        <f t="shared" si="13"/>
        <v>37.549999999999997</v>
      </c>
      <c r="AM7" s="245">
        <f t="shared" si="13"/>
        <v>38.049999999999997</v>
      </c>
      <c r="AN7" s="245">
        <f t="shared" si="13"/>
        <v>38.65</v>
      </c>
      <c r="AO7" s="190">
        <f t="shared" ref="AO7:AS7" si="14">MEDIAN(AO16:AO31)</f>
        <v>60.723267115755029</v>
      </c>
      <c r="AP7" s="190">
        <f t="shared" si="14"/>
        <v>28.949909344190715</v>
      </c>
      <c r="AQ7" s="190">
        <f t="shared" si="14"/>
        <v>4.0059829734505401</v>
      </c>
      <c r="AR7" s="190">
        <f t="shared" si="14"/>
        <v>1.3395783421224645</v>
      </c>
      <c r="AS7" s="190">
        <f t="shared" si="14"/>
        <v>0.27574959417691391</v>
      </c>
      <c r="AT7" s="264">
        <f>SUM(AP7:AS7)</f>
        <v>34.571220253940638</v>
      </c>
      <c r="AU7" s="190">
        <f t="shared" ref="AU7:AY7" si="15">MEDIAN(AU16:AU31)</f>
        <v>59.838378016432685</v>
      </c>
      <c r="AV7" s="190">
        <f t="shared" si="15"/>
        <v>29.079745133292395</v>
      </c>
      <c r="AW7" s="190">
        <f t="shared" si="15"/>
        <v>4.6967816670305851</v>
      </c>
      <c r="AX7" s="190">
        <f t="shared" si="15"/>
        <v>1.3639914616642623</v>
      </c>
      <c r="AY7" s="190">
        <f t="shared" si="15"/>
        <v>0.28081247144321198</v>
      </c>
      <c r="AZ7" s="264">
        <f>SUM(AV7:AY7)</f>
        <v>35.421330733430459</v>
      </c>
      <c r="BA7" s="190">
        <f t="shared" ref="BA7:BE7" si="16">MEDIAN(BA16:BA31)</f>
        <v>58.824534485615189</v>
      </c>
      <c r="BB7" s="190">
        <f t="shared" si="16"/>
        <v>29.290800473793507</v>
      </c>
      <c r="BC7" s="190">
        <f t="shared" si="16"/>
        <v>5.2961893491704206</v>
      </c>
      <c r="BD7" s="190">
        <f t="shared" si="16"/>
        <v>1.3935667471719095</v>
      </c>
      <c r="BE7" s="190">
        <f t="shared" si="16"/>
        <v>0.29887926802134468</v>
      </c>
      <c r="BF7" s="264">
        <f>SUM(BB7:BE7)</f>
        <v>36.279435838157184</v>
      </c>
      <c r="BG7" s="190">
        <f t="shared" ref="BG7:BL7" si="17">MEDIAN(BG16:BG31)</f>
        <v>57.798140114596109</v>
      </c>
      <c r="BH7" s="190">
        <f t="shared" si="17"/>
        <v>29.190673971852817</v>
      </c>
      <c r="BI7" s="190">
        <f t="shared" si="17"/>
        <v>5.8496680707396607</v>
      </c>
      <c r="BJ7" s="190">
        <f t="shared" si="17"/>
        <v>1.4067998910715336</v>
      </c>
      <c r="BK7" s="190">
        <f t="shared" si="17"/>
        <v>0.31482279390170154</v>
      </c>
      <c r="BL7" s="199">
        <f t="shared" si="17"/>
        <v>42.201859885403891</v>
      </c>
      <c r="BM7" s="68">
        <f t="shared" ref="BM7:CV7" si="18">MEDIAN(BM16:BM31)</f>
        <v>56.797100725201958</v>
      </c>
      <c r="BN7" s="68">
        <f t="shared" si="18"/>
        <v>29.32903724103495</v>
      </c>
      <c r="BO7" s="68">
        <f t="shared" si="18"/>
        <v>6.4892101119130796</v>
      </c>
      <c r="BP7" s="68">
        <f t="shared" si="18"/>
        <v>1.4699476840343675</v>
      </c>
      <c r="BQ7" s="68">
        <f t="shared" si="18"/>
        <v>0.30895973489775996</v>
      </c>
      <c r="BR7" s="199">
        <f t="shared" si="18"/>
        <v>43.202899274798042</v>
      </c>
      <c r="BS7" s="68">
        <f t="shared" si="18"/>
        <v>55.840862124672981</v>
      </c>
      <c r="BT7" s="68">
        <f t="shared" si="18"/>
        <v>29.277844938956378</v>
      </c>
      <c r="BU7" s="68">
        <f t="shared" si="18"/>
        <v>7.2025996541699424</v>
      </c>
      <c r="BV7" s="68">
        <f t="shared" si="18"/>
        <v>1.5464870729269999</v>
      </c>
      <c r="BW7" s="68">
        <f t="shared" si="18"/>
        <v>0.32594331233699458</v>
      </c>
      <c r="BX7" s="199">
        <f t="shared" si="18"/>
        <v>44.159137875327019</v>
      </c>
      <c r="BY7" s="266">
        <f t="shared" si="18"/>
        <v>722280</v>
      </c>
      <c r="BZ7" s="266">
        <f t="shared" si="18"/>
        <v>422547.5</v>
      </c>
      <c r="CA7" s="266">
        <f t="shared" si="18"/>
        <v>272817.5</v>
      </c>
      <c r="CB7" s="266">
        <f t="shared" si="18"/>
        <v>39423.5</v>
      </c>
      <c r="CC7" s="266">
        <f t="shared" si="18"/>
        <v>10698.5</v>
      </c>
      <c r="CD7" s="266">
        <f t="shared" si="18"/>
        <v>3327.5</v>
      </c>
      <c r="CE7" s="268">
        <f t="shared" si="18"/>
        <v>55.677206243901111</v>
      </c>
      <c r="CF7" s="269">
        <f t="shared" si="18"/>
        <v>27.950962228087942</v>
      </c>
      <c r="CG7" s="269">
        <f t="shared" si="18"/>
        <v>7.9029856435706343</v>
      </c>
      <c r="CH7" s="269">
        <f t="shared" si="18"/>
        <v>1.6583748916922607</v>
      </c>
      <c r="CI7" s="269">
        <f t="shared" si="18"/>
        <v>0.34254335668534641</v>
      </c>
      <c r="CJ7" s="199">
        <f t="shared" si="18"/>
        <v>44.322793756098889</v>
      </c>
      <c r="CK7" s="266">
        <f t="shared" si="18"/>
        <v>725158.5</v>
      </c>
      <c r="CL7" s="266">
        <f t="shared" si="18"/>
        <v>417173.5</v>
      </c>
      <c r="CM7" s="266">
        <f t="shared" si="18"/>
        <v>271320</v>
      </c>
      <c r="CN7" s="266">
        <f t="shared" si="18"/>
        <v>42868.5</v>
      </c>
      <c r="CO7" s="266">
        <f t="shared" si="18"/>
        <v>11492</v>
      </c>
      <c r="CP7" s="266">
        <f t="shared" si="18"/>
        <v>3357</v>
      </c>
      <c r="CQ7" s="268">
        <f t="shared" si="18"/>
        <v>55.246137609250184</v>
      </c>
      <c r="CR7" s="269">
        <f t="shared" si="18"/>
        <v>27.828391078030215</v>
      </c>
      <c r="CS7" s="269">
        <f t="shared" si="18"/>
        <v>8.4499337418257205</v>
      </c>
      <c r="CT7" s="269">
        <f t="shared" si="18"/>
        <v>1.7444506949221483</v>
      </c>
      <c r="CU7" s="269">
        <f t="shared" si="18"/>
        <v>0.34965649680247068</v>
      </c>
      <c r="CV7" s="199">
        <f t="shared" si="18"/>
        <v>44.753862390749823</v>
      </c>
      <c r="CW7" s="266">
        <f t="shared" ref="CW7:DC7" si="19">SUM(CW16:CW31)</f>
        <v>18210016</v>
      </c>
      <c r="CX7" s="266">
        <f>SUM(CX16:CX31)</f>
        <v>9077065</v>
      </c>
      <c r="CY7" s="266">
        <f>SUM(CY16:CY31)</f>
        <v>4656664</v>
      </c>
      <c r="CZ7" s="266">
        <f>SUM(CZ16:CZ31)</f>
        <v>3745302</v>
      </c>
      <c r="DA7" s="266">
        <f t="shared" si="19"/>
        <v>202176</v>
      </c>
      <c r="DB7" s="266">
        <f t="shared" si="19"/>
        <v>528809</v>
      </c>
      <c r="DC7" s="266">
        <f t="shared" si="19"/>
        <v>0</v>
      </c>
      <c r="DD7" s="268">
        <f>(CX7/CW7)*100</f>
        <v>49.846551480240322</v>
      </c>
      <c r="DE7" s="269">
        <f>(CY7/CW7)*100</f>
        <v>25.571992907639402</v>
      </c>
      <c r="DF7" s="269">
        <f>(CZ7/CW7)*100</f>
        <v>20.567263642162644</v>
      </c>
      <c r="DG7" s="269">
        <f>(DB7/CW7)*100</f>
        <v>2.903945828493506</v>
      </c>
      <c r="DH7" s="269">
        <f>(DA7/CW7)*100</f>
        <v>1.1102461414641263</v>
      </c>
      <c r="DI7" s="269">
        <v>0</v>
      </c>
      <c r="DJ7" s="191">
        <f t="shared" ref="DJ7:DJ69" si="20">SUM(DE7:DI7)</f>
        <v>50.153448519759671</v>
      </c>
      <c r="DK7" s="380">
        <f t="shared" ref="DK7" si="21">SUM(DK16:DK31)</f>
        <v>18431761</v>
      </c>
      <c r="DL7" s="266">
        <f>SUM(DL16:DL31)</f>
        <v>9033191</v>
      </c>
      <c r="DM7" s="266">
        <f>SUM(DM16:DM31)</f>
        <v>4655739</v>
      </c>
      <c r="DN7" s="266">
        <f>SUM(DN16:DN31)</f>
        <v>3919464</v>
      </c>
      <c r="DO7" s="266">
        <f t="shared" ref="DO7:DQ7" si="22">SUM(DO16:DO31)</f>
        <v>210248</v>
      </c>
      <c r="DP7" s="266">
        <f t="shared" si="22"/>
        <v>557979</v>
      </c>
      <c r="DQ7" s="266">
        <f t="shared" si="22"/>
        <v>55140</v>
      </c>
      <c r="DR7" s="268">
        <f>(DL7/DK7)*100</f>
        <v>49.00883317660206</v>
      </c>
      <c r="DS7" s="269">
        <f>(DM7/DK7)*100</f>
        <v>25.259328178137725</v>
      </c>
      <c r="DT7" s="269">
        <f>(DN7/DK7)*100</f>
        <v>21.264728855804936</v>
      </c>
      <c r="DU7" s="269">
        <f>(DP7/DK7)*100</f>
        <v>3.027269071034504</v>
      </c>
      <c r="DV7" s="269">
        <f>(DO7/DK7)*100</f>
        <v>1.140683193537503</v>
      </c>
      <c r="DW7" s="269">
        <v>0</v>
      </c>
      <c r="DX7" s="191">
        <f t="shared" ref="DX7" si="23">SUM(DS7:DW7)</f>
        <v>50.69200929851467</v>
      </c>
      <c r="DY7" s="380">
        <f t="shared" ref="DY7" si="24">SUM(DY16:DY31)</f>
        <v>18733716</v>
      </c>
      <c r="DZ7" s="266">
        <f>SUM(DZ16:DZ31)</f>
        <v>8863448</v>
      </c>
      <c r="EA7" s="266">
        <f>SUM(EA16:EA31)</f>
        <v>4489306</v>
      </c>
      <c r="EB7" s="266">
        <f>SUM(EB16:EB31)</f>
        <v>4196880</v>
      </c>
      <c r="EC7" s="266">
        <f t="shared" ref="EC7:EE7" si="25">SUM(EC16:EC31)</f>
        <v>207066</v>
      </c>
      <c r="ED7" s="266">
        <f t="shared" si="25"/>
        <v>553917</v>
      </c>
      <c r="EE7" s="266">
        <f t="shared" si="25"/>
        <v>423099</v>
      </c>
      <c r="EF7" s="268">
        <f>(DZ7/DY7)*100</f>
        <v>47.31281289841268</v>
      </c>
      <c r="EG7" s="269">
        <f>(EA7/DY7)*100</f>
        <v>23.963777394725106</v>
      </c>
      <c r="EH7" s="269">
        <f>(EB7/DY7)*100</f>
        <v>22.402816397985323</v>
      </c>
      <c r="EI7" s="269">
        <f>(ED7/DY7)*100</f>
        <v>2.9567919146420283</v>
      </c>
      <c r="EJ7" s="269">
        <f>(EC7/DY7)*100</f>
        <v>1.1053119413147932</v>
      </c>
      <c r="EK7" s="269">
        <v>0</v>
      </c>
      <c r="EL7" s="191">
        <f t="shared" ref="EL7" si="26">SUM(EG7:EK7)</f>
        <v>50.428697648667253</v>
      </c>
      <c r="EM7" s="380">
        <f t="shared" ref="EM7" si="27">SUM(EM16:EM31)</f>
        <v>18882021</v>
      </c>
      <c r="EN7" s="266">
        <f>SUM(EN16:EN31)</f>
        <v>8824074</v>
      </c>
      <c r="EO7" s="266">
        <f>SUM(EO16:EO31)</f>
        <v>4478700</v>
      </c>
      <c r="EP7" s="266">
        <f>SUM(EP16:EP31)</f>
        <v>4343696</v>
      </c>
      <c r="EQ7" s="266">
        <f t="shared" ref="EQ7:ET7" si="28">SUM(EQ16:EQ31)</f>
        <v>552421</v>
      </c>
      <c r="ER7" s="266">
        <f t="shared" si="28"/>
        <v>22403</v>
      </c>
      <c r="ES7" s="266">
        <f t="shared" si="28"/>
        <v>197633</v>
      </c>
      <c r="ET7" s="266">
        <f t="shared" si="28"/>
        <v>462504</v>
      </c>
      <c r="EU7" s="196">
        <f>(EN7/EM7)*100</f>
        <v>46.73267760903348</v>
      </c>
      <c r="EV7" s="196">
        <f>(EO7/EM7)*100</f>
        <v>23.719388936173729</v>
      </c>
      <c r="EW7" s="196">
        <f>(EP7/EM7)*100</f>
        <v>23.004401912274115</v>
      </c>
      <c r="EX7" s="196">
        <f>(EQ7/EM7)*100</f>
        <v>2.9256455122044405</v>
      </c>
      <c r="EY7" s="196">
        <f>(ER7/EM7)*100</f>
        <v>0.11864725709181236</v>
      </c>
      <c r="EZ7" s="196">
        <f>(ES7/EM7)*100</f>
        <v>1.0466729170569189</v>
      </c>
      <c r="FA7" s="269">
        <f>(ET7/EM7)*100</f>
        <v>2.4494411906437348</v>
      </c>
      <c r="FB7" s="191">
        <f>SUM(EV7:FA7)</f>
        <v>53.264197725444753</v>
      </c>
      <c r="FC7" s="380">
        <f t="shared" ref="FC7:FJ7" si="29">SUM(FC16:FC31)</f>
        <v>19052236</v>
      </c>
      <c r="FD7" s="380">
        <f t="shared" si="29"/>
        <v>8773730</v>
      </c>
      <c r="FE7" s="380">
        <f t="shared" si="29"/>
        <v>4488680</v>
      </c>
      <c r="FF7" s="380">
        <f t="shared" si="29"/>
        <v>4502541</v>
      </c>
      <c r="FG7" s="380">
        <f t="shared" si="29"/>
        <v>569222</v>
      </c>
      <c r="FH7" s="380">
        <f t="shared" si="29"/>
        <v>24427</v>
      </c>
      <c r="FI7" s="380">
        <f t="shared" si="29"/>
        <v>190618</v>
      </c>
      <c r="FJ7" s="380">
        <f t="shared" si="29"/>
        <v>503018</v>
      </c>
      <c r="FK7" s="189">
        <f t="shared" ref="FK7:FK13" si="30">(FD7/FC7)*100</f>
        <v>46.050920217448493</v>
      </c>
      <c r="FL7" s="190">
        <f t="shared" ref="FL7:FL13" si="31">(FE7/FC7)*100</f>
        <v>23.559859325698042</v>
      </c>
      <c r="FM7" s="190">
        <f t="shared" ref="FM7:FM13" si="32">(FF7/FC7)*100</f>
        <v>23.632611941191577</v>
      </c>
      <c r="FN7" s="190">
        <f t="shared" ref="FN7:FN13" si="33">(FG7/FC7)*100</f>
        <v>2.9876913135025203</v>
      </c>
      <c r="FO7" s="190">
        <f t="shared" ref="FO7:FO13" si="34">(FH7/FC7)*100</f>
        <v>0.12821067301496791</v>
      </c>
      <c r="FP7" s="190">
        <f t="shared" ref="FP7:FP13" si="35">(FI7/FC7)*100</f>
        <v>1.0005019883230504</v>
      </c>
      <c r="FQ7" s="190">
        <f t="shared" ref="FQ7:FQ13" si="36">(FJ7/FC7)*100</f>
        <v>2.6402045408213501</v>
      </c>
      <c r="FR7" s="199">
        <f t="shared" ref="FR7:FR69" si="37">SUM(FL7:FQ7)</f>
        <v>53.949079782551514</v>
      </c>
      <c r="FS7" s="449">
        <f t="shared" ref="FS7:FZ7" si="38">SUM(FS16:FS31)</f>
        <v>19189583</v>
      </c>
      <c r="FT7" s="449">
        <f t="shared" si="38"/>
        <v>8699507</v>
      </c>
      <c r="FU7" s="449">
        <f t="shared" si="38"/>
        <v>4494979</v>
      </c>
      <c r="FV7" s="449">
        <f t="shared" si="38"/>
        <v>4655113</v>
      </c>
      <c r="FW7" s="449">
        <f t="shared" si="38"/>
        <v>586325</v>
      </c>
      <c r="FX7" s="449">
        <f t="shared" si="38"/>
        <v>25983</v>
      </c>
      <c r="FY7" s="449">
        <f t="shared" si="38"/>
        <v>184004</v>
      </c>
      <c r="FZ7" s="482">
        <f t="shared" si="38"/>
        <v>543672</v>
      </c>
      <c r="GA7" s="189">
        <f t="shared" ref="GA7:GA69" si="39">(FT7/FS7)*100</f>
        <v>45.334528634624313</v>
      </c>
      <c r="GB7" s="190">
        <f t="shared" ref="GB7:GB69" si="40">(FU7/FS7)*100</f>
        <v>23.424057729654677</v>
      </c>
      <c r="GC7" s="190">
        <f t="shared" ref="GC7:GC69" si="41">(FV7/FS7)*100</f>
        <v>24.258541730687945</v>
      </c>
      <c r="GD7" s="190">
        <f t="shared" ref="GD7:GD69" si="42">(FW7/FS7)*100</f>
        <v>3.0554337736260346</v>
      </c>
      <c r="GE7" s="190">
        <f t="shared" ref="GE7:GE69" si="43">(FX7/FS7)*100</f>
        <v>0.13540158741333774</v>
      </c>
      <c r="GF7" s="190">
        <f t="shared" ref="GF7:GF69" si="44">(FY7/FS7)*100</f>
        <v>0.95887440597328244</v>
      </c>
      <c r="GG7" s="190">
        <f t="shared" ref="GG7:GG69" si="45">(FZ7/FS7)*100</f>
        <v>2.8331621380204042</v>
      </c>
      <c r="GH7" s="199">
        <f t="shared" ref="GH7:GH69" si="46">SUM(GB7:GG7)</f>
        <v>54.665471365375687</v>
      </c>
      <c r="GI7" s="449">
        <f>SUM(GI16:GI31)</f>
        <v>19425235</v>
      </c>
      <c r="GJ7" s="449">
        <f>SUM(GJ16:GJ31)</f>
        <v>7888369</v>
      </c>
      <c r="GK7" s="449">
        <f t="shared" ref="GI7:GP7" si="47">SUM(GK16:GK31)</f>
        <v>4116565</v>
      </c>
      <c r="GL7" s="449">
        <f t="shared" si="47"/>
        <v>4594442</v>
      </c>
      <c r="GM7" s="449">
        <f t="shared" si="47"/>
        <v>566986</v>
      </c>
      <c r="GN7" s="449">
        <f t="shared" si="47"/>
        <v>25619</v>
      </c>
      <c r="GO7" s="449">
        <f t="shared" si="47"/>
        <v>162590</v>
      </c>
      <c r="GP7" s="482">
        <f t="shared" si="47"/>
        <v>521769</v>
      </c>
      <c r="GQ7" s="189">
        <f t="shared" ref="GQ7" si="48">(GJ7/GI7)*100</f>
        <v>40.608872942849857</v>
      </c>
      <c r="GR7" s="190">
        <f t="shared" ref="GR7" si="49">(GK7/GI7)*100</f>
        <v>21.191841437182099</v>
      </c>
      <c r="GS7" s="190">
        <f t="shared" ref="GS7" si="50">(GL7/GI7)*100</f>
        <v>23.651924931667491</v>
      </c>
      <c r="GT7" s="190">
        <f t="shared" ref="GT7" si="51">(GM7/GI7)*100</f>
        <v>2.9188115356133402</v>
      </c>
      <c r="GU7" s="190">
        <f t="shared" ref="GU7" si="52">(GN7/GI7)*100</f>
        <v>0.13188514836500048</v>
      </c>
      <c r="GV7" s="190">
        <f t="shared" ref="GV7" si="53">(GO7/GI7)*100</f>
        <v>0.83700403109666366</v>
      </c>
      <c r="GW7" s="190">
        <f t="shared" ref="GW7" si="54">(GP7/GI7)*100</f>
        <v>2.6860370028985492</v>
      </c>
      <c r="GX7" s="199">
        <f t="shared" ref="GX7:GX69" si="55">SUM(GR7:GW7)</f>
        <v>51.417504086823143</v>
      </c>
    </row>
    <row r="8" spans="1:206" s="282" customFormat="1">
      <c r="A8" s="270" t="s">
        <v>244</v>
      </c>
      <c r="B8" s="280"/>
      <c r="C8" s="280"/>
      <c r="D8" s="280"/>
      <c r="E8" s="280"/>
      <c r="F8" s="280"/>
      <c r="G8" s="280"/>
      <c r="H8" s="280"/>
      <c r="I8" s="280"/>
      <c r="J8" s="280"/>
      <c r="K8" s="280"/>
      <c r="L8" s="280"/>
      <c r="M8" s="264"/>
      <c r="N8" s="271"/>
      <c r="O8" s="272"/>
      <c r="P8" s="272"/>
      <c r="Q8" s="272"/>
      <c r="R8" s="278"/>
      <c r="S8" s="280"/>
      <c r="T8" s="280"/>
      <c r="U8" s="280"/>
      <c r="V8" s="280"/>
      <c r="W8" s="280"/>
      <c r="X8" s="264"/>
      <c r="Y8" s="280"/>
      <c r="Z8" s="280"/>
      <c r="AA8" s="280"/>
      <c r="AB8" s="280"/>
      <c r="AC8" s="280"/>
      <c r="AD8" s="264"/>
      <c r="AE8" s="280"/>
      <c r="AF8" s="280"/>
      <c r="AG8" s="280"/>
      <c r="AH8" s="280"/>
      <c r="AI8" s="280"/>
      <c r="AJ8" s="264"/>
      <c r="AK8" s="272"/>
      <c r="AL8" s="272"/>
      <c r="AM8" s="272"/>
      <c r="AN8" s="272"/>
      <c r="AO8" s="280"/>
      <c r="AP8" s="280"/>
      <c r="AQ8" s="280"/>
      <c r="AR8" s="280"/>
      <c r="AS8" s="280"/>
      <c r="AT8" s="264"/>
      <c r="AU8" s="280"/>
      <c r="AV8" s="280"/>
      <c r="AW8" s="280"/>
      <c r="AX8" s="280"/>
      <c r="AY8" s="280"/>
      <c r="AZ8" s="264"/>
      <c r="BA8" s="280"/>
      <c r="BB8" s="280"/>
      <c r="BC8" s="280"/>
      <c r="BD8" s="280"/>
      <c r="BE8" s="280"/>
      <c r="BF8" s="264"/>
      <c r="BG8" s="280"/>
      <c r="BH8" s="280"/>
      <c r="BI8" s="280"/>
      <c r="BJ8" s="280"/>
      <c r="BK8" s="280"/>
      <c r="BL8" s="281"/>
      <c r="BM8" s="280"/>
      <c r="BN8" s="280"/>
      <c r="BO8" s="280"/>
      <c r="BP8" s="280"/>
      <c r="BQ8" s="280"/>
      <c r="BR8" s="281"/>
      <c r="BS8" s="280"/>
      <c r="BT8" s="280"/>
      <c r="BU8" s="280"/>
      <c r="BV8" s="280"/>
      <c r="BW8" s="280"/>
      <c r="BX8" s="281"/>
      <c r="BY8" s="280"/>
      <c r="BZ8" s="280"/>
      <c r="CA8" s="280"/>
      <c r="CB8" s="280"/>
      <c r="CC8" s="280"/>
      <c r="CD8" s="280"/>
      <c r="CE8" s="279"/>
      <c r="CF8" s="280"/>
      <c r="CG8" s="280"/>
      <c r="CH8" s="280"/>
      <c r="CI8" s="280"/>
      <c r="CJ8" s="281"/>
      <c r="CK8" s="280"/>
      <c r="CL8" s="280"/>
      <c r="CM8" s="280"/>
      <c r="CN8" s="280"/>
      <c r="CO8" s="280"/>
      <c r="CP8" s="280"/>
      <c r="CQ8" s="279"/>
      <c r="CR8" s="280"/>
      <c r="CS8" s="280"/>
      <c r="CT8" s="280"/>
      <c r="CU8" s="280"/>
      <c r="CV8" s="281"/>
      <c r="CW8" s="280">
        <f t="shared" ref="CW8:DC8" si="56">(CW7/CW6)*100</f>
        <v>37.399618516011138</v>
      </c>
      <c r="CX8" s="280">
        <f t="shared" si="56"/>
        <v>33.964211773070701</v>
      </c>
      <c r="CY8" s="280">
        <f t="shared" si="56"/>
        <v>56.410360776161781</v>
      </c>
      <c r="CZ8" s="280">
        <f t="shared" si="56"/>
        <v>35.817790988434894</v>
      </c>
      <c r="DA8" s="280">
        <f t="shared" si="56"/>
        <v>34.50226031990907</v>
      </c>
      <c r="DB8" s="280">
        <f t="shared" si="56"/>
        <v>21.823007198828641</v>
      </c>
      <c r="DC8" s="280">
        <f t="shared" si="56"/>
        <v>0</v>
      </c>
      <c r="DD8" s="279"/>
      <c r="DE8" s="280"/>
      <c r="DF8" s="280"/>
      <c r="DG8" s="280"/>
      <c r="DH8" s="280"/>
      <c r="DI8" s="280"/>
      <c r="DJ8" s="283"/>
      <c r="DK8" s="381">
        <f t="shared" ref="DK8:DQ8" si="57">(DK7/DK6)*100</f>
        <v>37.788712107826832</v>
      </c>
      <c r="DL8" s="280">
        <f t="shared" si="57"/>
        <v>34.225396351489998</v>
      </c>
      <c r="DM8" s="280">
        <f t="shared" si="57"/>
        <v>56.795888215619819</v>
      </c>
      <c r="DN8" s="280">
        <f t="shared" si="57"/>
        <v>36.303915329173805</v>
      </c>
      <c r="DO8" s="280">
        <f t="shared" si="57"/>
        <v>35.725658318422724</v>
      </c>
      <c r="DP8" s="280">
        <f t="shared" si="57"/>
        <v>22.634531453649995</v>
      </c>
      <c r="DQ8" s="280">
        <f t="shared" si="57"/>
        <v>16.442522737438498</v>
      </c>
      <c r="DR8" s="279"/>
      <c r="DS8" s="280"/>
      <c r="DT8" s="280"/>
      <c r="DU8" s="280"/>
      <c r="DV8" s="280"/>
      <c r="DW8" s="280"/>
      <c r="DX8" s="283"/>
      <c r="DY8" s="381">
        <f t="shared" ref="DY8:EE8" si="58">(DY7/DY6)*100</f>
        <v>37.920671238848087</v>
      </c>
      <c r="DZ8" s="280">
        <f t="shared" si="58"/>
        <v>34.212317324800715</v>
      </c>
      <c r="EA8" s="280">
        <f t="shared" si="58"/>
        <v>56.740993692181441</v>
      </c>
      <c r="EB8" s="280">
        <f t="shared" si="58"/>
        <v>36.815922056438133</v>
      </c>
      <c r="EC8" s="280">
        <f t="shared" si="58"/>
        <v>36.652157982401953</v>
      </c>
      <c r="ED8" s="280">
        <f t="shared" si="58"/>
        <v>22.541315999692348</v>
      </c>
      <c r="EE8" s="280">
        <f t="shared" si="58"/>
        <v>36.431621447779357</v>
      </c>
      <c r="EF8" s="279"/>
      <c r="EG8" s="280"/>
      <c r="EH8" s="280"/>
      <c r="EI8" s="280"/>
      <c r="EJ8" s="280"/>
      <c r="EK8" s="280"/>
      <c r="EL8" s="283"/>
      <c r="EM8" s="381">
        <f t="shared" ref="EM8:ET8" si="59">(EM7/EM6)*100</f>
        <v>38.128805796105134</v>
      </c>
      <c r="EN8" s="280">
        <f t="shared" si="59"/>
        <v>34.440882796236671</v>
      </c>
      <c r="EO8" s="280">
        <f t="shared" si="59"/>
        <v>57.168379650363676</v>
      </c>
      <c r="EP8" s="280">
        <f t="shared" si="59"/>
        <v>37.003360222072992</v>
      </c>
      <c r="EQ8" s="280">
        <f t="shared" si="59"/>
        <v>23.715102151204889</v>
      </c>
      <c r="ER8" s="280">
        <f t="shared" si="59"/>
        <v>12.551747854240617</v>
      </c>
      <c r="ES8" s="280">
        <f t="shared" si="59"/>
        <v>36.0810276534583</v>
      </c>
      <c r="ET8" s="280">
        <f t="shared" si="59"/>
        <v>36.354007491285934</v>
      </c>
      <c r="EU8" s="196"/>
      <c r="EV8" s="196"/>
      <c r="EW8" s="196"/>
      <c r="EX8" s="196"/>
      <c r="EY8" s="196"/>
      <c r="EZ8" s="196"/>
      <c r="FB8" s="191"/>
      <c r="FC8" s="381">
        <f t="shared" ref="FC8:FJ8" si="60">(FC7/FC6)*100</f>
        <v>38.279702698259662</v>
      </c>
      <c r="FD8" s="381">
        <f t="shared" si="60"/>
        <v>34.587375172257254</v>
      </c>
      <c r="FE8" s="381">
        <f t="shared" si="60"/>
        <v>57.557805543587534</v>
      </c>
      <c r="FF8" s="381">
        <f t="shared" si="60"/>
        <v>37.321164658401514</v>
      </c>
      <c r="FG8" s="381">
        <f t="shared" si="60"/>
        <v>24.084021723861891</v>
      </c>
      <c r="FH8" s="381">
        <f t="shared" si="60"/>
        <v>13.575457804207074</v>
      </c>
      <c r="FI8" s="381">
        <f t="shared" si="60"/>
        <v>35.756652622969888</v>
      </c>
      <c r="FJ8" s="381">
        <f t="shared" si="60"/>
        <v>36.174968392982734</v>
      </c>
      <c r="FK8" s="189"/>
      <c r="FL8" s="190"/>
      <c r="FM8" s="190"/>
      <c r="FN8" s="190"/>
      <c r="FO8" s="190"/>
      <c r="FP8" s="190"/>
      <c r="FQ8" s="190"/>
      <c r="FR8" s="199"/>
      <c r="FS8" s="282">
        <f t="shared" ref="FS8:FZ8" si="61">(FS7/FS6)*100</f>
        <v>38.427128436086214</v>
      </c>
      <c r="FT8" s="282">
        <f t="shared" si="61"/>
        <v>34.624425286544302</v>
      </c>
      <c r="FU8" s="282">
        <f t="shared" si="61"/>
        <v>57.686680166739023</v>
      </c>
      <c r="FV8" s="282">
        <f t="shared" si="61"/>
        <v>37.5189282629714</v>
      </c>
      <c r="FW8" s="282">
        <f t="shared" si="61"/>
        <v>24.353110444517732</v>
      </c>
      <c r="FX8" s="282">
        <f t="shared" si="61"/>
        <v>14.78314301807568</v>
      </c>
      <c r="FY8" s="282">
        <f t="shared" si="61"/>
        <v>35.210146425099694</v>
      </c>
      <c r="FZ8" s="479">
        <f t="shared" si="61"/>
        <v>36.079555635190822</v>
      </c>
      <c r="GA8" s="189"/>
      <c r="GB8" s="190"/>
      <c r="GC8" s="190"/>
      <c r="GD8" s="190"/>
      <c r="GE8" s="190"/>
      <c r="GF8" s="190"/>
      <c r="GG8" s="190"/>
      <c r="GH8" s="199"/>
      <c r="GI8" s="282">
        <f t="shared" ref="GI8:GP8" si="62">(GI7/GI6)*100</f>
        <v>38.609100574665412</v>
      </c>
      <c r="GJ8" s="282">
        <f t="shared" si="62"/>
        <v>34.921814962261813</v>
      </c>
      <c r="GK8" s="282">
        <f t="shared" si="62"/>
        <v>58.578827371853635</v>
      </c>
      <c r="GL8" s="282">
        <f t="shared" si="62"/>
        <v>50.048616780163911</v>
      </c>
      <c r="GM8" s="282">
        <f t="shared" si="62"/>
        <v>33.093965251062158</v>
      </c>
      <c r="GN8" s="282">
        <f t="shared" si="62"/>
        <v>18.158814314977707</v>
      </c>
      <c r="GO8" s="282">
        <f t="shared" si="62"/>
        <v>35.246807864900603</v>
      </c>
      <c r="GP8" s="479">
        <f t="shared" si="62"/>
        <v>38.961158241132971</v>
      </c>
      <c r="GQ8" s="189"/>
      <c r="GR8" s="190"/>
      <c r="GS8" s="190"/>
      <c r="GT8" s="190"/>
      <c r="GU8" s="190"/>
      <c r="GV8" s="190"/>
      <c r="GW8" s="190"/>
      <c r="GX8" s="199"/>
    </row>
    <row r="9" spans="1:206" s="11" customFormat="1">
      <c r="A9" s="111" t="s">
        <v>245</v>
      </c>
      <c r="B9" s="195"/>
      <c r="C9" s="195"/>
      <c r="D9" s="195"/>
      <c r="E9" s="195"/>
      <c r="F9" s="195"/>
      <c r="G9" s="195"/>
      <c r="H9" s="195">
        <f t="shared" ref="H9:L9" si="63">MEDIAN(H33:H45)</f>
        <v>78.699149103706503</v>
      </c>
      <c r="I9" s="195">
        <f t="shared" si="63"/>
        <v>2.3359144220517032</v>
      </c>
      <c r="J9" s="195">
        <f t="shared" si="63"/>
        <v>4.93734931576624</v>
      </c>
      <c r="K9" s="195">
        <f t="shared" si="63"/>
        <v>2.0435973870493425</v>
      </c>
      <c r="L9" s="195">
        <f t="shared" si="63"/>
        <v>1.8616163822241636</v>
      </c>
      <c r="M9" s="264">
        <f t="shared" ref="M9:M13" si="64">SUM(I9:L9)</f>
        <v>11.178477507091449</v>
      </c>
      <c r="N9" s="66"/>
      <c r="R9" s="134">
        <f t="shared" ref="R9" si="65">MEDIAN(R33:R45)</f>
        <v>25.507357562006732</v>
      </c>
      <c r="S9" s="195">
        <f t="shared" ref="S9:W9" si="66">MEDIAN(S33:S45)</f>
        <v>74.083850881992504</v>
      </c>
      <c r="T9" s="195">
        <f t="shared" si="66"/>
        <v>2.6226237321953114</v>
      </c>
      <c r="U9" s="195">
        <f t="shared" si="66"/>
        <v>6.9122617779097588</v>
      </c>
      <c r="V9" s="195">
        <f t="shared" si="66"/>
        <v>2.4386380871017592</v>
      </c>
      <c r="W9" s="195">
        <f t="shared" si="66"/>
        <v>1.9728583545377438</v>
      </c>
      <c r="X9" s="264">
        <f t="shared" ref="X9:X13" si="67">SUM(T9:W9)</f>
        <v>13.946381951744574</v>
      </c>
      <c r="Y9" s="195">
        <f t="shared" ref="Y9:AC9" si="68">MEDIAN(Y33:Y45)</f>
        <v>71.25</v>
      </c>
      <c r="Z9" s="195">
        <f t="shared" si="68"/>
        <v>3.5</v>
      </c>
      <c r="AA9" s="195">
        <f t="shared" si="68"/>
        <v>6.85</v>
      </c>
      <c r="AB9" s="195">
        <f t="shared" si="68"/>
        <v>2.85</v>
      </c>
      <c r="AC9" s="195">
        <f t="shared" si="68"/>
        <v>2.2999999999999998</v>
      </c>
      <c r="AD9" s="264">
        <f t="shared" ref="AD9:AD13" si="69">SUM(Z9:AC9)</f>
        <v>15.5</v>
      </c>
      <c r="AE9" s="195">
        <f t="shared" ref="AE9:AI9" si="70">MEDIAN(AE33:AE45)</f>
        <v>72.5</v>
      </c>
      <c r="AF9" s="195">
        <f t="shared" si="70"/>
        <v>2.6</v>
      </c>
      <c r="AG9" s="195">
        <f t="shared" si="70"/>
        <v>7.8</v>
      </c>
      <c r="AH9" s="195">
        <f t="shared" si="70"/>
        <v>2.5</v>
      </c>
      <c r="AI9" s="195">
        <f t="shared" si="70"/>
        <v>2</v>
      </c>
      <c r="AJ9" s="264">
        <f t="shared" ref="AJ9:AJ13" si="71">SUM(AF9:AI9)</f>
        <v>14.9</v>
      </c>
      <c r="AK9" s="258">
        <f>MEDIAN(AK33:AK45)</f>
        <v>28</v>
      </c>
      <c r="AL9" s="258">
        <f t="shared" ref="AL9:AN9" si="72">MEDIAN(AL33:AL45)</f>
        <v>28.700000000000003</v>
      </c>
      <c r="AM9" s="258">
        <f t="shared" si="72"/>
        <v>29.400000000000006</v>
      </c>
      <c r="AN9" s="258">
        <f t="shared" si="72"/>
        <v>30.5</v>
      </c>
      <c r="AO9" s="195">
        <f>MEDIAN(AO33:AO45)</f>
        <v>68.226713852711086</v>
      </c>
      <c r="AP9" s="195">
        <f>MEDIAN(AP33:AP45)</f>
        <v>2.9036091172208791</v>
      </c>
      <c r="AQ9" s="195">
        <f>MEDIAN(AQ33:AQ45)</f>
        <v>10.514268473025677</v>
      </c>
      <c r="AR9" s="195">
        <f>MEDIAN(AR33:AR45)</f>
        <v>2.889133039248704</v>
      </c>
      <c r="AS9" s="195">
        <f>MEDIAN(AS33:AS45)</f>
        <v>2.1276992017403029</v>
      </c>
      <c r="AT9" s="264">
        <f t="shared" ref="AT9:AT13" si="73">SUM(AP9:AS9)</f>
        <v>18.434709831235562</v>
      </c>
      <c r="AU9" s="195">
        <f>MEDIAN(AU33:AU45)</f>
        <v>66.833705003739169</v>
      </c>
      <c r="AV9" s="195">
        <f>MEDIAN(AV33:AV45)</f>
        <v>2.9697880783191235</v>
      </c>
      <c r="AW9" s="195">
        <f>MEDIAN(AW33:AW45)</f>
        <v>11.20918704694529</v>
      </c>
      <c r="AX9" s="195">
        <f>MEDIAN(AX33:AX45)</f>
        <v>2.9820318131901447</v>
      </c>
      <c r="AY9" s="195">
        <f>MEDIAN(AY33:AY45)</f>
        <v>2.1647038810087773</v>
      </c>
      <c r="AZ9" s="264">
        <f t="shared" ref="AZ9:AZ13" si="74">SUM(AV9:AY9)</f>
        <v>19.325710819463335</v>
      </c>
      <c r="BA9" s="195">
        <f>MEDIAN(BA33:BA45)</f>
        <v>65.735733419164688</v>
      </c>
      <c r="BB9" s="195">
        <f>MEDIAN(BB33:BB45)</f>
        <v>3.041287013841163</v>
      </c>
      <c r="BC9" s="195">
        <f>MEDIAN(BC33:BC45)</f>
        <v>11.571662537766137</v>
      </c>
      <c r="BD9" s="195">
        <f>MEDIAN(BD33:BD45)</f>
        <v>3.0338014156853252</v>
      </c>
      <c r="BE9" s="195">
        <f>MEDIAN(BE33:BE45)</f>
        <v>2.2178745353640603</v>
      </c>
      <c r="BF9" s="264">
        <f t="shared" ref="BF9:BF13" si="75">SUM(BB9:BE9)</f>
        <v>19.864625502656686</v>
      </c>
      <c r="BG9" s="195">
        <f t="shared" ref="BG9:CV9" si="76">MEDIAN(BG33:BG45)</f>
        <v>64.546605153571363</v>
      </c>
      <c r="BH9" s="195">
        <f t="shared" si="76"/>
        <v>3.0536456260815652</v>
      </c>
      <c r="BI9" s="195">
        <f t="shared" si="76"/>
        <v>12.277487910596671</v>
      </c>
      <c r="BJ9" s="195">
        <f t="shared" si="76"/>
        <v>3.1110617878960833</v>
      </c>
      <c r="BK9" s="195">
        <f t="shared" si="76"/>
        <v>2.3394194020044234</v>
      </c>
      <c r="BL9" s="191">
        <f t="shared" si="76"/>
        <v>35.453394846428651</v>
      </c>
      <c r="BM9" s="148">
        <f t="shared" si="76"/>
        <v>67.12641763284023</v>
      </c>
      <c r="BN9" s="148">
        <f t="shared" si="76"/>
        <v>2.8642843500918636</v>
      </c>
      <c r="BO9" s="148">
        <f t="shared" si="76"/>
        <v>12.662389021050387</v>
      </c>
      <c r="BP9" s="148">
        <f t="shared" si="76"/>
        <v>3.0812340732022139</v>
      </c>
      <c r="BQ9" s="148">
        <f t="shared" si="76"/>
        <v>2.4832312572831414</v>
      </c>
      <c r="BR9" s="191">
        <f t="shared" si="76"/>
        <v>29.282967422654416</v>
      </c>
      <c r="BS9" s="77">
        <f t="shared" si="76"/>
        <v>62.525999389607421</v>
      </c>
      <c r="BT9" s="148">
        <f t="shared" si="76"/>
        <v>3.1677782982741829</v>
      </c>
      <c r="BU9" s="148">
        <f t="shared" si="76"/>
        <v>13.623787257022613</v>
      </c>
      <c r="BV9" s="148">
        <f t="shared" si="76"/>
        <v>3.2627791327809028</v>
      </c>
      <c r="BW9" s="148">
        <f t="shared" si="76"/>
        <v>2.4139879690973847</v>
      </c>
      <c r="BX9" s="191">
        <f t="shared" si="76"/>
        <v>37.474000610392572</v>
      </c>
      <c r="BY9" s="267">
        <f t="shared" si="76"/>
        <v>423184</v>
      </c>
      <c r="BZ9" s="266">
        <f t="shared" si="76"/>
        <v>220076</v>
      </c>
      <c r="CA9" s="266">
        <f t="shared" si="76"/>
        <v>8567</v>
      </c>
      <c r="CB9" s="266">
        <f t="shared" si="76"/>
        <v>90317</v>
      </c>
      <c r="CC9" s="266">
        <f t="shared" si="76"/>
        <v>25843</v>
      </c>
      <c r="CD9" s="266">
        <f t="shared" si="76"/>
        <v>11982</v>
      </c>
      <c r="CE9" s="189">
        <f t="shared" si="76"/>
        <v>61.89646182870586</v>
      </c>
      <c r="CF9" s="195">
        <f t="shared" si="76"/>
        <v>3.107793797354613</v>
      </c>
      <c r="CG9" s="195">
        <f t="shared" si="76"/>
        <v>14.307989647206515</v>
      </c>
      <c r="CH9" s="195">
        <f t="shared" si="76"/>
        <v>3.3351552719936124</v>
      </c>
      <c r="CI9" s="195">
        <f t="shared" si="76"/>
        <v>2.2153361461064294</v>
      </c>
      <c r="CJ9" s="191">
        <f t="shared" si="76"/>
        <v>38.10353817129414</v>
      </c>
      <c r="CK9" s="267">
        <f t="shared" si="76"/>
        <v>429362</v>
      </c>
      <c r="CL9" s="266">
        <f t="shared" si="76"/>
        <v>221940</v>
      </c>
      <c r="CM9" s="266">
        <f t="shared" si="76"/>
        <v>8798</v>
      </c>
      <c r="CN9" s="266">
        <f t="shared" si="76"/>
        <v>95085</v>
      </c>
      <c r="CO9" s="266">
        <f t="shared" si="76"/>
        <v>26471</v>
      </c>
      <c r="CP9" s="266">
        <f t="shared" si="76"/>
        <v>11926</v>
      </c>
      <c r="CQ9" s="189">
        <f t="shared" si="76"/>
        <v>61.480644545791264</v>
      </c>
      <c r="CR9" s="195">
        <f t="shared" si="76"/>
        <v>3.1029361235189148</v>
      </c>
      <c r="CS9" s="195">
        <f t="shared" si="76"/>
        <v>15.088688714220384</v>
      </c>
      <c r="CT9" s="195">
        <f t="shared" si="76"/>
        <v>3.4468309582511814</v>
      </c>
      <c r="CU9" s="195">
        <f t="shared" si="76"/>
        <v>2.2031086628020824</v>
      </c>
      <c r="CV9" s="191">
        <f t="shared" si="76"/>
        <v>38.519355454208743</v>
      </c>
      <c r="CW9" s="267">
        <f t="shared" ref="CW9:DC9" si="77">SUM(CW33:CW45)</f>
        <v>11832898</v>
      </c>
      <c r="CX9" s="266">
        <f t="shared" si="77"/>
        <v>5020776</v>
      </c>
      <c r="CY9" s="266">
        <f t="shared" si="77"/>
        <v>720362</v>
      </c>
      <c r="CZ9" s="266">
        <f t="shared" si="77"/>
        <v>4496329</v>
      </c>
      <c r="DA9" s="266">
        <f t="shared" si="77"/>
        <v>258448</v>
      </c>
      <c r="DB9" s="266">
        <f t="shared" si="77"/>
        <v>1117361</v>
      </c>
      <c r="DC9" s="266">
        <f t="shared" si="77"/>
        <v>219622</v>
      </c>
      <c r="DD9" s="189">
        <f>(CX9/CW9)*100</f>
        <v>42.430653927719142</v>
      </c>
      <c r="DE9" s="195">
        <f>(CY9/CW9)*100</f>
        <v>6.0877901592661408</v>
      </c>
      <c r="DF9" s="195">
        <f>(CZ9/CW9)*100</f>
        <v>37.998544397154447</v>
      </c>
      <c r="DG9" s="195">
        <f>(DB9/CW9)*100</f>
        <v>9.4428347138629949</v>
      </c>
      <c r="DH9" s="195">
        <f>(DA9/CW9)*100</f>
        <v>2.1841479576685274</v>
      </c>
      <c r="DI9" s="195">
        <f>(DC9/CW9)*100</f>
        <v>1.8560288443287518</v>
      </c>
      <c r="DJ9" s="191">
        <f>SUM(DE9:DI9)</f>
        <v>57.569346072280865</v>
      </c>
      <c r="DK9" s="380">
        <f t="shared" ref="DK9:DQ9" si="78">SUM(DK33:DK45)</f>
        <v>11745689</v>
      </c>
      <c r="DL9" s="266">
        <f t="shared" si="78"/>
        <v>4885772</v>
      </c>
      <c r="DM9" s="266">
        <f t="shared" si="78"/>
        <v>690604</v>
      </c>
      <c r="DN9" s="266">
        <f t="shared" si="78"/>
        <v>4587079</v>
      </c>
      <c r="DO9" s="266">
        <f t="shared" si="78"/>
        <v>253540</v>
      </c>
      <c r="DP9" s="266">
        <f t="shared" si="78"/>
        <v>1107605</v>
      </c>
      <c r="DQ9" s="266">
        <f t="shared" si="78"/>
        <v>221089</v>
      </c>
      <c r="DR9" s="189">
        <f>(DL9/DK9)*100</f>
        <v>41.596299714729376</v>
      </c>
      <c r="DS9" s="195">
        <f>(DM9/DK9)*100</f>
        <v>5.8796380527357739</v>
      </c>
      <c r="DT9" s="195">
        <f>(DN9/DK9)*100</f>
        <v>39.053298618752805</v>
      </c>
      <c r="DU9" s="195">
        <f>(DP9/DK9)*100</f>
        <v>9.4298852966394726</v>
      </c>
      <c r="DV9" s="195">
        <f>(DO9/DK9)*100</f>
        <v>2.158579202973959</v>
      </c>
      <c r="DW9" s="195">
        <f>(DQ9/DK9)*100</f>
        <v>1.8822991141686112</v>
      </c>
      <c r="DX9" s="191">
        <f>SUM(DS9:DW9)</f>
        <v>58.403700285270617</v>
      </c>
      <c r="DY9" s="380">
        <f t="shared" ref="DY9:EE9" si="79">SUM(DY33:DY45)</f>
        <v>11916446</v>
      </c>
      <c r="DZ9" s="266">
        <f t="shared" si="79"/>
        <v>4835640</v>
      </c>
      <c r="EA9" s="266">
        <f t="shared" si="79"/>
        <v>654327</v>
      </c>
      <c r="EB9" s="266">
        <f t="shared" si="79"/>
        <v>4752572</v>
      </c>
      <c r="EC9" s="266">
        <f t="shared" si="79"/>
        <v>236358</v>
      </c>
      <c r="ED9" s="266">
        <f t="shared" si="79"/>
        <v>1090674</v>
      </c>
      <c r="EE9" s="266">
        <f t="shared" si="79"/>
        <v>346875</v>
      </c>
      <c r="EF9" s="189">
        <f>(DZ9/DY9)*100</f>
        <v>40.579548633879597</v>
      </c>
      <c r="EG9" s="195">
        <f>(EA9/DY9)*100</f>
        <v>5.4909576227677279</v>
      </c>
      <c r="EH9" s="195">
        <f>(EB9/DY9)*100</f>
        <v>39.882461599708499</v>
      </c>
      <c r="EI9" s="195">
        <f>(ED9/DY9)*100</f>
        <v>9.1526785754745994</v>
      </c>
      <c r="EJ9" s="195">
        <f>(EC9/DY9)*100</f>
        <v>1.9834605049190002</v>
      </c>
      <c r="EK9" s="195">
        <f>(EE9/DY9)*100</f>
        <v>2.9108930632505698</v>
      </c>
      <c r="EL9" s="191">
        <f>SUM(EG9:EK9)</f>
        <v>59.420451366120396</v>
      </c>
      <c r="EM9" s="380">
        <f t="shared" ref="EM9:ET9" si="80">SUM(EM33:EM45)</f>
        <v>12037964</v>
      </c>
      <c r="EN9" s="266">
        <f t="shared" si="80"/>
        <v>4787424.3168306034</v>
      </c>
      <c r="EO9" s="266">
        <f t="shared" si="80"/>
        <v>641779.74091484607</v>
      </c>
      <c r="EP9" s="266">
        <f t="shared" si="80"/>
        <v>4885903.3219649699</v>
      </c>
      <c r="EQ9" s="266">
        <f t="shared" si="80"/>
        <v>970687.83108536515</v>
      </c>
      <c r="ER9" s="266">
        <f t="shared" si="80"/>
        <v>134464.45204373723</v>
      </c>
      <c r="ES9" s="266">
        <f t="shared" si="80"/>
        <v>232501.40223462248</v>
      </c>
      <c r="ET9" s="449">
        <f t="shared" si="80"/>
        <v>385202.934925857</v>
      </c>
      <c r="EU9" s="195">
        <f>(EN9/EM9)*100</f>
        <v>39.769385560802498</v>
      </c>
      <c r="EV9" s="195">
        <f>(EO9/EM9)*100</f>
        <v>5.3312980576686062</v>
      </c>
      <c r="EW9" s="195">
        <f>(EP9/EM9)*100</f>
        <v>40.587455835263917</v>
      </c>
      <c r="EX9" s="195">
        <f>(EQ9/EM9)*100</f>
        <v>8.063554859321437</v>
      </c>
      <c r="EY9" s="195">
        <f>(ER9/EM9)*100</f>
        <v>1.1170032743388933</v>
      </c>
      <c r="EZ9" s="195">
        <f>(ES9/EM9)*100</f>
        <v>1.9314013751380426</v>
      </c>
      <c r="FA9" s="195">
        <f>(ET9/EM9)*100</f>
        <v>3.1999010374666099</v>
      </c>
      <c r="FB9" s="191">
        <f>SUM(EV9:FA9)</f>
        <v>60.230614439197502</v>
      </c>
      <c r="FC9" s="380">
        <f t="shared" ref="FC9:FJ9" si="81">SUM(FC33:FC45)</f>
        <v>12124384</v>
      </c>
      <c r="FD9" s="380">
        <f t="shared" si="81"/>
        <v>4746715</v>
      </c>
      <c r="FE9" s="380">
        <f t="shared" si="81"/>
        <v>627441</v>
      </c>
      <c r="FF9" s="380">
        <f t="shared" si="81"/>
        <v>4939265</v>
      </c>
      <c r="FG9" s="380">
        <f t="shared" si="81"/>
        <v>962340</v>
      </c>
      <c r="FH9" s="380">
        <f t="shared" si="81"/>
        <v>132855</v>
      </c>
      <c r="FI9" s="380">
        <f t="shared" si="81"/>
        <v>226815</v>
      </c>
      <c r="FJ9" s="380">
        <f t="shared" si="81"/>
        <v>414593</v>
      </c>
      <c r="FK9" s="189">
        <f t="shared" si="30"/>
        <v>39.150153937717583</v>
      </c>
      <c r="FL9" s="190">
        <f t="shared" si="31"/>
        <v>5.1750340470905574</v>
      </c>
      <c r="FM9" s="190">
        <f t="shared" si="32"/>
        <v>40.738275857973491</v>
      </c>
      <c r="FN9" s="190">
        <f t="shared" si="33"/>
        <v>7.9372279861805772</v>
      </c>
      <c r="FO9" s="190">
        <f t="shared" si="34"/>
        <v>1.0957670096889047</v>
      </c>
      <c r="FP9" s="190">
        <f t="shared" si="35"/>
        <v>1.8707342162702862</v>
      </c>
      <c r="FQ9" s="190">
        <f t="shared" si="36"/>
        <v>3.4194974359109711</v>
      </c>
      <c r="FR9" s="199">
        <f t="shared" si="37"/>
        <v>60.236536553114789</v>
      </c>
      <c r="FS9" s="449">
        <f t="shared" ref="FS9:FZ9" si="82">SUM(FS33:FS45)</f>
        <v>12135694</v>
      </c>
      <c r="FT9" s="449">
        <f t="shared" si="82"/>
        <v>4714313</v>
      </c>
      <c r="FU9" s="449">
        <f t="shared" si="82"/>
        <v>618428</v>
      </c>
      <c r="FV9" s="449">
        <f t="shared" si="82"/>
        <v>5036511</v>
      </c>
      <c r="FW9" s="449">
        <f t="shared" si="82"/>
        <v>964208</v>
      </c>
      <c r="FX9" s="449">
        <f t="shared" si="82"/>
        <v>132347</v>
      </c>
      <c r="FY9" s="449">
        <f t="shared" si="82"/>
        <v>223579</v>
      </c>
      <c r="FZ9" s="482">
        <f t="shared" si="82"/>
        <v>446308</v>
      </c>
      <c r="GA9" s="189">
        <f t="shared" si="39"/>
        <v>38.846669996787988</v>
      </c>
      <c r="GB9" s="190">
        <f t="shared" si="40"/>
        <v>5.0959425971023986</v>
      </c>
      <c r="GC9" s="190">
        <f t="shared" si="41"/>
        <v>41.501631468295095</v>
      </c>
      <c r="GD9" s="190">
        <f t="shared" si="42"/>
        <v>7.9452234046112231</v>
      </c>
      <c r="GE9" s="190">
        <f t="shared" si="43"/>
        <v>1.0905597982282678</v>
      </c>
      <c r="GF9" s="190">
        <f t="shared" si="44"/>
        <v>1.8423256222511872</v>
      </c>
      <c r="GG9" s="190">
        <f t="shared" si="45"/>
        <v>3.6776471127238377</v>
      </c>
      <c r="GH9" s="199">
        <f t="shared" si="46"/>
        <v>61.15333000321202</v>
      </c>
      <c r="GI9" s="449">
        <f>SUM(GI33:GI45)</f>
        <v>12265993</v>
      </c>
      <c r="GJ9" s="449">
        <f>SUM(GJ33:GJ45)</f>
        <v>3148212</v>
      </c>
      <c r="GK9" s="449">
        <f t="shared" ref="GI9:GP9" si="83">SUM(GK33:GK45)</f>
        <v>237931</v>
      </c>
      <c r="GL9" s="449">
        <f t="shared" si="83"/>
        <v>1758481</v>
      </c>
      <c r="GM9" s="449">
        <f t="shared" si="83"/>
        <v>269320</v>
      </c>
      <c r="GN9" s="449">
        <f t="shared" si="83"/>
        <v>98235</v>
      </c>
      <c r="GO9" s="449">
        <f t="shared" si="83"/>
        <v>184046</v>
      </c>
      <c r="GP9" s="482">
        <f t="shared" si="83"/>
        <v>257607</v>
      </c>
      <c r="GQ9" s="189">
        <f t="shared" ref="GQ9" si="84">(GJ9/GI9)*100</f>
        <v>25.666181286749474</v>
      </c>
      <c r="GR9" s="190">
        <f t="shared" ref="GR9" si="85">(GK9/GI9)*100</f>
        <v>1.9397614200497262</v>
      </c>
      <c r="GS9" s="190">
        <f>(GL9/GI9)*100</f>
        <v>14.336230258732416</v>
      </c>
      <c r="GT9" s="190">
        <f t="shared" ref="GT9" si="86">(GM9/GI9)*100</f>
        <v>2.1956640607898601</v>
      </c>
      <c r="GU9" s="190">
        <f t="shared" ref="GU9" si="87">(GN9/GI9)*100</f>
        <v>0.80087278706257214</v>
      </c>
      <c r="GV9" s="190">
        <f t="shared" ref="GV9" si="88">(GO9/GI9)*100</f>
        <v>1.500457402837259</v>
      </c>
      <c r="GW9" s="190">
        <f t="shared" ref="GW9" si="89">(GP9/GI9)*100</f>
        <v>2.1001724034898763</v>
      </c>
      <c r="GX9" s="199">
        <f t="shared" si="55"/>
        <v>22.873158332961708</v>
      </c>
    </row>
    <row r="10" spans="1:206" s="282" customFormat="1">
      <c r="A10" s="270" t="s">
        <v>244</v>
      </c>
      <c r="B10" s="280"/>
      <c r="C10" s="280"/>
      <c r="D10" s="280"/>
      <c r="E10" s="280"/>
      <c r="F10" s="280"/>
      <c r="G10" s="280"/>
      <c r="H10" s="280"/>
      <c r="I10" s="280"/>
      <c r="J10" s="280"/>
      <c r="K10" s="280"/>
      <c r="L10" s="280"/>
      <c r="M10" s="264"/>
      <c r="N10" s="66"/>
      <c r="O10" s="1"/>
      <c r="P10" s="1"/>
      <c r="Q10" s="1"/>
      <c r="R10" s="278"/>
      <c r="S10" s="280"/>
      <c r="T10" s="280"/>
      <c r="U10" s="280"/>
      <c r="V10" s="280"/>
      <c r="W10" s="280"/>
      <c r="X10" s="264"/>
      <c r="Y10" s="280"/>
      <c r="Z10" s="280"/>
      <c r="AA10" s="280"/>
      <c r="AB10" s="280"/>
      <c r="AC10" s="280"/>
      <c r="AD10" s="264"/>
      <c r="AE10" s="280"/>
      <c r="AF10" s="280"/>
      <c r="AG10" s="280"/>
      <c r="AH10" s="280"/>
      <c r="AI10" s="280"/>
      <c r="AJ10" s="264"/>
      <c r="AK10" s="272"/>
      <c r="AL10" s="272"/>
      <c r="AM10" s="272"/>
      <c r="AN10" s="272"/>
      <c r="AO10" s="280"/>
      <c r="AP10" s="280"/>
      <c r="AQ10" s="280"/>
      <c r="AR10" s="280"/>
      <c r="AS10" s="280"/>
      <c r="AT10" s="264"/>
      <c r="AU10" s="280"/>
      <c r="AV10" s="280"/>
      <c r="AW10" s="280"/>
      <c r="AX10" s="280"/>
      <c r="AY10" s="280"/>
      <c r="AZ10" s="264"/>
      <c r="BA10" s="280"/>
      <c r="BB10" s="280"/>
      <c r="BC10" s="280"/>
      <c r="BD10" s="280"/>
      <c r="BE10" s="280"/>
      <c r="BF10" s="264"/>
      <c r="BG10" s="280"/>
      <c r="BH10" s="280"/>
      <c r="BI10" s="280"/>
      <c r="BJ10" s="280"/>
      <c r="BK10" s="280"/>
      <c r="BL10" s="281"/>
      <c r="BM10" s="280"/>
      <c r="BN10" s="280"/>
      <c r="BO10" s="280"/>
      <c r="BP10" s="280"/>
      <c r="BQ10" s="280"/>
      <c r="BR10" s="281"/>
      <c r="BS10" s="280"/>
      <c r="BT10" s="280"/>
      <c r="BU10" s="280"/>
      <c r="BV10" s="280"/>
      <c r="BW10" s="280"/>
      <c r="BX10" s="281"/>
      <c r="BY10" s="280"/>
      <c r="BZ10" s="280"/>
      <c r="CA10" s="280"/>
      <c r="CB10" s="280"/>
      <c r="CC10" s="280"/>
      <c r="CD10" s="280"/>
      <c r="CE10" s="279"/>
      <c r="CF10" s="280"/>
      <c r="CG10" s="280"/>
      <c r="CH10" s="280"/>
      <c r="CI10" s="280"/>
      <c r="CJ10" s="281"/>
      <c r="CK10" s="280"/>
      <c r="CL10" s="280"/>
      <c r="CM10" s="280"/>
      <c r="CN10" s="280"/>
      <c r="CO10" s="280"/>
      <c r="CP10" s="280"/>
      <c r="CQ10" s="279"/>
      <c r="CR10" s="280"/>
      <c r="CS10" s="280"/>
      <c r="CT10" s="280"/>
      <c r="CU10" s="280"/>
      <c r="CV10" s="281"/>
      <c r="CW10" s="280">
        <f t="shared" ref="CW10:DC10" si="90">(CW9/CW6)*100</f>
        <v>24.302332910573565</v>
      </c>
      <c r="CX10" s="280">
        <f t="shared" si="90"/>
        <v>18.786546017809812</v>
      </c>
      <c r="CY10" s="280">
        <f t="shared" si="90"/>
        <v>8.7263930378995465</v>
      </c>
      <c r="CZ10" s="280">
        <f t="shared" si="90"/>
        <v>43.000156552726182</v>
      </c>
      <c r="DA10" s="280">
        <f t="shared" si="90"/>
        <v>44.105334832818237</v>
      </c>
      <c r="DB10" s="280">
        <f t="shared" si="90"/>
        <v>46.111501783612553</v>
      </c>
      <c r="DC10" s="280">
        <f t="shared" si="90"/>
        <v>89.888918903432298</v>
      </c>
      <c r="DD10" s="279"/>
      <c r="DE10" s="280"/>
      <c r="DF10" s="280"/>
      <c r="DG10" s="280"/>
      <c r="DH10" s="280"/>
      <c r="DI10" s="280"/>
      <c r="DJ10" s="283"/>
      <c r="DK10" s="381">
        <f t="shared" ref="DK10:DQ10" si="91">(DK9/DK6)*100</f>
        <v>24.08095787098522</v>
      </c>
      <c r="DL10" s="280">
        <f t="shared" si="91"/>
        <v>18.511452174875082</v>
      </c>
      <c r="DM10" s="280">
        <f t="shared" si="91"/>
        <v>8.4247565392432673</v>
      </c>
      <c r="DN10" s="280">
        <f t="shared" si="91"/>
        <v>42.487678831654343</v>
      </c>
      <c r="DO10" s="280">
        <f t="shared" si="91"/>
        <v>43.081900470172826</v>
      </c>
      <c r="DP10" s="280">
        <f t="shared" si="91"/>
        <v>44.930221765908762</v>
      </c>
      <c r="DQ10" s="280">
        <f t="shared" si="91"/>
        <v>65.927836588638726</v>
      </c>
      <c r="DR10" s="279"/>
      <c r="DS10" s="280"/>
      <c r="DT10" s="280"/>
      <c r="DU10" s="280"/>
      <c r="DV10" s="280"/>
      <c r="DW10" s="280"/>
      <c r="DX10" s="283"/>
      <c r="DY10" s="381">
        <f t="shared" ref="DY10:EE10" si="92">(DY9/DY6)*100</f>
        <v>24.121195768180019</v>
      </c>
      <c r="DZ10" s="280">
        <f t="shared" si="92"/>
        <v>18.665247446422583</v>
      </c>
      <c r="EA10" s="280">
        <f t="shared" si="92"/>
        <v>8.2701344438592521</v>
      </c>
      <c r="EB10" s="280">
        <f t="shared" si="92"/>
        <v>41.690570213970922</v>
      </c>
      <c r="EC10" s="280">
        <f t="shared" si="92"/>
        <v>41.837050778034829</v>
      </c>
      <c r="ED10" s="280">
        <f t="shared" si="92"/>
        <v>44.384316218221244</v>
      </c>
      <c r="EE10" s="280">
        <f t="shared" si="92"/>
        <v>29.868231051594218</v>
      </c>
      <c r="EF10" s="279"/>
      <c r="EG10" s="280"/>
      <c r="EH10" s="280"/>
      <c r="EI10" s="280"/>
      <c r="EJ10" s="280"/>
      <c r="EK10" s="280"/>
      <c r="EL10" s="283"/>
      <c r="EM10" s="381">
        <f t="shared" ref="EM10:ET10" si="93">(EM9/EM6)*100</f>
        <v>24.308477971532017</v>
      </c>
      <c r="EN10" s="280">
        <f t="shared" si="93"/>
        <v>18.685600301155251</v>
      </c>
      <c r="EO10" s="280">
        <f t="shared" si="93"/>
        <v>8.1919994374555021</v>
      </c>
      <c r="EP10" s="280">
        <f t="shared" si="93"/>
        <v>41.622351249464245</v>
      </c>
      <c r="EQ10" s="280">
        <f t="shared" si="93"/>
        <v>41.671046305482506</v>
      </c>
      <c r="ER10" s="280">
        <f t="shared" si="93"/>
        <v>75.336512851476087</v>
      </c>
      <c r="ES10" s="280">
        <f t="shared" si="93"/>
        <v>42.446805561294141</v>
      </c>
      <c r="ET10" s="381">
        <f t="shared" si="93"/>
        <v>30.277944367962078</v>
      </c>
      <c r="FB10" s="191"/>
      <c r="FC10" s="381">
        <f t="shared" ref="FC10:FJ10" si="94">(FC9/FC6)*100</f>
        <v>24.360280594862267</v>
      </c>
      <c r="FD10" s="381">
        <f t="shared" si="94"/>
        <v>18.712270897415472</v>
      </c>
      <c r="FE10" s="381">
        <f t="shared" si="94"/>
        <v>8.0456007262879297</v>
      </c>
      <c r="FF10" s="381">
        <f t="shared" si="94"/>
        <v>40.94113132039876</v>
      </c>
      <c r="FG10" s="381">
        <f t="shared" si="94"/>
        <v>40.717009296445418</v>
      </c>
      <c r="FH10" s="381">
        <f t="shared" si="94"/>
        <v>73.834995970767224</v>
      </c>
      <c r="FI10" s="381">
        <f t="shared" si="94"/>
        <v>42.546586181152435</v>
      </c>
      <c r="FJ10" s="381">
        <f t="shared" si="94"/>
        <v>29.815809118067133</v>
      </c>
      <c r="FK10" s="189"/>
      <c r="FL10" s="190"/>
      <c r="FM10" s="190"/>
      <c r="FN10" s="190"/>
      <c r="FO10" s="190"/>
      <c r="FP10" s="190"/>
      <c r="FQ10" s="190"/>
      <c r="FR10" s="199"/>
      <c r="FS10" s="282">
        <f t="shared" ref="FS10:FZ10" si="95">(FS9/FS6)*100</f>
        <v>24.301719948736817</v>
      </c>
      <c r="FT10" s="282">
        <f t="shared" si="95"/>
        <v>18.763175688678054</v>
      </c>
      <c r="FU10" s="282">
        <f t="shared" si="95"/>
        <v>7.9366462539994256</v>
      </c>
      <c r="FV10" s="282">
        <f t="shared" si="95"/>
        <v>40.592891065086143</v>
      </c>
      <c r="FW10" s="282">
        <f t="shared" si="95"/>
        <v>40.048546310472098</v>
      </c>
      <c r="FX10" s="282">
        <f t="shared" si="95"/>
        <v>75.299412270071286</v>
      </c>
      <c r="FY10" s="282">
        <f t="shared" si="95"/>
        <v>42.783033670884137</v>
      </c>
      <c r="FZ10" s="479">
        <f t="shared" si="95"/>
        <v>29.61821524086351</v>
      </c>
      <c r="GA10" s="189"/>
      <c r="GB10" s="190"/>
      <c r="GC10" s="190"/>
      <c r="GD10" s="190"/>
      <c r="GE10" s="190"/>
      <c r="GF10" s="190"/>
      <c r="GG10" s="190"/>
      <c r="GH10" s="199"/>
      <c r="GI10" s="282">
        <f t="shared" ref="GI10:GP10" si="96">(GI9/GI6)*100</f>
        <v>24.37957416654892</v>
      </c>
      <c r="GJ10" s="282">
        <f t="shared" si="96"/>
        <v>13.937136678820702</v>
      </c>
      <c r="GK10" s="282">
        <f t="shared" si="96"/>
        <v>3.3857643388146443</v>
      </c>
      <c r="GL10" s="282">
        <f t="shared" si="96"/>
        <v>19.155654089049211</v>
      </c>
      <c r="GM10" s="282">
        <f t="shared" si="96"/>
        <v>15.719729801822371</v>
      </c>
      <c r="GN10" s="282">
        <f t="shared" si="96"/>
        <v>69.629225349616902</v>
      </c>
      <c r="GO10" s="282">
        <f t="shared" si="96"/>
        <v>39.898111816861409</v>
      </c>
      <c r="GP10" s="479">
        <f t="shared" si="96"/>
        <v>19.235844005725795</v>
      </c>
      <c r="GQ10" s="189"/>
      <c r="GR10" s="190"/>
      <c r="GS10" s="190"/>
      <c r="GT10" s="190"/>
      <c r="GU10" s="190"/>
      <c r="GV10" s="190"/>
      <c r="GW10" s="190"/>
      <c r="GX10" s="199"/>
    </row>
    <row r="11" spans="1:206" s="11" customFormat="1">
      <c r="A11" s="111" t="s">
        <v>246</v>
      </c>
      <c r="B11" s="195"/>
      <c r="C11" s="195"/>
      <c r="D11" s="195"/>
      <c r="E11" s="195"/>
      <c r="F11" s="195"/>
      <c r="G11" s="195"/>
      <c r="H11" s="195">
        <f t="shared" ref="H11:L11" si="97">MEDIAN(H47:H58)</f>
        <v>87.636653909642774</v>
      </c>
      <c r="I11" s="195">
        <f t="shared" si="97"/>
        <v>8.2565026812220346</v>
      </c>
      <c r="J11" s="195">
        <f t="shared" si="97"/>
        <v>1.4014212079567931</v>
      </c>
      <c r="K11" s="195">
        <f t="shared" si="97"/>
        <v>0.99224498189667343</v>
      </c>
      <c r="L11" s="195">
        <f t="shared" si="97"/>
        <v>0.70295795578495612</v>
      </c>
      <c r="M11" s="264">
        <f t="shared" si="64"/>
        <v>11.353126826860459</v>
      </c>
      <c r="N11" s="66"/>
      <c r="R11" s="134">
        <f t="shared" ref="R11" si="98">MEDIAN(R47:R58)</f>
        <v>14.53936753917673</v>
      </c>
      <c r="S11" s="195">
        <f t="shared" ref="S11:W11" si="99">MEDIAN(S47:S58)</f>
        <v>84.612505841162573</v>
      </c>
      <c r="T11" s="195">
        <f t="shared" si="99"/>
        <v>8.6992223225056176</v>
      </c>
      <c r="U11" s="195">
        <f t="shared" si="99"/>
        <v>1.8584467873303552</v>
      </c>
      <c r="V11" s="195">
        <f t="shared" si="99"/>
        <v>1.2825973952484266</v>
      </c>
      <c r="W11" s="195">
        <f t="shared" si="99"/>
        <v>1.0060696211349272</v>
      </c>
      <c r="X11" s="264">
        <f t="shared" si="67"/>
        <v>12.846336126219326</v>
      </c>
      <c r="Y11" s="195">
        <f t="shared" ref="Y11:AC11" si="100">MEDIAN(Y47:Y58)</f>
        <v>83.95</v>
      </c>
      <c r="Z11" s="195">
        <f t="shared" si="100"/>
        <v>8.8500000000000014</v>
      </c>
      <c r="AA11" s="195">
        <f t="shared" si="100"/>
        <v>2</v>
      </c>
      <c r="AB11" s="195">
        <f t="shared" si="100"/>
        <v>1.35</v>
      </c>
      <c r="AC11" s="195">
        <f t="shared" si="100"/>
        <v>1.05</v>
      </c>
      <c r="AD11" s="264">
        <f t="shared" si="69"/>
        <v>13.250000000000002</v>
      </c>
      <c r="AE11" s="195">
        <f t="shared" ref="AE11:AI11" si="101">MEDIAN(AE47:AE58)</f>
        <v>83.45</v>
      </c>
      <c r="AF11" s="195">
        <f t="shared" si="101"/>
        <v>8.9499999999999993</v>
      </c>
      <c r="AG11" s="195">
        <f t="shared" si="101"/>
        <v>2.2000000000000002</v>
      </c>
      <c r="AH11" s="195">
        <f t="shared" si="101"/>
        <v>1.4</v>
      </c>
      <c r="AI11" s="195">
        <f t="shared" si="101"/>
        <v>1.05</v>
      </c>
      <c r="AJ11" s="264">
        <f t="shared" si="71"/>
        <v>13.6</v>
      </c>
      <c r="AK11" s="258">
        <f>MEDIAN(AK47:AK58)</f>
        <v>16.850000000000001</v>
      </c>
      <c r="AL11" s="258">
        <f t="shared" ref="AL11:AN11" si="102">MEDIAN(AL47:AL58)</f>
        <v>17.449999999999996</v>
      </c>
      <c r="AM11" s="258">
        <f t="shared" si="102"/>
        <v>16.699999999999996</v>
      </c>
      <c r="AN11" s="258">
        <f t="shared" si="102"/>
        <v>17.299999999999997</v>
      </c>
      <c r="AO11" s="195">
        <f>MEDIAN(AO47:AO58)</f>
        <v>81.827478753423506</v>
      </c>
      <c r="AP11" s="195">
        <f>MEDIAN(AP47:AP58)</f>
        <v>9.4545834539804154</v>
      </c>
      <c r="AQ11" s="195">
        <f>MEDIAN(AQ47:AQ58)</f>
        <v>3.5075699372297686</v>
      </c>
      <c r="AR11" s="195">
        <f>MEDIAN(AR47:AR58)</f>
        <v>1.6146055086234092</v>
      </c>
      <c r="AS11" s="195">
        <f>MEDIAN(AS47:AS58)</f>
        <v>1.1630969594706349</v>
      </c>
      <c r="AT11" s="264">
        <f t="shared" si="73"/>
        <v>15.739855859304228</v>
      </c>
      <c r="AU11" s="195">
        <f>MEDIAN(AU47:AU58)</f>
        <v>80.936833895238522</v>
      </c>
      <c r="AV11" s="195">
        <f>MEDIAN(AV47:AV58)</f>
        <v>9.5457354663880594</v>
      </c>
      <c r="AW11" s="195">
        <f>MEDIAN(AW47:AW58)</f>
        <v>3.8301845552015141</v>
      </c>
      <c r="AX11" s="195">
        <f>MEDIAN(AX47:AX58)</f>
        <v>1.6481177154952156</v>
      </c>
      <c r="AY11" s="195">
        <f>MEDIAN(AY47:AY58)</f>
        <v>1.1888667382938118</v>
      </c>
      <c r="AZ11" s="264">
        <f t="shared" si="74"/>
        <v>16.2129044753786</v>
      </c>
      <c r="BA11" s="195">
        <f>MEDIAN(BA47:BA58)</f>
        <v>80.198140210180014</v>
      </c>
      <c r="BB11" s="195">
        <f>MEDIAN(BB47:BB58)</f>
        <v>9.7454755763087419</v>
      </c>
      <c r="BC11" s="195">
        <f>MEDIAN(BC47:BC58)</f>
        <v>4.2202771093280012</v>
      </c>
      <c r="BD11" s="195">
        <f>MEDIAN(BD47:BD58)</f>
        <v>1.6949160310176761</v>
      </c>
      <c r="BE11" s="195">
        <f>MEDIAN(BE47:BE58)</f>
        <v>1.4394941279908382</v>
      </c>
      <c r="BF11" s="264">
        <f t="shared" si="75"/>
        <v>17.100162844645258</v>
      </c>
      <c r="BG11" s="195">
        <f t="shared" ref="BG11:CV11" si="103">MEDIAN(BG47:BG58)</f>
        <v>79.459180349732705</v>
      </c>
      <c r="BH11" s="195">
        <f t="shared" si="103"/>
        <v>9.6851932986272011</v>
      </c>
      <c r="BI11" s="195">
        <f t="shared" si="103"/>
        <v>4.6784264789402537</v>
      </c>
      <c r="BJ11" s="195">
        <f t="shared" si="103"/>
        <v>1.7500840849958719</v>
      </c>
      <c r="BK11" s="195">
        <f t="shared" si="103"/>
        <v>1.2204317978623735</v>
      </c>
      <c r="BL11" s="191">
        <f t="shared" si="103"/>
        <v>20.540819650267299</v>
      </c>
      <c r="BM11" s="148">
        <f t="shared" si="103"/>
        <v>78.787012092822408</v>
      </c>
      <c r="BN11" s="148">
        <f t="shared" si="103"/>
        <v>9.5974822149268491</v>
      </c>
      <c r="BO11" s="148">
        <f t="shared" si="103"/>
        <v>5.0759316010563005</v>
      </c>
      <c r="BP11" s="148">
        <f t="shared" si="103"/>
        <v>1.8072733295278383</v>
      </c>
      <c r="BQ11" s="148">
        <f t="shared" si="103"/>
        <v>1.2106103652489992</v>
      </c>
      <c r="BR11" s="191">
        <f t="shared" si="103"/>
        <v>21.212987907177585</v>
      </c>
      <c r="BS11" s="77">
        <f t="shared" si="103"/>
        <v>78.034301701190245</v>
      </c>
      <c r="BT11" s="148">
        <f t="shared" si="103"/>
        <v>9.5396356191405083</v>
      </c>
      <c r="BU11" s="148">
        <f t="shared" si="103"/>
        <v>5.5585246382228242</v>
      </c>
      <c r="BV11" s="148">
        <f t="shared" si="103"/>
        <v>1.8748458297649302</v>
      </c>
      <c r="BW11" s="148">
        <f t="shared" si="103"/>
        <v>1.2060599487526982</v>
      </c>
      <c r="BX11" s="191">
        <f t="shared" si="103"/>
        <v>21.965698298809755</v>
      </c>
      <c r="BY11" s="267">
        <f t="shared" si="103"/>
        <v>858632.5</v>
      </c>
      <c r="BZ11" s="266">
        <f t="shared" si="103"/>
        <v>663310</v>
      </c>
      <c r="CA11" s="266">
        <f t="shared" si="103"/>
        <v>84044.5</v>
      </c>
      <c r="CB11" s="266">
        <f t="shared" si="103"/>
        <v>46935</v>
      </c>
      <c r="CC11" s="266">
        <f t="shared" si="103"/>
        <v>14385.5</v>
      </c>
      <c r="CD11" s="266">
        <f t="shared" si="103"/>
        <v>6320</v>
      </c>
      <c r="CE11" s="189">
        <f t="shared" si="103"/>
        <v>77.251763379326448</v>
      </c>
      <c r="CF11" s="195">
        <f t="shared" si="103"/>
        <v>9.7729723840452323</v>
      </c>
      <c r="CG11" s="195">
        <f t="shared" si="103"/>
        <v>5.97178611308928</v>
      </c>
      <c r="CH11" s="195">
        <f t="shared" si="103"/>
        <v>1.9180837895972784</v>
      </c>
      <c r="CI11" s="195">
        <f t="shared" si="103"/>
        <v>1.2007718006286323</v>
      </c>
      <c r="CJ11" s="191">
        <f t="shared" si="103"/>
        <v>22.748236620673545</v>
      </c>
      <c r="CK11" s="267">
        <f t="shared" si="103"/>
        <v>856105.5</v>
      </c>
      <c r="CL11" s="266">
        <f t="shared" si="103"/>
        <v>656225</v>
      </c>
      <c r="CM11" s="266">
        <f t="shared" si="103"/>
        <v>84913</v>
      </c>
      <c r="CN11" s="266">
        <f t="shared" si="103"/>
        <v>49211</v>
      </c>
      <c r="CO11" s="266">
        <f t="shared" si="103"/>
        <v>15218.5</v>
      </c>
      <c r="CP11" s="266">
        <f t="shared" si="103"/>
        <v>6462.5</v>
      </c>
      <c r="CQ11" s="189">
        <f t="shared" si="103"/>
        <v>76.648023959410267</v>
      </c>
      <c r="CR11" s="195">
        <f t="shared" si="103"/>
        <v>9.9065924534913776</v>
      </c>
      <c r="CS11" s="195">
        <f t="shared" si="103"/>
        <v>6.2962376836049234</v>
      </c>
      <c r="CT11" s="195">
        <f t="shared" si="103"/>
        <v>2.0208224918506783</v>
      </c>
      <c r="CU11" s="195">
        <f t="shared" si="103"/>
        <v>1.1914284238517143</v>
      </c>
      <c r="CV11" s="191">
        <f t="shared" si="103"/>
        <v>23.351976040589744</v>
      </c>
      <c r="CW11" s="267">
        <f t="shared" ref="CW11:DC11" si="104">SUM(CW47:CW58)</f>
        <v>10551537</v>
      </c>
      <c r="CX11" s="266">
        <f t="shared" si="104"/>
        <v>7600120</v>
      </c>
      <c r="CY11" s="266">
        <f t="shared" si="104"/>
        <v>1600124</v>
      </c>
      <c r="CZ11" s="266">
        <f t="shared" si="104"/>
        <v>943551</v>
      </c>
      <c r="DA11" s="266">
        <f t="shared" si="104"/>
        <v>98473</v>
      </c>
      <c r="DB11" s="266">
        <f t="shared" si="104"/>
        <v>309269</v>
      </c>
      <c r="DC11" s="266">
        <f t="shared" si="104"/>
        <v>0</v>
      </c>
      <c r="DD11" s="189">
        <f>(CX11/CW11)*100</f>
        <v>72.028558493421386</v>
      </c>
      <c r="DE11" s="195">
        <f>(CY11/CW11)*100</f>
        <v>15.164842809156617</v>
      </c>
      <c r="DF11" s="195">
        <f>(CZ11/CW11)*100</f>
        <v>8.9423085944730136</v>
      </c>
      <c r="DG11" s="195">
        <f>(DB11/CW11)*100</f>
        <v>2.9310327016812812</v>
      </c>
      <c r="DH11" s="195">
        <f>(DA11/CW11)*100</f>
        <v>0.93325740126770151</v>
      </c>
      <c r="DI11" s="195">
        <f>(DC11/CW11)*100</f>
        <v>0</v>
      </c>
      <c r="DJ11" s="191">
        <f>SUM(DE11:DI11)</f>
        <v>27.971441506578614</v>
      </c>
      <c r="DK11" s="380">
        <f t="shared" ref="DK11:DQ11" si="105">SUM(DK47:DK58)</f>
        <v>10470255</v>
      </c>
      <c r="DL11" s="266">
        <f t="shared" si="105"/>
        <v>7481055</v>
      </c>
      <c r="DM11" s="266">
        <f t="shared" si="105"/>
        <v>1571229</v>
      </c>
      <c r="DN11" s="266">
        <f t="shared" si="105"/>
        <v>978681</v>
      </c>
      <c r="DO11" s="266">
        <f t="shared" si="105"/>
        <v>97639</v>
      </c>
      <c r="DP11" s="266">
        <f t="shared" si="105"/>
        <v>312841</v>
      </c>
      <c r="DQ11" s="266">
        <f t="shared" si="105"/>
        <v>28810</v>
      </c>
      <c r="DR11" s="189">
        <f>(DL11/DK11)*100</f>
        <v>71.450552063918209</v>
      </c>
      <c r="DS11" s="195">
        <f>(DM11/DK11)*100</f>
        <v>15.006597260525172</v>
      </c>
      <c r="DT11" s="195">
        <f>(DN11/DK11)*100</f>
        <v>9.3472508549218727</v>
      </c>
      <c r="DU11" s="195">
        <f>(DP11/DK11)*100</f>
        <v>2.9879023958824309</v>
      </c>
      <c r="DV11" s="195">
        <f>(DO11/DK11)*100</f>
        <v>0.93253698214608904</v>
      </c>
      <c r="DW11" s="195">
        <f>(DQ11/DK11)*100</f>
        <v>0.27516044260622113</v>
      </c>
      <c r="DX11" s="191">
        <f>SUM(DS11:DW11)</f>
        <v>28.549447936081783</v>
      </c>
      <c r="DY11" s="380">
        <f t="shared" ref="DY11:EE11" si="106">SUM(DY47:DY58)</f>
        <v>10609604</v>
      </c>
      <c r="DZ11" s="266">
        <f t="shared" si="106"/>
        <v>7326718</v>
      </c>
      <c r="EA11" s="266">
        <f t="shared" si="106"/>
        <v>1504997</v>
      </c>
      <c r="EB11" s="266">
        <f t="shared" si="106"/>
        <v>1077351</v>
      </c>
      <c r="EC11" s="266">
        <f t="shared" si="106"/>
        <v>94437</v>
      </c>
      <c r="ED11" s="266">
        <f t="shared" si="106"/>
        <v>311814</v>
      </c>
      <c r="EE11" s="266">
        <f t="shared" si="106"/>
        <v>294287</v>
      </c>
      <c r="EF11" s="189">
        <f>(DZ11/DY11)*100</f>
        <v>69.057412510400951</v>
      </c>
      <c r="EG11" s="195">
        <f>(EA11/DY11)*100</f>
        <v>14.185232549678576</v>
      </c>
      <c r="EH11" s="195">
        <f>(EB11/DY11)*100</f>
        <v>10.154488329630398</v>
      </c>
      <c r="EI11" s="195">
        <f>(ED11/DY11)*100</f>
        <v>2.9389786838415461</v>
      </c>
      <c r="EJ11" s="195">
        <f>(EC11/DY11)*100</f>
        <v>0.89010862233877919</v>
      </c>
      <c r="EK11" s="195">
        <f>(EE11/DY11)*100</f>
        <v>2.7737793041097478</v>
      </c>
      <c r="EL11" s="191">
        <f>SUM(EG11:EK11)</f>
        <v>30.942587489599049</v>
      </c>
      <c r="EM11" s="380">
        <f t="shared" ref="EM11:ET11" si="107">SUM(EM47:EM58)</f>
        <v>10573792</v>
      </c>
      <c r="EN11" s="266">
        <f t="shared" si="107"/>
        <v>7240424</v>
      </c>
      <c r="EO11" s="266">
        <f t="shared" si="107"/>
        <v>1484586</v>
      </c>
      <c r="EP11" s="266">
        <f t="shared" si="107"/>
        <v>1126627</v>
      </c>
      <c r="EQ11" s="266">
        <f t="shared" si="107"/>
        <v>311303</v>
      </c>
      <c r="ER11" s="266">
        <f t="shared" si="107"/>
        <v>8937</v>
      </c>
      <c r="ES11" s="266">
        <f t="shared" si="107"/>
        <v>90339</v>
      </c>
      <c r="ET11" s="449">
        <f t="shared" si="107"/>
        <v>310789</v>
      </c>
      <c r="EU11" s="195">
        <f>(EN11/EM11)*100</f>
        <v>68.475188465973218</v>
      </c>
      <c r="EV11" s="195">
        <f>(EO11/EM11)*100</f>
        <v>14.040242138298161</v>
      </c>
      <c r="EW11" s="195">
        <f>(EP11/EM11)*100</f>
        <v>10.654900342280234</v>
      </c>
      <c r="EX11" s="195">
        <f>(EQ11/EM11)*100</f>
        <v>2.944099902854151</v>
      </c>
      <c r="EY11" s="195">
        <f>(ER11/EM11)*100</f>
        <v>8.4520293192829971E-2</v>
      </c>
      <c r="EZ11" s="195">
        <f>(ES11/EM11)*100</f>
        <v>0.85436709933390032</v>
      </c>
      <c r="FA11" s="195">
        <f>(ET11/EM11)*100</f>
        <v>2.9392388274707879</v>
      </c>
      <c r="FB11" s="191">
        <f>SUM(EV11:FA11)</f>
        <v>31.517368603430068</v>
      </c>
      <c r="FC11" s="380">
        <f t="shared" ref="FC11:FJ11" si="108">SUM(FC47:FC58)</f>
        <v>10559230</v>
      </c>
      <c r="FD11" s="380">
        <f t="shared" si="108"/>
        <v>7175321</v>
      </c>
      <c r="FE11" s="380">
        <f t="shared" si="108"/>
        <v>1464191</v>
      </c>
      <c r="FF11" s="380">
        <f t="shared" si="108"/>
        <v>1167474</v>
      </c>
      <c r="FG11" s="380">
        <f t="shared" si="108"/>
        <v>319736</v>
      </c>
      <c r="FH11" s="380">
        <f t="shared" si="108"/>
        <v>10421</v>
      </c>
      <c r="FI11" s="380">
        <f t="shared" si="108"/>
        <v>88557</v>
      </c>
      <c r="FJ11" s="380">
        <f t="shared" si="108"/>
        <v>333530</v>
      </c>
      <c r="FK11" s="189">
        <f t="shared" si="30"/>
        <v>67.953070441689405</v>
      </c>
      <c r="FL11" s="190">
        <f t="shared" si="31"/>
        <v>13.866456171520083</v>
      </c>
      <c r="FM11" s="190">
        <f t="shared" si="32"/>
        <v>11.056431198108195</v>
      </c>
      <c r="FN11" s="190">
        <f t="shared" si="33"/>
        <v>3.028023823706842</v>
      </c>
      <c r="FO11" s="190">
        <f t="shared" si="34"/>
        <v>9.869090833327808E-2</v>
      </c>
      <c r="FP11" s="190">
        <f t="shared" si="35"/>
        <v>0.83866910750120993</v>
      </c>
      <c r="FQ11" s="190">
        <f t="shared" si="36"/>
        <v>3.1586583491409885</v>
      </c>
      <c r="FR11" s="199">
        <f t="shared" si="37"/>
        <v>32.046929558310595</v>
      </c>
      <c r="FS11" s="449">
        <f t="shared" ref="FS11:FZ11" si="109">SUM(FS47:FS58)</f>
        <v>10572920</v>
      </c>
      <c r="FT11" s="449">
        <f t="shared" si="109"/>
        <v>7111289</v>
      </c>
      <c r="FU11" s="449">
        <f t="shared" si="109"/>
        <v>1463525</v>
      </c>
      <c r="FV11" s="449">
        <f t="shared" si="109"/>
        <v>1212446</v>
      </c>
      <c r="FW11" s="449">
        <f t="shared" si="109"/>
        <v>329838</v>
      </c>
      <c r="FX11" s="449">
        <f t="shared" si="109"/>
        <v>10855</v>
      </c>
      <c r="FY11" s="449">
        <f t="shared" si="109"/>
        <v>87398</v>
      </c>
      <c r="FZ11" s="482">
        <f t="shared" si="109"/>
        <v>357569</v>
      </c>
      <c r="GA11" s="189">
        <f t="shared" si="39"/>
        <v>67.259460962534476</v>
      </c>
      <c r="GB11" s="190">
        <f t="shared" si="40"/>
        <v>13.842202532507574</v>
      </c>
      <c r="GC11" s="190">
        <f t="shared" si="41"/>
        <v>11.467465941291525</v>
      </c>
      <c r="GD11" s="190">
        <f t="shared" si="42"/>
        <v>3.1196490657264029</v>
      </c>
      <c r="GE11" s="190">
        <f t="shared" si="43"/>
        <v>0.10266794792734646</v>
      </c>
      <c r="GF11" s="190">
        <f t="shared" si="44"/>
        <v>0.82662121722286741</v>
      </c>
      <c r="GG11" s="190">
        <f t="shared" si="45"/>
        <v>3.3819323327898063</v>
      </c>
      <c r="GH11" s="199">
        <f t="shared" si="46"/>
        <v>32.740539037465524</v>
      </c>
      <c r="GI11" s="449">
        <f>SUM(GI47:GI58)</f>
        <v>10560539</v>
      </c>
      <c r="GJ11" s="449">
        <f t="shared" ref="GI11:GP11" si="110">SUM(GJ47:GJ58)</f>
        <v>7037388</v>
      </c>
      <c r="GK11" s="449">
        <f t="shared" si="110"/>
        <v>1459320</v>
      </c>
      <c r="GL11" s="449">
        <f t="shared" si="110"/>
        <v>1248877</v>
      </c>
      <c r="GM11" s="449">
        <f t="shared" si="110"/>
        <v>337671</v>
      </c>
      <c r="GN11" s="449">
        <f t="shared" si="110"/>
        <v>10620</v>
      </c>
      <c r="GO11" s="449">
        <f t="shared" si="110"/>
        <v>86174</v>
      </c>
      <c r="GP11" s="482">
        <f t="shared" si="110"/>
        <v>379810</v>
      </c>
      <c r="GQ11" s="189">
        <f t="shared" ref="GQ11" si="111">(GJ11/GI11)*100</f>
        <v>66.638530476522078</v>
      </c>
      <c r="GR11" s="190">
        <f t="shared" ref="GR11" si="112">(GK11/GI11)*100</f>
        <v>13.818612856786949</v>
      </c>
      <c r="GS11" s="190">
        <f t="shared" ref="GS11" si="113">(GL11/GI11)*100</f>
        <v>11.8258831296395</v>
      </c>
      <c r="GT11" s="190">
        <f t="shared" ref="GT11" si="114">(GM11/GI11)*100</f>
        <v>3.1974788408053798</v>
      </c>
      <c r="GU11" s="190">
        <f t="shared" ref="GU11" si="115">(GN11/GI11)*100</f>
        <v>0.10056304891256024</v>
      </c>
      <c r="GV11" s="190">
        <f t="shared" ref="GV11" si="116">(GO11/GI11)*100</f>
        <v>0.81600001666581601</v>
      </c>
      <c r="GW11" s="190">
        <f t="shared" ref="GW11" si="117">(GP11/GI11)*100</f>
        <v>3.5965020346025898</v>
      </c>
      <c r="GX11" s="199">
        <f t="shared" si="55"/>
        <v>33.35503992741279</v>
      </c>
    </row>
    <row r="12" spans="1:206" s="282" customFormat="1">
      <c r="A12" s="270" t="s">
        <v>244</v>
      </c>
      <c r="B12" s="280"/>
      <c r="C12" s="280"/>
      <c r="D12" s="280"/>
      <c r="E12" s="280"/>
      <c r="F12" s="280"/>
      <c r="G12" s="280"/>
      <c r="H12" s="280"/>
      <c r="I12" s="280"/>
      <c r="J12" s="280"/>
      <c r="K12" s="280"/>
      <c r="L12" s="280"/>
      <c r="M12" s="264"/>
      <c r="N12" s="66"/>
      <c r="O12" s="1"/>
      <c r="P12" s="1"/>
      <c r="Q12" s="1"/>
      <c r="R12" s="278"/>
      <c r="S12" s="280"/>
      <c r="T12" s="280"/>
      <c r="U12" s="280"/>
      <c r="V12" s="280"/>
      <c r="W12" s="280"/>
      <c r="X12" s="264"/>
      <c r="Y12" s="280"/>
      <c r="Z12" s="280"/>
      <c r="AA12" s="280"/>
      <c r="AB12" s="280"/>
      <c r="AC12" s="280"/>
      <c r="AD12" s="264"/>
      <c r="AE12" s="280"/>
      <c r="AF12" s="280"/>
      <c r="AG12" s="280"/>
      <c r="AH12" s="280"/>
      <c r="AI12" s="280"/>
      <c r="AJ12" s="264"/>
      <c r="AK12" s="272"/>
      <c r="AL12" s="272"/>
      <c r="AM12" s="272"/>
      <c r="AN12" s="272"/>
      <c r="AO12" s="280"/>
      <c r="AP12" s="280"/>
      <c r="AQ12" s="280"/>
      <c r="AR12" s="280"/>
      <c r="AS12" s="280"/>
      <c r="AT12" s="264"/>
      <c r="AU12" s="280"/>
      <c r="AV12" s="280"/>
      <c r="AW12" s="280"/>
      <c r="AX12" s="280"/>
      <c r="AY12" s="280"/>
      <c r="AZ12" s="264"/>
      <c r="BA12" s="280"/>
      <c r="BB12" s="280"/>
      <c r="BC12" s="280"/>
      <c r="BD12" s="280"/>
      <c r="BE12" s="280"/>
      <c r="BF12" s="264"/>
      <c r="BG12" s="280"/>
      <c r="BH12" s="280"/>
      <c r="BI12" s="280"/>
      <c r="BJ12" s="280"/>
      <c r="BK12" s="280"/>
      <c r="BL12" s="281"/>
      <c r="BM12" s="280"/>
      <c r="BN12" s="280"/>
      <c r="BO12" s="280"/>
      <c r="BP12" s="280"/>
      <c r="BQ12" s="280"/>
      <c r="BR12" s="281"/>
      <c r="BS12" s="280"/>
      <c r="BT12" s="280"/>
      <c r="BU12" s="280"/>
      <c r="BV12" s="280"/>
      <c r="BW12" s="280"/>
      <c r="BX12" s="281"/>
      <c r="BY12" s="280"/>
      <c r="BZ12" s="280"/>
      <c r="CA12" s="280"/>
      <c r="CB12" s="280"/>
      <c r="CC12" s="280"/>
      <c r="CD12" s="280"/>
      <c r="CE12" s="279"/>
      <c r="CF12" s="280"/>
      <c r="CG12" s="280"/>
      <c r="CH12" s="280"/>
      <c r="CI12" s="280"/>
      <c r="CJ12" s="281"/>
      <c r="CK12" s="280"/>
      <c r="CL12" s="280"/>
      <c r="CM12" s="280"/>
      <c r="CN12" s="280"/>
      <c r="CO12" s="280"/>
      <c r="CP12" s="280"/>
      <c r="CQ12" s="279"/>
      <c r="CR12" s="280"/>
      <c r="CS12" s="280"/>
      <c r="CT12" s="280"/>
      <c r="CU12" s="280"/>
      <c r="CV12" s="281"/>
      <c r="CW12" s="280">
        <f t="shared" ref="CW12:DC12" si="118">(CW11/CW6)*100</f>
        <v>21.670681593996218</v>
      </c>
      <c r="CX12" s="280">
        <f t="shared" si="118"/>
        <v>28.43783592832596</v>
      </c>
      <c r="CY12" s="280">
        <f t="shared" si="118"/>
        <v>19.38374169289326</v>
      </c>
      <c r="CZ12" s="280">
        <f t="shared" si="118"/>
        <v>9.0235480356266962</v>
      </c>
      <c r="DA12" s="280">
        <f t="shared" si="118"/>
        <v>16.804868433851723</v>
      </c>
      <c r="DB12" s="280">
        <f t="shared" si="118"/>
        <v>12.762981744589325</v>
      </c>
      <c r="DC12" s="280">
        <f t="shared" si="118"/>
        <v>0</v>
      </c>
      <c r="DD12" s="279"/>
      <c r="DE12" s="280"/>
      <c r="DF12" s="280"/>
      <c r="DG12" s="280"/>
      <c r="DH12" s="280"/>
      <c r="DI12" s="280"/>
      <c r="DJ12" s="283"/>
      <c r="DK12" s="381">
        <f t="shared" ref="DK12:DQ12" si="119">(DK11/DK6)*100</f>
        <v>21.466068917155251</v>
      </c>
      <c r="DL12" s="280">
        <f t="shared" si="119"/>
        <v>28.344587477702625</v>
      </c>
      <c r="DM12" s="280">
        <f t="shared" si="119"/>
        <v>19.16760081377846</v>
      </c>
      <c r="DN12" s="280">
        <f t="shared" si="119"/>
        <v>9.0650028060651024</v>
      </c>
      <c r="DO12" s="280">
        <f t="shared" si="119"/>
        <v>16.590966632512444</v>
      </c>
      <c r="DP12" s="280">
        <f t="shared" si="119"/>
        <v>12.690458699146953</v>
      </c>
      <c r="DQ12" s="280">
        <f t="shared" si="119"/>
        <v>8.5910243029670497</v>
      </c>
      <c r="DR12" s="279"/>
      <c r="DS12" s="280"/>
      <c r="DT12" s="280"/>
      <c r="DU12" s="280"/>
      <c r="DV12" s="280"/>
      <c r="DW12" s="280"/>
      <c r="DX12" s="283"/>
      <c r="DY12" s="381">
        <f t="shared" ref="DY12:EE12" si="120">(DY11/DY6)*100</f>
        <v>21.475894331822239</v>
      </c>
      <c r="DZ12" s="280">
        <f t="shared" si="120"/>
        <v>28.280642157017144</v>
      </c>
      <c r="EA12" s="280">
        <f t="shared" si="120"/>
        <v>19.021876718528873</v>
      </c>
      <c r="EB12" s="280">
        <f t="shared" si="120"/>
        <v>9.4507516163020338</v>
      </c>
      <c r="EC12" s="280">
        <f t="shared" si="120"/>
        <v>16.716022154212151</v>
      </c>
      <c r="ED12" s="280">
        <f t="shared" si="120"/>
        <v>12.689081409539824</v>
      </c>
      <c r="EE12" s="280">
        <f t="shared" si="120"/>
        <v>25.34005653760147</v>
      </c>
      <c r="EF12" s="279"/>
      <c r="EG12" s="280"/>
      <c r="EH12" s="280"/>
      <c r="EI12" s="280"/>
      <c r="EJ12" s="280"/>
      <c r="EK12" s="280"/>
      <c r="EL12" s="283"/>
      <c r="EM12" s="381">
        <f t="shared" ref="EM12:ET12" si="121">(EM11/EM6)*100</f>
        <v>21.351849025928427</v>
      </c>
      <c r="EN12" s="280">
        <f t="shared" si="121"/>
        <v>28.259803167908508</v>
      </c>
      <c r="EO12" s="280">
        <f t="shared" si="121"/>
        <v>18.950002472059928</v>
      </c>
      <c r="EP12" s="280">
        <f t="shared" si="121"/>
        <v>9.597583421333681</v>
      </c>
      <c r="EQ12" s="280">
        <f t="shared" si="121"/>
        <v>13.364051049790895</v>
      </c>
      <c r="ER12" s="280">
        <f t="shared" si="121"/>
        <v>5.0071405871244199</v>
      </c>
      <c r="ES12" s="280">
        <f t="shared" si="121"/>
        <v>16.492812218535214</v>
      </c>
      <c r="ET12" s="381">
        <f t="shared" si="121"/>
        <v>24.428817122034111</v>
      </c>
      <c r="FB12" s="191"/>
      <c r="FC12" s="381">
        <f t="shared" ref="FC12:FJ12" si="122">(FC11/FC6)*100</f>
        <v>21.215577275157855</v>
      </c>
      <c r="FD12" s="381">
        <f t="shared" si="122"/>
        <v>28.286204317704787</v>
      </c>
      <c r="FE12" s="381">
        <f t="shared" si="122"/>
        <v>18.775145667918181</v>
      </c>
      <c r="FF12" s="381">
        <f t="shared" si="122"/>
        <v>9.6770888679087328</v>
      </c>
      <c r="FG12" s="381">
        <f t="shared" si="122"/>
        <v>13.528164353979125</v>
      </c>
      <c r="FH12" s="381">
        <f t="shared" si="122"/>
        <v>5.7915358323839161</v>
      </c>
      <c r="FI12" s="381">
        <f t="shared" si="122"/>
        <v>16.61176744238395</v>
      </c>
      <c r="FJ12" s="381">
        <f t="shared" si="122"/>
        <v>23.986094350722105</v>
      </c>
      <c r="FK12" s="189"/>
      <c r="FL12" s="190"/>
      <c r="FM12" s="190"/>
      <c r="FN12" s="190"/>
      <c r="FO12" s="190"/>
      <c r="FP12" s="190"/>
      <c r="FQ12" s="190"/>
      <c r="FR12" s="199"/>
      <c r="FS12" s="282">
        <f t="shared" ref="FS12:FZ12" si="123">(FS11/FS6)*100</f>
        <v>21.172265952025359</v>
      </c>
      <c r="FT12" s="282">
        <f t="shared" si="123"/>
        <v>28.303246916351043</v>
      </c>
      <c r="FU12" s="282">
        <f t="shared" si="123"/>
        <v>18.78226763484918</v>
      </c>
      <c r="FV12" s="282">
        <f t="shared" si="123"/>
        <v>9.7719807224285695</v>
      </c>
      <c r="FW12" s="282">
        <f t="shared" si="123"/>
        <v>13.699878468083126</v>
      </c>
      <c r="FX12" s="282">
        <f t="shared" si="123"/>
        <v>6.1760003641308368</v>
      </c>
      <c r="FY12" s="282">
        <f t="shared" si="123"/>
        <v>16.724073266129341</v>
      </c>
      <c r="FZ12" s="479">
        <f t="shared" si="123"/>
        <v>23.729253352976702</v>
      </c>
      <c r="GA12" s="189"/>
      <c r="GB12" s="190"/>
      <c r="GC12" s="190"/>
      <c r="GD12" s="190"/>
      <c r="GE12" s="190"/>
      <c r="GF12" s="190"/>
      <c r="GG12" s="190"/>
      <c r="GH12" s="199"/>
      <c r="GI12" s="282">
        <f t="shared" ref="GI12:GP12" si="124">(GI11/GI6)*100</f>
        <v>20.989857387757546</v>
      </c>
      <c r="GJ12" s="282">
        <f t="shared" si="124"/>
        <v>31.154521492800569</v>
      </c>
      <c r="GK12" s="282">
        <f t="shared" si="124"/>
        <v>20.766161680987292</v>
      </c>
      <c r="GL12" s="282">
        <f t="shared" si="124"/>
        <v>13.60438686102921</v>
      </c>
      <c r="GM12" s="282">
        <f t="shared" si="124"/>
        <v>19.709256207898271</v>
      </c>
      <c r="GN12" s="282">
        <f t="shared" si="124"/>
        <v>7.527483821580204</v>
      </c>
      <c r="GO12" s="282">
        <f t="shared" si="124"/>
        <v>18.681089986776215</v>
      </c>
      <c r="GP12" s="479">
        <f t="shared" si="124"/>
        <v>28.360898235741704</v>
      </c>
      <c r="GQ12" s="189"/>
      <c r="GR12" s="190"/>
      <c r="GS12" s="190"/>
      <c r="GT12" s="190"/>
      <c r="GU12" s="190"/>
      <c r="GV12" s="190"/>
      <c r="GW12" s="190"/>
      <c r="GX12" s="199"/>
    </row>
    <row r="13" spans="1:206" s="11" customFormat="1">
      <c r="A13" s="111" t="s">
        <v>247</v>
      </c>
      <c r="B13" s="195"/>
      <c r="C13" s="195"/>
      <c r="D13" s="195"/>
      <c r="E13" s="195"/>
      <c r="F13" s="195"/>
      <c r="G13" s="195"/>
      <c r="H13" s="195">
        <f t="shared" ref="H13:L13" si="125">MEDIAN(H60:H69)</f>
        <v>84.036525756493461</v>
      </c>
      <c r="I13" s="195">
        <f t="shared" si="125"/>
        <v>9.7372084831684393</v>
      </c>
      <c r="J13" s="195">
        <f t="shared" si="125"/>
        <v>3.7971137946009952</v>
      </c>
      <c r="K13" s="195">
        <f t="shared" si="125"/>
        <v>1.3523127314916934</v>
      </c>
      <c r="L13" s="195">
        <f t="shared" si="125"/>
        <v>0.15966634988983533</v>
      </c>
      <c r="M13" s="264">
        <f t="shared" si="64"/>
        <v>15.046301359150963</v>
      </c>
      <c r="N13" s="66"/>
      <c r="R13" s="134">
        <f t="shared" ref="R13" si="126">MEDIAN(R60:R69)</f>
        <v>19.245377126799617</v>
      </c>
      <c r="S13" s="195">
        <f t="shared" ref="S13:W13" si="127">MEDIAN(S60:S69)</f>
        <v>80.173475856331848</v>
      </c>
      <c r="T13" s="195">
        <f t="shared" si="127"/>
        <v>10.551560194592469</v>
      </c>
      <c r="U13" s="195">
        <f t="shared" si="127"/>
        <v>7.3630129807627682</v>
      </c>
      <c r="V13" s="195">
        <f t="shared" si="127"/>
        <v>2.0671775819517224</v>
      </c>
      <c r="W13" s="195">
        <f t="shared" si="127"/>
        <v>0.24256608097318974</v>
      </c>
      <c r="X13" s="264">
        <f t="shared" si="67"/>
        <v>20.224316838280149</v>
      </c>
      <c r="Y13" s="195">
        <f t="shared" ref="Y13:AC13" si="128">MEDIAN(Y60:Y69)</f>
        <v>79.5</v>
      </c>
      <c r="Z13" s="195">
        <f t="shared" si="128"/>
        <v>10.65</v>
      </c>
      <c r="AA13" s="195">
        <f t="shared" si="128"/>
        <v>7.8</v>
      </c>
      <c r="AB13" s="195">
        <f t="shared" si="128"/>
        <v>2.0499999999999998</v>
      </c>
      <c r="AC13" s="195">
        <f t="shared" si="128"/>
        <v>0.2</v>
      </c>
      <c r="AD13" s="264">
        <f t="shared" si="69"/>
        <v>20.7</v>
      </c>
      <c r="AE13" s="195">
        <f t="shared" ref="AE13:AI13" si="129">MEDIAN(AE60:AE69)</f>
        <v>78.7</v>
      </c>
      <c r="AF13" s="195">
        <f t="shared" si="129"/>
        <v>10.85</v>
      </c>
      <c r="AG13" s="195">
        <f t="shared" si="129"/>
        <v>8.15</v>
      </c>
      <c r="AH13" s="195">
        <f t="shared" si="129"/>
        <v>2.1</v>
      </c>
      <c r="AI13" s="195">
        <f t="shared" si="129"/>
        <v>0.3</v>
      </c>
      <c r="AJ13" s="264">
        <f t="shared" si="71"/>
        <v>21.400000000000002</v>
      </c>
      <c r="AK13" s="258">
        <f>MEDIAN(AK60:AK69)</f>
        <v>21.700000000000003</v>
      </c>
      <c r="AL13" s="258">
        <f t="shared" ref="AL13:AN13" si="130">MEDIAN(AL60:AL69)</f>
        <v>22.65</v>
      </c>
      <c r="AM13" s="258">
        <f t="shared" si="130"/>
        <v>23.25</v>
      </c>
      <c r="AN13" s="258">
        <f t="shared" si="130"/>
        <v>23.950000000000003</v>
      </c>
      <c r="AO13" s="195">
        <f>MEDIAN(AO60:AO69)</f>
        <v>75.20819654931951</v>
      </c>
      <c r="AP13" s="195">
        <f>MEDIAN(AP60:AP69)</f>
        <v>11.129673189351294</v>
      </c>
      <c r="AQ13" s="195">
        <f>MEDIAN(AQ60:AQ69)</f>
        <v>9.9423287296499741</v>
      </c>
      <c r="AR13" s="195">
        <f>MEDIAN(AR60:AR69)</f>
        <v>2.3881714096389768</v>
      </c>
      <c r="AS13" s="195">
        <f>MEDIAN(AS60:AS69)</f>
        <v>0.27766116040689026</v>
      </c>
      <c r="AT13" s="264">
        <f t="shared" si="73"/>
        <v>23.737834489047135</v>
      </c>
      <c r="AU13" s="195">
        <f>MEDIAN(AU60:AU69)</f>
        <v>74.550872879232713</v>
      </c>
      <c r="AV13" s="195">
        <f>MEDIAN(AV60:AV69)</f>
        <v>11.209328386337191</v>
      </c>
      <c r="AW13" s="195">
        <f>MEDIAN(AW60:AW69)</f>
        <v>10.092366578206054</v>
      </c>
      <c r="AX13" s="195">
        <f>MEDIAN(AX60:AX69)</f>
        <v>2.5214483292739667</v>
      </c>
      <c r="AY13" s="195">
        <f>MEDIAN(AY60:AY69)</f>
        <v>0.32523583451507493</v>
      </c>
      <c r="AZ13" s="264">
        <f t="shared" si="74"/>
        <v>24.148379128332284</v>
      </c>
      <c r="BA13" s="195">
        <f>MEDIAN(BA60:BA69)</f>
        <v>73.634223641050667</v>
      </c>
      <c r="BB13" s="195">
        <f>MEDIAN(BB60:BB69)</f>
        <v>11.153321609109277</v>
      </c>
      <c r="BC13" s="195">
        <f>MEDIAN(BC60:BC69)</f>
        <v>10.787307096147934</v>
      </c>
      <c r="BD13" s="195">
        <f>MEDIAN(BD60:BD69)</f>
        <v>2.5809937358343067</v>
      </c>
      <c r="BE13" s="195">
        <f>MEDIAN(BE60:BE69)</f>
        <v>0.31958072897382384</v>
      </c>
      <c r="BF13" s="264">
        <f t="shared" si="75"/>
        <v>24.841203170065342</v>
      </c>
      <c r="BG13" s="195">
        <f>MEDIAN(BG60:BG69)</f>
        <v>72.91650831656888</v>
      </c>
      <c r="BH13" s="195">
        <f>MEDIAN(BH60:BH69)</f>
        <v>11.235912766129315</v>
      </c>
      <c r="BI13" s="195">
        <f>MEDIAN(BI60:BI69)</f>
        <v>10.94706168976778</v>
      </c>
      <c r="BJ13" s="195">
        <f>MEDIAN(BJ60:BJ69)</f>
        <v>2.7177144251871281</v>
      </c>
      <c r="BK13" s="195">
        <f>MEDIAN(BK60:BK69)</f>
        <v>0.32782938260737526</v>
      </c>
      <c r="BL13" s="191">
        <f>MEDIAN(BL60:BL68)</f>
        <v>25.411363453239755</v>
      </c>
      <c r="BM13" s="148">
        <f t="shared" ref="BM13:CV13" si="131">MEDIAN(BM60:BM69)</f>
        <v>72.523986036018755</v>
      </c>
      <c r="BN13" s="148">
        <f t="shared" si="131"/>
        <v>11.319693282721161</v>
      </c>
      <c r="BO13" s="148">
        <f t="shared" si="131"/>
        <v>10.644770128381062</v>
      </c>
      <c r="BP13" s="148">
        <f t="shared" si="131"/>
        <v>2.7690623392412617</v>
      </c>
      <c r="BQ13" s="148">
        <f t="shared" si="131"/>
        <v>0.34260176130701037</v>
      </c>
      <c r="BR13" s="191">
        <f t="shared" si="131"/>
        <v>27.476013963981252</v>
      </c>
      <c r="BS13" s="77">
        <f t="shared" si="131"/>
        <v>71.943581095524905</v>
      </c>
      <c r="BT13" s="148">
        <f t="shared" si="131"/>
        <v>11.146163834129363</v>
      </c>
      <c r="BU13" s="148">
        <f t="shared" si="131"/>
        <v>11.82698211767878</v>
      </c>
      <c r="BV13" s="148">
        <f t="shared" si="131"/>
        <v>2.783489167109221</v>
      </c>
      <c r="BW13" s="148">
        <f t="shared" si="131"/>
        <v>0.33601662262731613</v>
      </c>
      <c r="BX13" s="191">
        <f t="shared" si="131"/>
        <v>28.056418904475088</v>
      </c>
      <c r="BY13" s="267">
        <f t="shared" si="131"/>
        <v>389129</v>
      </c>
      <c r="BZ13" s="266">
        <f t="shared" si="131"/>
        <v>284235.5</v>
      </c>
      <c r="CA13" s="266">
        <f t="shared" si="131"/>
        <v>70059.5</v>
      </c>
      <c r="CB13" s="266">
        <f t="shared" si="131"/>
        <v>59745</v>
      </c>
      <c r="CC13" s="266">
        <f t="shared" si="131"/>
        <v>12981.5</v>
      </c>
      <c r="CD13" s="266">
        <f t="shared" si="131"/>
        <v>1760.5</v>
      </c>
      <c r="CE13" s="189">
        <f t="shared" si="131"/>
        <v>71.207744399383742</v>
      </c>
      <c r="CF13" s="195">
        <f t="shared" si="131"/>
        <v>11.321829967244771</v>
      </c>
      <c r="CG13" s="195">
        <f t="shared" si="131"/>
        <v>11.746524344579612</v>
      </c>
      <c r="CH13" s="195">
        <f t="shared" si="131"/>
        <v>2.826141542597091</v>
      </c>
      <c r="CI13" s="195">
        <f t="shared" si="131"/>
        <v>0.34514448521897656</v>
      </c>
      <c r="CJ13" s="191">
        <f t="shared" si="131"/>
        <v>28.792255600616258</v>
      </c>
      <c r="CK13" s="267">
        <f t="shared" si="131"/>
        <v>385699</v>
      </c>
      <c r="CL13" s="266">
        <f t="shared" si="131"/>
        <v>278787.5</v>
      </c>
      <c r="CM13" s="266">
        <f t="shared" si="131"/>
        <v>71844</v>
      </c>
      <c r="CN13" s="266">
        <f t="shared" si="131"/>
        <v>61002.5</v>
      </c>
      <c r="CO13" s="266">
        <f t="shared" si="131"/>
        <v>13445.5</v>
      </c>
      <c r="CP13" s="266">
        <f t="shared" si="131"/>
        <v>1800</v>
      </c>
      <c r="CQ13" s="189">
        <f t="shared" si="131"/>
        <v>70.607060796470009</v>
      </c>
      <c r="CR13" s="195">
        <f t="shared" si="131"/>
        <v>11.41552079090159</v>
      </c>
      <c r="CS13" s="195">
        <f t="shared" si="131"/>
        <v>12.024197143394829</v>
      </c>
      <c r="CT13" s="195">
        <f t="shared" si="131"/>
        <v>2.9231038565135825</v>
      </c>
      <c r="CU13" s="195">
        <f t="shared" si="131"/>
        <v>0.30463137220025022</v>
      </c>
      <c r="CV13" s="191">
        <f t="shared" si="131"/>
        <v>29.392939203529998</v>
      </c>
      <c r="CW13" s="267">
        <f t="shared" ref="CW13:DC13" si="132">SUM(CW60:CW68)</f>
        <v>8027265</v>
      </c>
      <c r="CX13" s="266">
        <f t="shared" si="132"/>
        <v>5023303</v>
      </c>
      <c r="CY13" s="266">
        <f t="shared" si="132"/>
        <v>1221869</v>
      </c>
      <c r="CZ13" s="266">
        <f t="shared" si="132"/>
        <v>1263926</v>
      </c>
      <c r="DA13" s="266">
        <f t="shared" si="132"/>
        <v>26827</v>
      </c>
      <c r="DB13" s="266">
        <f t="shared" si="132"/>
        <v>466636</v>
      </c>
      <c r="DC13" s="266">
        <f t="shared" si="132"/>
        <v>24704</v>
      </c>
      <c r="DD13" s="189">
        <f>(CX13/CW13)*100</f>
        <v>62.578013806695054</v>
      </c>
      <c r="DE13" s="195">
        <f>(CY13/CW13)*100</f>
        <v>15.221485773797177</v>
      </c>
      <c r="DF13" s="195">
        <f>(CZ13/CW13)*100</f>
        <v>15.745412665459529</v>
      </c>
      <c r="DG13" s="195">
        <f>(DB13/CW13)*100</f>
        <v>5.8131380987173094</v>
      </c>
      <c r="DH13" s="195">
        <f>(DA13/CW13)*100</f>
        <v>0.33419850970411469</v>
      </c>
      <c r="DI13" s="195">
        <f>(DC13/CW13)*100</f>
        <v>0.30775114562681066</v>
      </c>
      <c r="DJ13" s="191">
        <f>SUM(DE13:DI13)</f>
        <v>37.421986193304939</v>
      </c>
      <c r="DK13" s="380">
        <f t="shared" ref="DK13:DQ13" si="133">SUM(DK60:DK68)</f>
        <v>8058727</v>
      </c>
      <c r="DL13" s="266">
        <f t="shared" si="133"/>
        <v>4988601</v>
      </c>
      <c r="DM13" s="266">
        <f t="shared" si="133"/>
        <v>1224110</v>
      </c>
      <c r="DN13" s="266">
        <f t="shared" si="133"/>
        <v>1303034</v>
      </c>
      <c r="DO13" s="266">
        <f t="shared" si="133"/>
        <v>27038</v>
      </c>
      <c r="DP13" s="266">
        <f t="shared" si="133"/>
        <v>485633</v>
      </c>
      <c r="DQ13" s="266">
        <f t="shared" si="133"/>
        <v>30311</v>
      </c>
      <c r="DR13" s="189">
        <f>(DL13/DK13)*100</f>
        <v>61.903089656716247</v>
      </c>
      <c r="DS13" s="195">
        <f>(DM13/DK13)*100</f>
        <v>15.189868077178939</v>
      </c>
      <c r="DT13" s="195">
        <f>(DN13/DK13)*100</f>
        <v>16.169228713170206</v>
      </c>
      <c r="DU13" s="195">
        <f>(DP13/DK13)*100</f>
        <v>6.0261751018492129</v>
      </c>
      <c r="DV13" s="195">
        <f>(DO13/DK13)*100</f>
        <v>0.3355120479946771</v>
      </c>
      <c r="DW13" s="195">
        <f>(DQ13/DK13)*100</f>
        <v>0.37612640309071149</v>
      </c>
      <c r="DX13" s="191">
        <f>SUM(DS13:DW13)</f>
        <v>38.096910343283746</v>
      </c>
      <c r="DY13" s="380">
        <f t="shared" ref="DY13:EE13" si="134">SUM(DY60:DY68)</f>
        <v>8071335</v>
      </c>
      <c r="DZ13" s="266">
        <f t="shared" si="134"/>
        <v>4876285</v>
      </c>
      <c r="EA13" s="266">
        <f t="shared" si="134"/>
        <v>1207856</v>
      </c>
      <c r="EB13" s="266">
        <f t="shared" si="134"/>
        <v>1363850</v>
      </c>
      <c r="EC13" s="266">
        <f t="shared" si="134"/>
        <v>27036</v>
      </c>
      <c r="ED13" s="266">
        <f t="shared" si="134"/>
        <v>499909</v>
      </c>
      <c r="EE13" s="266">
        <f t="shared" si="134"/>
        <v>96399</v>
      </c>
      <c r="EF13" s="189">
        <f>(DZ13/DY13)*100</f>
        <v>60.414850827031707</v>
      </c>
      <c r="EG13" s="195">
        <f>(EA13/DY13)*100</f>
        <v>14.96476109590297</v>
      </c>
      <c r="EH13" s="195">
        <f>(EB13/DY13)*100</f>
        <v>16.897452527989483</v>
      </c>
      <c r="EI13" s="195">
        <f>(ED13/DY13)*100</f>
        <v>6.1936346341714232</v>
      </c>
      <c r="EJ13" s="195">
        <f>(EC13/DY13)*100</f>
        <v>0.3349631752368103</v>
      </c>
      <c r="EK13" s="195">
        <f>(EE13/DY13)*100</f>
        <v>1.1943377396676014</v>
      </c>
      <c r="EL13" s="191">
        <f>SUM(EG13:EK13)</f>
        <v>39.585149172968286</v>
      </c>
      <c r="EM13" s="380">
        <f t="shared" ref="EM13:ET13" si="135">SUM(EM60:EM68)</f>
        <v>7953981</v>
      </c>
      <c r="EN13" s="266">
        <f t="shared" si="135"/>
        <v>4744587.8938263878</v>
      </c>
      <c r="EO13" s="266">
        <f t="shared" si="135"/>
        <v>1165757.2233839135</v>
      </c>
      <c r="EP13" s="266">
        <f t="shared" si="135"/>
        <v>1393536.7006116584</v>
      </c>
      <c r="EQ13" s="266">
        <f t="shared" si="135"/>
        <v>498696.1146496103</v>
      </c>
      <c r="ER13" s="266">
        <f t="shared" si="135"/>
        <v>11366.337440874884</v>
      </c>
      <c r="ES13" s="266">
        <f t="shared" si="135"/>
        <v>26895.687204374419</v>
      </c>
      <c r="ET13" s="449">
        <f t="shared" si="135"/>
        <v>113141.04288318107</v>
      </c>
      <c r="EU13" s="195">
        <f>(EN13/EM13)*100</f>
        <v>59.650480606206976</v>
      </c>
      <c r="EV13" s="195">
        <f>(EO13/EM13)*100</f>
        <v>14.656273674577719</v>
      </c>
      <c r="EW13" s="195">
        <f>(EP13/EM13)*100</f>
        <v>17.519990311916239</v>
      </c>
      <c r="EX13" s="195">
        <f>(EQ13/EM13)*100</f>
        <v>6.2697674868673978</v>
      </c>
      <c r="EY13" s="195">
        <f>(ER13/EM13)*100</f>
        <v>0.14290123952866979</v>
      </c>
      <c r="EZ13" s="195">
        <f>(ES13/EM13)*100</f>
        <v>0.3381412050691901</v>
      </c>
      <c r="FA13" s="195">
        <f>(ET13/EM13)*100</f>
        <v>1.422445475833813</v>
      </c>
      <c r="FB13" s="191">
        <f>SUM(EV13:FA13)</f>
        <v>40.349519393793031</v>
      </c>
      <c r="FC13" s="380">
        <f t="shared" ref="FC13:FJ13" si="136">SUM(FC60:FC68)</f>
        <v>7959128</v>
      </c>
      <c r="FD13" s="380">
        <f t="shared" si="136"/>
        <v>4664721</v>
      </c>
      <c r="FE13" s="380">
        <f t="shared" si="136"/>
        <v>1161444</v>
      </c>
      <c r="FF13" s="380">
        <f t="shared" si="136"/>
        <v>1444440</v>
      </c>
      <c r="FG13" s="380">
        <f t="shared" si="136"/>
        <v>511114</v>
      </c>
      <c r="FH13" s="380">
        <f t="shared" si="136"/>
        <v>12161</v>
      </c>
      <c r="FI13" s="380">
        <f t="shared" si="136"/>
        <v>27024</v>
      </c>
      <c r="FJ13" s="380">
        <f t="shared" si="136"/>
        <v>138224</v>
      </c>
      <c r="FK13" s="189">
        <f t="shared" si="30"/>
        <v>58.608443035468206</v>
      </c>
      <c r="FL13" s="190">
        <f t="shared" si="31"/>
        <v>14.592603611852956</v>
      </c>
      <c r="FM13" s="190">
        <f t="shared" si="32"/>
        <v>18.148219252159279</v>
      </c>
      <c r="FN13" s="190">
        <f t="shared" si="33"/>
        <v>6.4217336371522107</v>
      </c>
      <c r="FO13" s="190">
        <f t="shared" si="34"/>
        <v>0.15279312005033716</v>
      </c>
      <c r="FP13" s="190">
        <f t="shared" si="35"/>
        <v>0.33953468269388304</v>
      </c>
      <c r="FQ13" s="190">
        <f t="shared" si="36"/>
        <v>1.7366726606231235</v>
      </c>
      <c r="FR13" s="199">
        <f t="shared" si="37"/>
        <v>41.391556964531787</v>
      </c>
      <c r="FS13" s="449">
        <f t="shared" ref="FS13:FZ13" si="137">SUM(FS60:FS68)</f>
        <v>7961243</v>
      </c>
      <c r="FT13" s="449">
        <f t="shared" si="137"/>
        <v>4593328</v>
      </c>
      <c r="FU13" s="449">
        <f t="shared" si="137"/>
        <v>1157642</v>
      </c>
      <c r="FV13" s="449">
        <f t="shared" si="137"/>
        <v>1492087</v>
      </c>
      <c r="FW13" s="449">
        <f t="shared" si="137"/>
        <v>526098</v>
      </c>
      <c r="FX13" s="449">
        <f t="shared" si="137"/>
        <v>6491</v>
      </c>
      <c r="FY13" s="449">
        <f t="shared" si="137"/>
        <v>27519</v>
      </c>
      <c r="FZ13" s="482">
        <f t="shared" si="137"/>
        <v>158078</v>
      </c>
      <c r="GA13" s="189">
        <f t="shared" si="39"/>
        <v>57.696116046200316</v>
      </c>
      <c r="GB13" s="190">
        <f t="shared" si="40"/>
        <v>14.540970549448121</v>
      </c>
      <c r="GC13" s="190">
        <f t="shared" si="41"/>
        <v>18.741884904153785</v>
      </c>
      <c r="GD13" s="190">
        <f t="shared" si="42"/>
        <v>6.6082394420067319</v>
      </c>
      <c r="GE13" s="190">
        <f t="shared" si="43"/>
        <v>8.1532494360491189E-2</v>
      </c>
      <c r="GF13" s="190">
        <f t="shared" si="44"/>
        <v>0.34566210326704006</v>
      </c>
      <c r="GG13" s="190">
        <f t="shared" si="45"/>
        <v>1.9855944605635074</v>
      </c>
      <c r="GH13" s="199">
        <f t="shared" si="46"/>
        <v>42.303883953799669</v>
      </c>
      <c r="GI13" s="449">
        <f>SUM(GI60:GI68)</f>
        <v>7979856</v>
      </c>
      <c r="GJ13" s="449">
        <f t="shared" ref="GI13:GP13" si="138">SUM(GJ60:GJ68)</f>
        <v>4506937</v>
      </c>
      <c r="GK13" s="449">
        <f t="shared" si="138"/>
        <v>1155442</v>
      </c>
      <c r="GL13" s="449">
        <f t="shared" si="138"/>
        <v>1565980</v>
      </c>
      <c r="GM13" s="449">
        <f t="shared" si="138"/>
        <v>538135</v>
      </c>
      <c r="GN13" s="449">
        <f t="shared" si="138"/>
        <v>6510</v>
      </c>
      <c r="GO13" s="449">
        <f t="shared" si="138"/>
        <v>28268</v>
      </c>
      <c r="GP13" s="482">
        <f t="shared" si="138"/>
        <v>178584</v>
      </c>
      <c r="GQ13" s="189">
        <f t="shared" ref="GQ13" si="139">(GJ13/GI13)*100</f>
        <v>56.478926436767786</v>
      </c>
      <c r="GR13" s="190">
        <f t="shared" ref="GR13" si="140">(GK13/GI13)*100</f>
        <v>14.47948434157208</v>
      </c>
      <c r="GS13" s="190">
        <f t="shared" ref="GS13" si="141">(GL13/GI13)*100</f>
        <v>19.624163644055731</v>
      </c>
      <c r="GT13" s="190">
        <f t="shared" ref="GT13" si="142">(GM13/GI13)*100</f>
        <v>6.7436680561654248</v>
      </c>
      <c r="GU13" s="190">
        <f t="shared" ref="GU13" si="143">(GN13/GI13)*100</f>
        <v>8.1580419496291662E-2</v>
      </c>
      <c r="GV13" s="190">
        <f t="shared" ref="GV13" si="144">(GO13/GI13)*100</f>
        <v>0.35424198130893592</v>
      </c>
      <c r="GW13" s="190">
        <f t="shared" ref="GW13" si="145">(GP13/GI13)*100</f>
        <v>2.2379351206337557</v>
      </c>
      <c r="GX13" s="199">
        <f t="shared" si="55"/>
        <v>43.521073563232221</v>
      </c>
    </row>
    <row r="14" spans="1:206" s="282" customFormat="1">
      <c r="A14" s="270" t="s">
        <v>244</v>
      </c>
      <c r="B14" s="11"/>
      <c r="C14" s="1"/>
      <c r="D14" s="1"/>
      <c r="E14" s="1"/>
      <c r="F14" s="1"/>
      <c r="G14" s="1"/>
      <c r="H14" s="273"/>
      <c r="I14" s="274"/>
      <c r="J14" s="275"/>
      <c r="K14" s="275"/>
      <c r="L14" s="276"/>
      <c r="M14" s="277"/>
      <c r="N14" s="66"/>
      <c r="O14" s="1"/>
      <c r="P14" s="1"/>
      <c r="Q14" s="1"/>
      <c r="R14" s="278"/>
      <c r="S14" s="273"/>
      <c r="T14" s="274"/>
      <c r="U14" s="274"/>
      <c r="V14" s="274"/>
      <c r="W14" s="274"/>
      <c r="X14" s="278"/>
      <c r="Y14" s="273"/>
      <c r="Z14" s="274"/>
      <c r="AA14" s="274"/>
      <c r="AB14" s="274"/>
      <c r="AC14" s="274"/>
      <c r="AD14" s="278"/>
      <c r="AE14" s="273"/>
      <c r="AF14" s="274"/>
      <c r="AG14" s="274"/>
      <c r="AH14" s="274"/>
      <c r="AI14" s="274"/>
      <c r="AJ14" s="278"/>
      <c r="AK14" s="272"/>
      <c r="AL14" s="272"/>
      <c r="AM14" s="272"/>
      <c r="AN14" s="272"/>
      <c r="AO14" s="279"/>
      <c r="AP14" s="280"/>
      <c r="AQ14" s="280"/>
      <c r="AR14" s="280"/>
      <c r="AS14" s="280"/>
      <c r="AT14" s="278"/>
      <c r="AU14" s="280"/>
      <c r="AV14" s="280"/>
      <c r="AW14" s="280"/>
      <c r="AX14" s="280"/>
      <c r="AY14" s="280"/>
      <c r="AZ14" s="278"/>
      <c r="BA14" s="280"/>
      <c r="BB14" s="280"/>
      <c r="BC14" s="280"/>
      <c r="BD14" s="280"/>
      <c r="BE14" s="280"/>
      <c r="BF14" s="278"/>
      <c r="BG14" s="280"/>
      <c r="BH14" s="280"/>
      <c r="BI14" s="280"/>
      <c r="BJ14" s="280"/>
      <c r="BK14" s="280"/>
      <c r="BL14" s="281"/>
      <c r="BM14" s="280"/>
      <c r="BN14" s="280"/>
      <c r="BO14" s="280"/>
      <c r="BP14" s="280"/>
      <c r="BQ14" s="280"/>
      <c r="BR14" s="281"/>
      <c r="BS14" s="280"/>
      <c r="BT14" s="280"/>
      <c r="BU14" s="280"/>
      <c r="BV14" s="280"/>
      <c r="BW14" s="280"/>
      <c r="BX14" s="281"/>
      <c r="BY14" s="280"/>
      <c r="BZ14" s="280"/>
      <c r="CA14" s="280"/>
      <c r="CB14" s="280"/>
      <c r="CC14" s="280"/>
      <c r="CD14" s="280"/>
      <c r="CE14" s="279"/>
      <c r="CF14" s="280"/>
      <c r="CG14" s="280"/>
      <c r="CH14" s="280"/>
      <c r="CI14" s="280"/>
      <c r="CJ14" s="281"/>
      <c r="CK14" s="280"/>
      <c r="CL14" s="280"/>
      <c r="CM14" s="280"/>
      <c r="CN14" s="280"/>
      <c r="CO14" s="280"/>
      <c r="CP14" s="280"/>
      <c r="CQ14" s="279"/>
      <c r="CR14" s="280"/>
      <c r="CS14" s="280"/>
      <c r="CT14" s="280"/>
      <c r="CU14" s="280"/>
      <c r="CV14" s="281"/>
      <c r="CW14" s="280">
        <f t="shared" ref="CW14:DC14" si="146">(CW13/CW6)*100</f>
        <v>16.48634733362827</v>
      </c>
      <c r="CX14" s="280">
        <f t="shared" si="146"/>
        <v>18.7960014489597</v>
      </c>
      <c r="CY14" s="280">
        <f t="shared" si="146"/>
        <v>14.80159855020848</v>
      </c>
      <c r="CZ14" s="280">
        <f t="shared" si="146"/>
        <v>12.087419730865111</v>
      </c>
      <c r="DA14" s="280">
        <f t="shared" si="146"/>
        <v>4.5781504115335192</v>
      </c>
      <c r="DB14" s="280">
        <f t="shared" si="146"/>
        <v>19.257238033453671</v>
      </c>
      <c r="DC14" s="280">
        <f t="shared" si="146"/>
        <v>10.1110810965677</v>
      </c>
      <c r="DD14" s="279"/>
      <c r="DE14" s="280"/>
      <c r="DF14" s="280"/>
      <c r="DG14" s="280"/>
      <c r="DH14" s="280"/>
      <c r="DI14" s="280"/>
      <c r="DJ14" s="283"/>
      <c r="DK14" s="381">
        <f t="shared" ref="DK14:DQ14" si="147">(DK13/DK6)*100</f>
        <v>16.521965240248665</v>
      </c>
      <c r="DL14" s="280">
        <f t="shared" si="147"/>
        <v>18.901055724875008</v>
      </c>
      <c r="DM14" s="280">
        <f t="shared" si="147"/>
        <v>14.933056755033386</v>
      </c>
      <c r="DN14" s="280">
        <f t="shared" si="147"/>
        <v>12.069312540448045</v>
      </c>
      <c r="DO14" s="280">
        <f t="shared" si="147"/>
        <v>4.5943378753353823</v>
      </c>
      <c r="DP14" s="280">
        <f t="shared" si="147"/>
        <v>19.699801271070076</v>
      </c>
      <c r="DQ14" s="280">
        <f t="shared" si="147"/>
        <v>9.0386163709557188</v>
      </c>
      <c r="DR14" s="279"/>
      <c r="DS14" s="280"/>
      <c r="DT14" s="280"/>
      <c r="DU14" s="280"/>
      <c r="DV14" s="280"/>
      <c r="DW14" s="280"/>
      <c r="DX14" s="283"/>
      <c r="DY14" s="381">
        <f t="shared" ref="DY14:EE14" si="148">(DY13/DY6)*100</f>
        <v>16.337946032362609</v>
      </c>
      <c r="DZ14" s="280">
        <f t="shared" si="148"/>
        <v>18.822134431901205</v>
      </c>
      <c r="EA14" s="280">
        <f t="shared" si="148"/>
        <v>15.266268255508425</v>
      </c>
      <c r="EB14" s="280">
        <f t="shared" si="148"/>
        <v>11.963981647479354</v>
      </c>
      <c r="EC14" s="280">
        <f t="shared" si="148"/>
        <v>4.78556471469106</v>
      </c>
      <c r="ED14" s="280">
        <f t="shared" si="148"/>
        <v>20.343493231098169</v>
      </c>
      <c r="EE14" s="280">
        <f t="shared" si="148"/>
        <v>8.3005912941048816</v>
      </c>
      <c r="EF14" s="279"/>
      <c r="EG14" s="280"/>
      <c r="EH14" s="280"/>
      <c r="EI14" s="280"/>
      <c r="EJ14" s="280"/>
      <c r="EK14" s="280"/>
      <c r="EL14" s="283"/>
      <c r="EM14" s="381">
        <f t="shared" ref="EM14:ET14" si="149">(EM13/EM6)*100</f>
        <v>16.061617390157025</v>
      </c>
      <c r="EN14" s="280">
        <f t="shared" si="149"/>
        <v>18.518407208248483</v>
      </c>
      <c r="EO14" s="280">
        <f t="shared" si="149"/>
        <v>14.880311591882775</v>
      </c>
      <c r="EP14" s="280">
        <f t="shared" si="149"/>
        <v>11.871351152431542</v>
      </c>
      <c r="EQ14" s="280">
        <f t="shared" si="149"/>
        <v>21.408725050866089</v>
      </c>
      <c r="ER14" s="280">
        <f t="shared" si="149"/>
        <v>6.3682275402435433</v>
      </c>
      <c r="ES14" s="280">
        <f t="shared" si="149"/>
        <v>4.9102327737766371</v>
      </c>
      <c r="ET14" s="381">
        <f t="shared" si="149"/>
        <v>8.8931778331583455</v>
      </c>
      <c r="FB14" s="191"/>
      <c r="FC14" s="381">
        <f t="shared" ref="FC14:FJ14" si="150">(FC13/FC6)*100</f>
        <v>15.991459143031506</v>
      </c>
      <c r="FD14" s="381">
        <f t="shared" si="150"/>
        <v>18.389038105903303</v>
      </c>
      <c r="FE14" s="381">
        <f t="shared" si="150"/>
        <v>14.893057179787036</v>
      </c>
      <c r="FF14" s="381">
        <f t="shared" si="150"/>
        <v>11.972835578661357</v>
      </c>
      <c r="FG14" s="381">
        <f t="shared" si="150"/>
        <v>21.625447855792551</v>
      </c>
      <c r="FH14" s="381">
        <f t="shared" si="150"/>
        <v>6.7585516992247197</v>
      </c>
      <c r="FI14" s="381">
        <f t="shared" si="150"/>
        <v>5.0692368007383255</v>
      </c>
      <c r="FJ14" s="381">
        <f t="shared" si="150"/>
        <v>9.9404968234767868</v>
      </c>
      <c r="FK14" s="189"/>
      <c r="FL14" s="190"/>
      <c r="FM14" s="190"/>
      <c r="FN14" s="190"/>
      <c r="FO14" s="190"/>
      <c r="FP14" s="190"/>
      <c r="FQ14" s="190"/>
      <c r="FR14" s="199"/>
      <c r="FS14" s="282">
        <f t="shared" ref="FS14:FZ14" si="151">(FS13/FS6)*100</f>
        <v>15.942384327574619</v>
      </c>
      <c r="FT14" s="282">
        <f t="shared" si="151"/>
        <v>18.281650000694519</v>
      </c>
      <c r="FU14" s="282">
        <f t="shared" si="151"/>
        <v>14.856693168440632</v>
      </c>
      <c r="FV14" s="282">
        <f t="shared" si="151"/>
        <v>12.025810139326845</v>
      </c>
      <c r="FW14" s="282">
        <f t="shared" si="151"/>
        <v>21.851571566349531</v>
      </c>
      <c r="FX14" s="282">
        <f t="shared" si="151"/>
        <v>3.6930832209648332</v>
      </c>
      <c r="FY14" s="282">
        <f t="shared" si="151"/>
        <v>5.2659073687111073</v>
      </c>
      <c r="FZ14" s="479">
        <f t="shared" si="151"/>
        <v>10.490486903316146</v>
      </c>
      <c r="GA14" s="189"/>
      <c r="GB14" s="190"/>
      <c r="GC14" s="190"/>
      <c r="GD14" s="190"/>
      <c r="GE14" s="190"/>
      <c r="GF14" s="190"/>
      <c r="GG14" s="190"/>
      <c r="GH14" s="199"/>
      <c r="GI14" s="282">
        <f t="shared" ref="GI14:GP14" si="152">(GI13/GI6)*100</f>
        <v>15.860557819524304</v>
      </c>
      <c r="GJ14" s="282">
        <f t="shared" si="152"/>
        <v>19.952213183811679</v>
      </c>
      <c r="GK14" s="282">
        <f t="shared" si="152"/>
        <v>16.441969811284242</v>
      </c>
      <c r="GL14" s="282">
        <f t="shared" si="152"/>
        <v>17.05868371075336</v>
      </c>
      <c r="GM14" s="282">
        <f t="shared" si="152"/>
        <v>31.409983651060752</v>
      </c>
      <c r="GN14" s="282">
        <f t="shared" si="152"/>
        <v>4.6143050544714814</v>
      </c>
      <c r="GO14" s="282">
        <f t="shared" si="152"/>
        <v>6.1280322573652155</v>
      </c>
      <c r="GP14" s="479">
        <f t="shared" si="152"/>
        <v>13.335095575502741</v>
      </c>
      <c r="GQ14" s="189"/>
      <c r="GR14" s="190"/>
      <c r="GS14" s="190"/>
      <c r="GT14" s="190"/>
      <c r="GU14" s="190"/>
      <c r="GV14" s="190"/>
      <c r="GW14" s="190"/>
      <c r="GX14" s="199"/>
    </row>
    <row r="15" spans="1:206" s="282" customFormat="1">
      <c r="A15" s="270"/>
      <c r="B15" s="11"/>
      <c r="C15" s="1"/>
      <c r="D15" s="1"/>
      <c r="E15" s="1"/>
      <c r="F15" s="1"/>
      <c r="G15" s="1"/>
      <c r="H15" s="273"/>
      <c r="I15" s="274"/>
      <c r="J15" s="275"/>
      <c r="K15" s="275"/>
      <c r="L15" s="276"/>
      <c r="M15" s="277"/>
      <c r="N15" s="66"/>
      <c r="O15" s="1"/>
      <c r="P15" s="1"/>
      <c r="Q15" s="1"/>
      <c r="R15" s="278"/>
      <c r="S15" s="273"/>
      <c r="T15" s="274"/>
      <c r="U15" s="274"/>
      <c r="V15" s="274"/>
      <c r="W15" s="274"/>
      <c r="X15" s="278"/>
      <c r="Y15" s="273"/>
      <c r="Z15" s="274"/>
      <c r="AA15" s="274"/>
      <c r="AB15" s="274"/>
      <c r="AC15" s="274"/>
      <c r="AD15" s="278"/>
      <c r="AE15" s="273"/>
      <c r="AF15" s="274"/>
      <c r="AG15" s="274"/>
      <c r="AH15" s="274"/>
      <c r="AI15" s="274"/>
      <c r="AJ15" s="278"/>
      <c r="AK15" s="272"/>
      <c r="AL15" s="272"/>
      <c r="AM15" s="272"/>
      <c r="AN15" s="272"/>
      <c r="AO15" s="279"/>
      <c r="AP15" s="280"/>
      <c r="AQ15" s="280"/>
      <c r="AR15" s="280"/>
      <c r="AS15" s="280"/>
      <c r="AT15" s="278"/>
      <c r="AU15" s="280"/>
      <c r="AV15" s="280"/>
      <c r="AW15" s="280"/>
      <c r="AX15" s="280"/>
      <c r="AY15" s="280"/>
      <c r="AZ15" s="278"/>
      <c r="BA15" s="280"/>
      <c r="BB15" s="280"/>
      <c r="BC15" s="280"/>
      <c r="BD15" s="280"/>
      <c r="BE15" s="280"/>
      <c r="BF15" s="278"/>
      <c r="BG15" s="280"/>
      <c r="BH15" s="280"/>
      <c r="BI15" s="280"/>
      <c r="BJ15" s="280"/>
      <c r="BK15" s="280"/>
      <c r="BL15" s="281"/>
      <c r="BM15" s="280"/>
      <c r="BN15" s="280"/>
      <c r="BO15" s="280"/>
      <c r="BP15" s="280"/>
      <c r="BQ15" s="280"/>
      <c r="BR15" s="281"/>
      <c r="BS15" s="280"/>
      <c r="BT15" s="280"/>
      <c r="BU15" s="280"/>
      <c r="BV15" s="280"/>
      <c r="BW15" s="280"/>
      <c r="BX15" s="281"/>
      <c r="BY15" s="280"/>
      <c r="BZ15" s="280"/>
      <c r="CA15" s="280"/>
      <c r="CB15" s="280"/>
      <c r="CC15" s="280"/>
      <c r="CD15" s="280"/>
      <c r="CE15" s="279"/>
      <c r="CF15" s="280"/>
      <c r="CG15" s="280"/>
      <c r="CH15" s="280"/>
      <c r="CI15" s="280"/>
      <c r="CJ15" s="281"/>
      <c r="CK15" s="280"/>
      <c r="CL15" s="280"/>
      <c r="CM15" s="280"/>
      <c r="CN15" s="280"/>
      <c r="CO15" s="280"/>
      <c r="CP15" s="280"/>
      <c r="CQ15" s="279"/>
      <c r="CR15" s="280"/>
      <c r="CS15" s="280"/>
      <c r="CT15" s="280"/>
      <c r="CU15" s="280"/>
      <c r="CV15" s="281"/>
      <c r="CW15" s="280"/>
      <c r="CX15" s="280"/>
      <c r="CY15" s="280"/>
      <c r="CZ15" s="280"/>
      <c r="DA15" s="280"/>
      <c r="DB15" s="280"/>
      <c r="DC15" s="280"/>
      <c r="DD15" s="279"/>
      <c r="DE15" s="280"/>
      <c r="DF15" s="280"/>
      <c r="DG15" s="280"/>
      <c r="DH15" s="280"/>
      <c r="DI15" s="280"/>
      <c r="DJ15" s="283"/>
      <c r="DK15" s="381"/>
      <c r="DL15" s="280"/>
      <c r="DM15" s="280"/>
      <c r="DN15" s="280"/>
      <c r="DO15" s="280"/>
      <c r="DP15" s="280"/>
      <c r="DQ15" s="280"/>
      <c r="DR15" s="279"/>
      <c r="DS15" s="280"/>
      <c r="DT15" s="280"/>
      <c r="DU15" s="280"/>
      <c r="DV15" s="280"/>
      <c r="DW15" s="280"/>
      <c r="DX15" s="283"/>
      <c r="DY15" s="381"/>
      <c r="DZ15" s="280"/>
      <c r="EA15" s="280"/>
      <c r="EB15" s="280"/>
      <c r="EC15" s="280"/>
      <c r="ED15" s="280"/>
      <c r="EE15" s="280"/>
      <c r="EF15" s="279"/>
      <c r="EG15" s="280"/>
      <c r="EH15" s="280"/>
      <c r="EI15" s="280"/>
      <c r="EJ15" s="280"/>
      <c r="EK15" s="280"/>
      <c r="EL15" s="283"/>
      <c r="FB15" s="191"/>
      <c r="FR15" s="199"/>
      <c r="FS15" s="496"/>
      <c r="FT15" s="496"/>
      <c r="FZ15" s="479"/>
      <c r="GA15" s="189"/>
      <c r="GB15" s="190"/>
      <c r="GC15" s="190"/>
      <c r="GD15" s="190"/>
      <c r="GE15" s="190"/>
      <c r="GF15" s="190"/>
      <c r="GG15" s="190"/>
      <c r="GH15" s="199"/>
      <c r="GI15" s="196"/>
      <c r="GP15" s="479"/>
      <c r="GQ15" s="189"/>
      <c r="GR15" s="190"/>
      <c r="GS15" s="190"/>
      <c r="GT15" s="190"/>
      <c r="GU15" s="190"/>
      <c r="GV15" s="190"/>
      <c r="GW15" s="190"/>
      <c r="GX15" s="199"/>
    </row>
    <row r="16" spans="1:206" s="11" customFormat="1">
      <c r="A16" s="106" t="s">
        <v>85</v>
      </c>
      <c r="B16" s="385">
        <v>34.5</v>
      </c>
      <c r="C16" s="244">
        <v>34.1</v>
      </c>
      <c r="D16" s="244">
        <v>34.200000000000003</v>
      </c>
      <c r="E16" s="244">
        <f>100-66.4</f>
        <v>33.599999999999994</v>
      </c>
      <c r="F16" s="244">
        <v>37</v>
      </c>
      <c r="G16" s="244">
        <v>36</v>
      </c>
      <c r="H16" s="52">
        <v>61.965748639895004</v>
      </c>
      <c r="I16" s="45">
        <v>37.025286310040435</v>
      </c>
      <c r="J16" s="45">
        <v>0.11867842248989183</v>
      </c>
      <c r="K16" s="45">
        <v>0.36714896589682255</v>
      </c>
      <c r="L16" s="43">
        <v>0.52313766167785092</v>
      </c>
      <c r="M16" s="264">
        <f t="shared" ref="M16:M31" si="153">SUM(I16:L16)</f>
        <v>38.034251360105003</v>
      </c>
      <c r="N16" s="251">
        <f>100-62</f>
        <v>38</v>
      </c>
      <c r="O16" s="252">
        <f>100-62.9</f>
        <v>37.1</v>
      </c>
      <c r="P16" s="247">
        <f>100-62.8</f>
        <v>37.200000000000003</v>
      </c>
      <c r="Q16" s="247">
        <f>100-62.8</f>
        <v>37.200000000000003</v>
      </c>
      <c r="R16" s="134">
        <v>37.308213199275663</v>
      </c>
      <c r="S16" s="52">
        <v>62.435758807121452</v>
      </c>
      <c r="T16" s="45">
        <v>35.772581700471775</v>
      </c>
      <c r="U16" s="45">
        <v>0.38307104239126688</v>
      </c>
      <c r="V16" s="45">
        <v>0.5950618134233272</v>
      </c>
      <c r="W16" s="45">
        <v>0.81352663659216906</v>
      </c>
      <c r="X16" s="261">
        <f t="shared" ref="X16:X31" si="154">SUM(T16:W16)</f>
        <v>37.564241192878541</v>
      </c>
      <c r="Y16" s="52">
        <v>62.3</v>
      </c>
      <c r="Z16" s="45">
        <v>35.799999999999997</v>
      </c>
      <c r="AA16" s="45">
        <v>0.4</v>
      </c>
      <c r="AB16" s="45">
        <v>0.6</v>
      </c>
      <c r="AC16" s="45">
        <v>0.8</v>
      </c>
      <c r="AD16" s="261">
        <f t="shared" ref="AD16:AD31" si="155">SUM(Z16:AC16)</f>
        <v>37.599999999999994</v>
      </c>
      <c r="AE16" s="52">
        <v>62.1</v>
      </c>
      <c r="AF16" s="45">
        <v>36</v>
      </c>
      <c r="AG16" s="45">
        <v>0.5</v>
      </c>
      <c r="AH16" s="45">
        <v>0.6</v>
      </c>
      <c r="AI16" s="45">
        <v>0.7</v>
      </c>
      <c r="AJ16" s="261">
        <f t="shared" ref="AJ16:AJ31" si="156">SUM(AF16:AI16)</f>
        <v>37.800000000000004</v>
      </c>
      <c r="AK16" s="257">
        <f>100-61.5</f>
        <v>38.5</v>
      </c>
      <c r="AL16" s="257">
        <f>100-61.7</f>
        <v>38.299999999999997</v>
      </c>
      <c r="AM16" s="257">
        <f>100-61.5</f>
        <v>38.5</v>
      </c>
      <c r="AN16" s="258">
        <f>100-61.1</f>
        <v>38.9</v>
      </c>
      <c r="AO16" s="77">
        <v>60.770917458778818</v>
      </c>
      <c r="AP16" s="68">
        <v>36.467136327501244</v>
      </c>
      <c r="AQ16" s="68">
        <v>1.3102631098393991</v>
      </c>
      <c r="AR16" s="68">
        <v>0.73909109507130721</v>
      </c>
      <c r="AS16" s="68">
        <v>0.7125920088092299</v>
      </c>
      <c r="AT16" s="261">
        <f t="shared" ref="AT16:AT31" si="157">SUM(AP16:AS16)</f>
        <v>39.229082541221182</v>
      </c>
      <c r="AU16" s="68">
        <v>60.454898262767301</v>
      </c>
      <c r="AV16" s="68">
        <v>36.466032213458625</v>
      </c>
      <c r="AW16" s="68">
        <v>1.5314007463993196</v>
      </c>
      <c r="AX16" s="68">
        <v>0.80912774402391119</v>
      </c>
      <c r="AY16" s="68">
        <v>0.7385410333508422</v>
      </c>
      <c r="AZ16" s="261">
        <f t="shared" ref="AZ16:AZ31" si="158">SUM(AV16:AY16)</f>
        <v>39.545101737232699</v>
      </c>
      <c r="BA16" s="68">
        <v>60.21253669230483</v>
      </c>
      <c r="BB16" s="68">
        <v>36.336012748898717</v>
      </c>
      <c r="BC16" s="68">
        <v>1.7921946023606929</v>
      </c>
      <c r="BD16" s="68">
        <v>0.86300025734499775</v>
      </c>
      <c r="BE16" s="68">
        <v>0.79625569909076011</v>
      </c>
      <c r="BF16" s="261">
        <f t="shared" ref="BF16:BF31" si="159">SUM(BB16:BE16)</f>
        <v>39.78746330769517</v>
      </c>
      <c r="BG16" s="68">
        <v>59.851224200936393</v>
      </c>
      <c r="BH16" s="68">
        <v>36.371010505286897</v>
      </c>
      <c r="BI16" s="68">
        <v>2.0755717482184037</v>
      </c>
      <c r="BJ16" s="68">
        <v>0.91063175591890089</v>
      </c>
      <c r="BK16" s="68">
        <v>0.79156178963940582</v>
      </c>
      <c r="BL16" s="199">
        <f t="shared" ref="BL16:BL31" si="160">SUM(BH16:BK16)</f>
        <v>40.1487757990636</v>
      </c>
      <c r="BM16" s="68">
        <v>59.68019831813077</v>
      </c>
      <c r="BN16" s="68">
        <v>36.134850850521815</v>
      </c>
      <c r="BO16" s="68">
        <v>2.40474429561454</v>
      </c>
      <c r="BP16" s="68">
        <v>0.97981209083189513</v>
      </c>
      <c r="BQ16" s="68">
        <v>0.800394444900978</v>
      </c>
      <c r="BR16" s="199">
        <f t="shared" ref="BR16:BR31" si="161">SUM(BN16:BQ16)</f>
        <v>40.31980168186923</v>
      </c>
      <c r="BS16" s="68">
        <v>59.398401704560044</v>
      </c>
      <c r="BT16" s="68">
        <v>36.041683847914527</v>
      </c>
      <c r="BU16" s="68">
        <v>2.7686933103318672</v>
      </c>
      <c r="BV16" s="68">
        <v>1.016679217427396</v>
      </c>
      <c r="BW16" s="68">
        <v>0.77454191976616382</v>
      </c>
      <c r="BX16" s="199">
        <f t="shared" ref="BX16:BX31" si="162">SUM(BT16:BW16)</f>
        <v>40.601598295439956</v>
      </c>
      <c r="BY16" s="6">
        <v>741441</v>
      </c>
      <c r="BZ16" s="6">
        <v>438334</v>
      </c>
      <c r="CA16" s="6">
        <v>265896</v>
      </c>
      <c r="CB16" s="6">
        <v>23363</v>
      </c>
      <c r="CC16" s="6">
        <v>7904</v>
      </c>
      <c r="CD16" s="6">
        <v>5944</v>
      </c>
      <c r="CE16" s="189">
        <f t="shared" ref="CE16:CE31" si="163">(BZ16/$BY16)*100</f>
        <v>59.119201662708157</v>
      </c>
      <c r="CF16" s="190">
        <f t="shared" ref="CF16:CF31" si="164">(CA16/$BY16)*100</f>
        <v>35.862057803655311</v>
      </c>
      <c r="CG16" s="190">
        <f t="shared" ref="CG16:CG31" si="165">(CB16/$BY16)*100</f>
        <v>3.151026177403192</v>
      </c>
      <c r="CH16" s="190">
        <f t="shared" ref="CH16:CH31" si="166">(CC16/$BY16)*100</f>
        <v>1.0660322264347399</v>
      </c>
      <c r="CI16" s="190">
        <f t="shared" ref="CI16:CI31" si="167">(CD16/$BY16)*100</f>
        <v>0.80168212979859488</v>
      </c>
      <c r="CJ16" s="199">
        <f t="shared" ref="CJ16:CJ31" si="168">SUM(CF16:CI16)</f>
        <v>40.880798337291836</v>
      </c>
      <c r="CK16" s="6">
        <v>741115</v>
      </c>
      <c r="CL16" s="6">
        <v>436788</v>
      </c>
      <c r="CM16" s="6">
        <v>263759</v>
      </c>
      <c r="CN16" s="6">
        <v>26112</v>
      </c>
      <c r="CO16" s="6">
        <v>8437</v>
      </c>
      <c r="CP16" s="6">
        <v>6019</v>
      </c>
      <c r="CQ16" s="189">
        <f t="shared" ref="CQ16:CQ31" si="169">(CL16/CK16)*100</f>
        <v>58.936602281697169</v>
      </c>
      <c r="CR16" s="190">
        <f t="shared" ref="CR16:CR31" si="170">(CM16/CK16)*100</f>
        <v>35.589483413505327</v>
      </c>
      <c r="CS16" s="190">
        <f t="shared" ref="CS16:CS31" si="171">(CN16/CK16)*100</f>
        <v>3.5233398325496044</v>
      </c>
      <c r="CT16" s="190">
        <f t="shared" ref="CT16:CT31" si="172">(CO16/CK16)*100</f>
        <v>1.1384198133892849</v>
      </c>
      <c r="CU16" s="190">
        <f t="shared" ref="CU16:CU31" si="173">(CP16/CK16)*100</f>
        <v>0.81215465885861171</v>
      </c>
      <c r="CV16" s="199">
        <f t="shared" ref="CV16:CV31" si="174">SUM(CR16:CU16)</f>
        <v>41.063397718302824</v>
      </c>
      <c r="CW16" s="6">
        <f>SUM(CX16:DC16)</f>
        <v>742999</v>
      </c>
      <c r="CX16" s="6">
        <v>436909</v>
      </c>
      <c r="CY16" s="6">
        <v>261913</v>
      </c>
      <c r="CZ16" s="6">
        <v>29099</v>
      </c>
      <c r="DA16" s="6">
        <v>6175</v>
      </c>
      <c r="DB16" s="6">
        <v>8903</v>
      </c>
      <c r="DC16" s="6"/>
      <c r="DD16" s="189">
        <f t="shared" ref="DD16:DD31" si="175">(CX16/CW16)*100</f>
        <v>58.803443880812758</v>
      </c>
      <c r="DE16" s="190">
        <f t="shared" ref="DE16:DE31" si="176">(CY16/CW16)*100</f>
        <v>35.250787686120709</v>
      </c>
      <c r="DF16" s="190">
        <f t="shared" ref="DF16:DF31" si="177">(CZ16/CW16)*100</f>
        <v>3.9164251903434595</v>
      </c>
      <c r="DG16" s="190">
        <f t="shared" ref="DG16:DG31" si="178">(DB16/CW16)*100</f>
        <v>1.1982519491950865</v>
      </c>
      <c r="DH16" s="190">
        <f t="shared" ref="DH16:DH31" si="179">(DA16/CW16)*100</f>
        <v>0.83109129352798594</v>
      </c>
      <c r="DI16" s="190"/>
      <c r="DJ16" s="191">
        <f t="shared" si="20"/>
        <v>41.196556119187242</v>
      </c>
      <c r="DK16" s="382">
        <v>745773</v>
      </c>
      <c r="DL16" s="6">
        <v>437457</v>
      </c>
      <c r="DM16" s="6">
        <v>261031</v>
      </c>
      <c r="DN16" s="6">
        <v>31795</v>
      </c>
      <c r="DO16" s="6">
        <v>6105</v>
      </c>
      <c r="DP16" s="6">
        <v>9385</v>
      </c>
      <c r="DQ16" s="6"/>
      <c r="DR16" s="189">
        <f t="shared" ref="DR16:DR31" si="180">(DL16/DK16)*100</f>
        <v>58.658197601683085</v>
      </c>
      <c r="DS16" s="190">
        <f t="shared" ref="DS16:DS31" si="181">(DM16/DK16)*100</f>
        <v>35.001401230669387</v>
      </c>
      <c r="DT16" s="190">
        <f t="shared" ref="DT16:DT31" si="182">(DN16/DK16)*100</f>
        <v>4.2633616395337457</v>
      </c>
      <c r="DU16" s="190">
        <f t="shared" ref="DU16:DU31" si="183">(DP16/DK16)*100</f>
        <v>1.2584258212619657</v>
      </c>
      <c r="DV16" s="190">
        <f t="shared" ref="DV16:DV31" si="184">(DO16/DK16)*100</f>
        <v>0.81861370685181678</v>
      </c>
      <c r="DW16" s="190"/>
      <c r="DX16" s="191">
        <f t="shared" ref="DX16:DX31" si="185">SUM(DS16:DW16)</f>
        <v>41.341802398316915</v>
      </c>
      <c r="DY16" s="382">
        <v>755552</v>
      </c>
      <c r="DZ16" s="6">
        <v>440519</v>
      </c>
      <c r="EA16" s="6">
        <v>261255</v>
      </c>
      <c r="EB16" s="6">
        <v>35389</v>
      </c>
      <c r="EC16" s="6">
        <v>6102</v>
      </c>
      <c r="ED16" s="6">
        <v>9753</v>
      </c>
      <c r="EE16" s="6">
        <v>2534</v>
      </c>
      <c r="EF16" s="189">
        <f t="shared" ref="EF16:EF31" si="186">(DZ16/DY16)*100</f>
        <v>58.304259667104319</v>
      </c>
      <c r="EG16" s="190">
        <f t="shared" ref="EG16:EG31" si="187">(EA16/DY16)*100</f>
        <v>34.578030367201727</v>
      </c>
      <c r="EH16" s="190">
        <f t="shared" ref="EH16:EH31" si="188">(EB16/DY16)*100</f>
        <v>4.683860276989539</v>
      </c>
      <c r="EI16" s="190">
        <f t="shared" ref="EI16:EI31" si="189">(ED16/DY16)*100</f>
        <v>1.2908443098555757</v>
      </c>
      <c r="EJ16" s="190">
        <f t="shared" ref="EJ16:EJ31" si="190">(EC16/DY16)*100</f>
        <v>0.80762144763034183</v>
      </c>
      <c r="EK16" s="190"/>
      <c r="EL16" s="191">
        <f t="shared" ref="EL16:EL31" si="191">SUM(EG16:EK16)</f>
        <v>41.36035640167718</v>
      </c>
      <c r="EM16" s="11">
        <v>744621</v>
      </c>
      <c r="EN16" s="444">
        <f>(EM16*EU16)/100</f>
        <v>432707</v>
      </c>
      <c r="EO16" s="444">
        <f>(EM16*EV16)/100</f>
        <v>254503</v>
      </c>
      <c r="EP16" s="444">
        <f>(EM16*EW16)/100</f>
        <v>34721.999999999993</v>
      </c>
      <c r="EQ16" s="444">
        <f>(EM16*EX16)/100</f>
        <v>9943.0000000000018</v>
      </c>
      <c r="ER16" s="444">
        <f>(EM16*EY16)/100</f>
        <v>0</v>
      </c>
      <c r="ES16" s="444">
        <f>(EM16*EZ16)/100</f>
        <v>6179</v>
      </c>
      <c r="ET16" s="444">
        <f>(EM16*FA16)/100</f>
        <v>6238.9999999999991</v>
      </c>
      <c r="EU16" s="148">
        <v>58.111039038651882</v>
      </c>
      <c r="EV16" s="148">
        <v>34.178864146995586</v>
      </c>
      <c r="EW16" s="148">
        <v>4.6630433468838506</v>
      </c>
      <c r="EX16" s="148">
        <v>1.3353101779294434</v>
      </c>
      <c r="EY16" s="443">
        <v>0</v>
      </c>
      <c r="EZ16" s="148">
        <v>0.82981812223936746</v>
      </c>
      <c r="FA16" s="148">
        <v>0.83787591271264161</v>
      </c>
      <c r="FB16" s="191">
        <f>SUM(EV16:FA16)</f>
        <v>41.84491170676089</v>
      </c>
      <c r="FC16">
        <v>744637</v>
      </c>
      <c r="FD16">
        <v>429179</v>
      </c>
      <c r="FE16" s="11">
        <v>252397</v>
      </c>
      <c r="FF16">
        <v>37685</v>
      </c>
      <c r="FG16">
        <v>9920</v>
      </c>
      <c r="FH16">
        <v>471</v>
      </c>
      <c r="FI16" s="11">
        <v>6136</v>
      </c>
      <c r="FJ16">
        <v>8849</v>
      </c>
      <c r="FK16" s="189">
        <f>(FD16/FC16)*100</f>
        <v>57.636002508604868</v>
      </c>
      <c r="FL16" s="190">
        <f>(FE16/FC16)*100</f>
        <v>33.895307377957309</v>
      </c>
      <c r="FM16" s="190">
        <f>(FF16/FC16)*100</f>
        <v>5.0608551549278378</v>
      </c>
      <c r="FN16" s="190">
        <f>(FG16/FC16)*100</f>
        <v>1.332192732834925</v>
      </c>
      <c r="FO16" s="190">
        <f>(FH16/FC16)*100</f>
        <v>6.3252296085206619E-2</v>
      </c>
      <c r="FP16" s="190">
        <f>(FI16/FC16)*100</f>
        <v>0.82402566619708661</v>
      </c>
      <c r="FQ16" s="190">
        <f>(FJ16/FC16)*100</f>
        <v>1.1883642633927671</v>
      </c>
      <c r="FR16" s="199">
        <f t="shared" si="37"/>
        <v>42.363997491395139</v>
      </c>
      <c r="FS16" s="474">
        <v>746204</v>
      </c>
      <c r="FT16" s="474">
        <v>425302</v>
      </c>
      <c r="FU16" s="474">
        <v>251078</v>
      </c>
      <c r="FV16" s="474">
        <v>41340</v>
      </c>
      <c r="FW16" s="474">
        <v>10095</v>
      </c>
      <c r="FX16" s="474">
        <v>553</v>
      </c>
      <c r="FY16" s="474">
        <v>6178</v>
      </c>
      <c r="FZ16" s="480">
        <v>11658</v>
      </c>
      <c r="GA16" s="189">
        <f t="shared" si="39"/>
        <v>56.995406081982949</v>
      </c>
      <c r="GB16" s="190">
        <f t="shared" si="40"/>
        <v>33.647367207894888</v>
      </c>
      <c r="GC16" s="190">
        <f t="shared" si="41"/>
        <v>5.5400399890646526</v>
      </c>
      <c r="GD16" s="190">
        <f t="shared" si="42"/>
        <v>1.3528472106823335</v>
      </c>
      <c r="GE16" s="190">
        <f t="shared" si="43"/>
        <v>7.4108420753574086E-2</v>
      </c>
      <c r="GF16" s="190">
        <f t="shared" si="44"/>
        <v>0.82792373131208086</v>
      </c>
      <c r="GG16" s="190">
        <f t="shared" si="45"/>
        <v>1.5623073583095239</v>
      </c>
      <c r="GH16" s="199">
        <f t="shared" si="46"/>
        <v>43.004593918017058</v>
      </c>
      <c r="GI16" s="474">
        <v>744164</v>
      </c>
      <c r="GJ16" s="474">
        <v>418822</v>
      </c>
      <c r="GK16" s="474">
        <v>247349</v>
      </c>
      <c r="GL16" s="474">
        <v>45689</v>
      </c>
      <c r="GM16" s="474">
        <v>10198</v>
      </c>
      <c r="GN16" s="474">
        <v>606</v>
      </c>
      <c r="GO16" s="474">
        <v>6338</v>
      </c>
      <c r="GP16" s="480">
        <v>15162</v>
      </c>
      <c r="GQ16" s="189">
        <f t="shared" ref="GQ16:GQ31" si="192">(GJ16/GI16)*100</f>
        <v>56.280873570879542</v>
      </c>
      <c r="GR16" s="190">
        <f t="shared" ref="GR16:GR31" si="193">(GK16/GI16)*100</f>
        <v>33.238506565757007</v>
      </c>
      <c r="GS16" s="190">
        <f t="shared" ref="GS16:GS31" si="194">(GL16/GI16)*100</f>
        <v>6.1396412618723826</v>
      </c>
      <c r="GT16" s="190">
        <f t="shared" ref="GT16:GT31" si="195">(GM16/GI16)*100</f>
        <v>1.3703968480066222</v>
      </c>
      <c r="GU16" s="190">
        <f t="shared" ref="GU16:GU31" si="196">(GN16/GI16)*100</f>
        <v>8.1433662472250742E-2</v>
      </c>
      <c r="GV16" s="190">
        <f t="shared" ref="GV16:GV31" si="197">(GO16/GI16)*100</f>
        <v>0.85169398143419994</v>
      </c>
      <c r="GW16" s="190">
        <f t="shared" ref="GW16:GW31" si="198">(GP16/GI16)*100</f>
        <v>2.0374541095779963</v>
      </c>
      <c r="GX16" s="199">
        <f t="shared" si="55"/>
        <v>43.719126429120458</v>
      </c>
    </row>
    <row r="17" spans="1:206" s="11" customFormat="1">
      <c r="A17" s="106" t="s">
        <v>86</v>
      </c>
      <c r="B17" s="385">
        <v>29.4</v>
      </c>
      <c r="C17" s="244">
        <v>23.2</v>
      </c>
      <c r="D17" s="244">
        <v>23.3</v>
      </c>
      <c r="E17" s="244">
        <f>100-76.5</f>
        <v>23.5</v>
      </c>
      <c r="F17" s="244">
        <v>30.2</v>
      </c>
      <c r="G17" s="244">
        <v>26</v>
      </c>
      <c r="H17" s="52">
        <v>74.673772499914932</v>
      </c>
      <c r="I17" s="45">
        <v>24.182517268365714</v>
      </c>
      <c r="J17" s="45">
        <v>0.35110925856613018</v>
      </c>
      <c r="K17" s="45">
        <v>0.58099969376297256</v>
      </c>
      <c r="L17" s="43">
        <v>0.21160127939024806</v>
      </c>
      <c r="M17" s="264">
        <f t="shared" si="153"/>
        <v>25.326227500085064</v>
      </c>
      <c r="N17" s="251">
        <f>100-74.7</f>
        <v>25.299999999999997</v>
      </c>
      <c r="O17" s="252">
        <f>100-74.8</f>
        <v>25.200000000000003</v>
      </c>
      <c r="P17" s="247">
        <f>100-74.5</f>
        <v>25.5</v>
      </c>
      <c r="Q17" s="247">
        <f>100-74.5</f>
        <v>25.5</v>
      </c>
      <c r="R17" s="134">
        <v>25.577023262135043</v>
      </c>
      <c r="S17" s="52">
        <v>74.35371653787891</v>
      </c>
      <c r="T17" s="45">
        <v>23.768150520740718</v>
      </c>
      <c r="U17" s="45">
        <v>0.89022240929522745</v>
      </c>
      <c r="V17" s="45">
        <v>0.66558474444652027</v>
      </c>
      <c r="W17" s="45">
        <v>0.32232578763862596</v>
      </c>
      <c r="X17" s="261">
        <f t="shared" si="154"/>
        <v>25.64628346212109</v>
      </c>
      <c r="Y17" s="52">
        <v>73.900000000000006</v>
      </c>
      <c r="Z17" s="45">
        <v>23.9</v>
      </c>
      <c r="AA17" s="45">
        <v>1.1000000000000001</v>
      </c>
      <c r="AB17" s="45">
        <v>0.7</v>
      </c>
      <c r="AC17" s="45">
        <v>0.3</v>
      </c>
      <c r="AD17" s="261">
        <f t="shared" si="155"/>
        <v>26</v>
      </c>
      <c r="AE17" s="52">
        <v>73.900000000000006</v>
      </c>
      <c r="AF17" s="45">
        <v>23.6</v>
      </c>
      <c r="AG17" s="45">
        <v>1.5</v>
      </c>
      <c r="AH17" s="45">
        <v>0.7</v>
      </c>
      <c r="AI17" s="45">
        <v>0.4</v>
      </c>
      <c r="AJ17" s="261">
        <f t="shared" si="156"/>
        <v>26.2</v>
      </c>
      <c r="AK17" s="257">
        <f>100-73.5</f>
        <v>26.5</v>
      </c>
      <c r="AL17" s="257">
        <f>100-73.1</f>
        <v>26.900000000000006</v>
      </c>
      <c r="AM17" s="257">
        <f>100-72.8</f>
        <v>27.200000000000003</v>
      </c>
      <c r="AN17" s="258">
        <f>100-72.2</f>
        <v>27.799999999999997</v>
      </c>
      <c r="AO17" s="77">
        <v>71.716756415584527</v>
      </c>
      <c r="AP17" s="68">
        <v>23.323680602010405</v>
      </c>
      <c r="AQ17" s="68">
        <v>3.592105058460882</v>
      </c>
      <c r="AR17" s="68">
        <v>0.87808000284470367</v>
      </c>
      <c r="AS17" s="68">
        <v>0.48937792109947797</v>
      </c>
      <c r="AT17" s="261">
        <f t="shared" si="157"/>
        <v>28.283243584415469</v>
      </c>
      <c r="AU17" s="68">
        <v>71.080357043607791</v>
      </c>
      <c r="AV17" s="68">
        <v>23.332555218372406</v>
      </c>
      <c r="AW17" s="68">
        <v>4.1511321572681492</v>
      </c>
      <c r="AX17" s="68">
        <v>0.92462289214215054</v>
      </c>
      <c r="AY17" s="68">
        <v>0.51133268860950853</v>
      </c>
      <c r="AZ17" s="261">
        <f t="shared" si="158"/>
        <v>28.919642956392217</v>
      </c>
      <c r="BA17" s="68">
        <v>70.516536026697125</v>
      </c>
      <c r="BB17" s="68">
        <v>23.192123906560084</v>
      </c>
      <c r="BC17" s="68">
        <v>4.7500471190837832</v>
      </c>
      <c r="BD17" s="68">
        <v>1.0191026309079017</v>
      </c>
      <c r="BE17" s="68">
        <v>0.52219031675111138</v>
      </c>
      <c r="BF17" s="261">
        <f t="shared" si="159"/>
        <v>29.483463973302879</v>
      </c>
      <c r="BG17" s="68">
        <v>69.936174847037449</v>
      </c>
      <c r="BH17" s="68">
        <v>23.060659196564309</v>
      </c>
      <c r="BI17" s="68">
        <v>5.3077622034528504</v>
      </c>
      <c r="BJ17" s="68">
        <v>1.136356135993118</v>
      </c>
      <c r="BK17" s="68">
        <v>0.55904761695227745</v>
      </c>
      <c r="BL17" s="199">
        <f t="shared" si="160"/>
        <v>30.063825152962554</v>
      </c>
      <c r="BM17" s="68">
        <v>69.157120801528777</v>
      </c>
      <c r="BN17" s="68">
        <v>22.977014348487955</v>
      </c>
      <c r="BO17" s="68">
        <v>6.0028286710644227</v>
      </c>
      <c r="BP17" s="68">
        <v>1.25584358096801</v>
      </c>
      <c r="BQ17" s="68">
        <v>0.60719259795083291</v>
      </c>
      <c r="BR17" s="199">
        <f t="shared" si="161"/>
        <v>30.842879198471216</v>
      </c>
      <c r="BS17" s="68">
        <v>68.173536395574914</v>
      </c>
      <c r="BT17" s="68">
        <v>23.016157534910988</v>
      </c>
      <c r="BU17" s="68">
        <v>6.7759581279022196</v>
      </c>
      <c r="BV17" s="68">
        <v>1.3829432778159703</v>
      </c>
      <c r="BW17" s="68">
        <v>0.65140466379590301</v>
      </c>
      <c r="BX17" s="199">
        <f t="shared" si="162"/>
        <v>31.826463604425079</v>
      </c>
      <c r="BY17" s="6">
        <v>476409</v>
      </c>
      <c r="BZ17" s="6">
        <v>321867</v>
      </c>
      <c r="CA17" s="6">
        <v>108257</v>
      </c>
      <c r="CB17" s="6">
        <v>35903</v>
      </c>
      <c r="CC17" s="6">
        <v>7106</v>
      </c>
      <c r="CD17" s="6">
        <v>3276</v>
      </c>
      <c r="CE17" s="189">
        <f t="shared" si="163"/>
        <v>67.561066226708562</v>
      </c>
      <c r="CF17" s="190">
        <f t="shared" si="164"/>
        <v>22.723542166499794</v>
      </c>
      <c r="CG17" s="190">
        <f t="shared" si="165"/>
        <v>7.5361716508294343</v>
      </c>
      <c r="CH17" s="190">
        <f t="shared" si="166"/>
        <v>1.4915755159957096</v>
      </c>
      <c r="CI17" s="190">
        <f t="shared" si="167"/>
        <v>0.68764443996649938</v>
      </c>
      <c r="CJ17" s="199">
        <f t="shared" si="168"/>
        <v>32.438933773291438</v>
      </c>
      <c r="CK17" s="6">
        <v>479016</v>
      </c>
      <c r="CL17" s="6">
        <v>321176</v>
      </c>
      <c r="CM17" s="6">
        <v>108181</v>
      </c>
      <c r="CN17" s="6">
        <v>38822</v>
      </c>
      <c r="CO17" s="6">
        <v>7411</v>
      </c>
      <c r="CP17" s="6">
        <v>3426</v>
      </c>
      <c r="CQ17" s="189">
        <f t="shared" si="169"/>
        <v>67.049117357249017</v>
      </c>
      <c r="CR17" s="190">
        <f t="shared" si="170"/>
        <v>22.584005544699966</v>
      </c>
      <c r="CS17" s="190">
        <f t="shared" si="171"/>
        <v>8.1045309551246731</v>
      </c>
      <c r="CT17" s="190">
        <f t="shared" si="172"/>
        <v>1.5471299497302804</v>
      </c>
      <c r="CU17" s="190">
        <f t="shared" si="173"/>
        <v>0.7152161931960519</v>
      </c>
      <c r="CV17" s="199">
        <f t="shared" si="174"/>
        <v>32.950882642750969</v>
      </c>
      <c r="CW17" s="6">
        <f t="shared" ref="CW17:CW31" si="199">SUM(CX17:DC17)</f>
        <v>478965</v>
      </c>
      <c r="CX17" s="6">
        <v>319209</v>
      </c>
      <c r="CY17" s="6">
        <v>107524</v>
      </c>
      <c r="CZ17" s="6">
        <v>41096</v>
      </c>
      <c r="DA17" s="6">
        <v>3455</v>
      </c>
      <c r="DB17" s="6">
        <v>7681</v>
      </c>
      <c r="DC17" s="6"/>
      <c r="DD17" s="189">
        <f t="shared" si="175"/>
        <v>66.645579530863415</v>
      </c>
      <c r="DE17" s="190">
        <f t="shared" si="176"/>
        <v>22.449239506018184</v>
      </c>
      <c r="DF17" s="190">
        <f t="shared" si="177"/>
        <v>8.5801676531688109</v>
      </c>
      <c r="DG17" s="190">
        <f t="shared" si="178"/>
        <v>1.603666238660445</v>
      </c>
      <c r="DH17" s="190">
        <f t="shared" si="179"/>
        <v>0.72134707128913389</v>
      </c>
      <c r="DI17" s="190"/>
      <c r="DJ17" s="191">
        <f t="shared" si="20"/>
        <v>33.354420469136571</v>
      </c>
      <c r="DK17" s="382">
        <v>480559</v>
      </c>
      <c r="DL17" s="6">
        <v>313909</v>
      </c>
      <c r="DM17" s="6">
        <v>105097</v>
      </c>
      <c r="DN17" s="6">
        <v>44404</v>
      </c>
      <c r="DO17" s="6">
        <v>3385</v>
      </c>
      <c r="DP17" s="6">
        <v>8759</v>
      </c>
      <c r="DQ17" s="6">
        <v>5005</v>
      </c>
      <c r="DR17" s="189">
        <f t="shared" si="180"/>
        <v>65.32163584492227</v>
      </c>
      <c r="DS17" s="190">
        <f t="shared" si="181"/>
        <v>21.869739199557181</v>
      </c>
      <c r="DT17" s="190">
        <f t="shared" si="182"/>
        <v>9.24007249890232</v>
      </c>
      <c r="DU17" s="190">
        <f t="shared" si="183"/>
        <v>1.8226690167076258</v>
      </c>
      <c r="DV17" s="190">
        <f t="shared" si="184"/>
        <v>0.70438801479110791</v>
      </c>
      <c r="DW17" s="190"/>
      <c r="DX17" s="191">
        <f t="shared" si="185"/>
        <v>33.636868729958238</v>
      </c>
      <c r="DY17" s="382">
        <v>482114</v>
      </c>
      <c r="DZ17" s="6">
        <v>312372</v>
      </c>
      <c r="EA17" s="6">
        <v>103637</v>
      </c>
      <c r="EB17" s="6">
        <v>47340</v>
      </c>
      <c r="EC17" s="6">
        <v>3369</v>
      </c>
      <c r="ED17" s="6">
        <v>8979</v>
      </c>
      <c r="EE17" s="6">
        <v>6417</v>
      </c>
      <c r="EF17" s="189">
        <f t="shared" si="186"/>
        <v>64.792144596506219</v>
      </c>
      <c r="EG17" s="190">
        <f t="shared" si="187"/>
        <v>21.496368078919094</v>
      </c>
      <c r="EH17" s="190">
        <f t="shared" si="188"/>
        <v>9.8192543672243495</v>
      </c>
      <c r="EI17" s="190">
        <f t="shared" si="189"/>
        <v>1.8624225805514878</v>
      </c>
      <c r="EJ17" s="190">
        <f t="shared" si="190"/>
        <v>0.69879737987281021</v>
      </c>
      <c r="EK17" s="190"/>
      <c r="EL17" s="191">
        <f t="shared" si="191"/>
        <v>33.876842406567739</v>
      </c>
      <c r="EM17" s="11">
        <v>483114</v>
      </c>
      <c r="EN17" s="444">
        <f t="shared" ref="EN17:EN69" si="200">(EM17*EU17)/100</f>
        <v>310896.00000000006</v>
      </c>
      <c r="EO17" s="444">
        <f t="shared" ref="EO17:EO69" si="201">(EM17*EV17)/100</f>
        <v>102438</v>
      </c>
      <c r="EP17" s="444">
        <f t="shared" ref="EP17:EP69" si="202">(EM17*EW17)/100</f>
        <v>49504</v>
      </c>
      <c r="EQ17" s="444">
        <f t="shared" ref="EQ17:EQ69" si="203">(EM17*EX17)/100</f>
        <v>6941</v>
      </c>
      <c r="ER17" s="444">
        <f t="shared" ref="ER17:ER69" si="204">(EM17*EY17)/100</f>
        <v>2346</v>
      </c>
      <c r="ES17" s="444">
        <f t="shared" ref="ES17:ES69" si="205">(EM17*EZ17)/100</f>
        <v>3244.0000000000005</v>
      </c>
      <c r="ET17" s="444">
        <f t="shared" ref="ET17:ET69" si="206">(EM17*FA17)/100</f>
        <v>7745.0000000000009</v>
      </c>
      <c r="EU17" s="148">
        <v>64.352513071448982</v>
      </c>
      <c r="EV17" s="148">
        <v>21.203691054285322</v>
      </c>
      <c r="EW17" s="148">
        <v>10.246856849522059</v>
      </c>
      <c r="EX17" s="148">
        <v>1.4367209395711984</v>
      </c>
      <c r="EY17" s="148">
        <v>0.48559967212707561</v>
      </c>
      <c r="EZ17" s="148">
        <v>0.67147712548177041</v>
      </c>
      <c r="FA17" s="148">
        <v>1.603141287563598</v>
      </c>
      <c r="FB17" s="191">
        <f t="shared" ref="FB17:FB30" si="207">SUM(EV17:FA17)</f>
        <v>35.647486928551018</v>
      </c>
      <c r="FC17">
        <v>486157</v>
      </c>
      <c r="FD17">
        <v>310458</v>
      </c>
      <c r="FE17" s="11">
        <v>102231</v>
      </c>
      <c r="FF17">
        <v>51352</v>
      </c>
      <c r="FG17">
        <v>7185</v>
      </c>
      <c r="FH17">
        <v>2661</v>
      </c>
      <c r="FI17" s="11">
        <v>3316</v>
      </c>
      <c r="FJ17">
        <v>8954</v>
      </c>
      <c r="FK17" s="189">
        <f t="shared" ref="FK17:FK31" si="208">(FD17/FC17)*100</f>
        <v>63.859617366406326</v>
      </c>
      <c r="FL17" s="190">
        <f t="shared" ref="FL17:FL31" si="209">(FE17/FC17)*100</f>
        <v>21.028392062646429</v>
      </c>
      <c r="FM17" s="190">
        <f t="shared" ref="FM17:FM31" si="210">(FF17/FC17)*100</f>
        <v>10.562842867633297</v>
      </c>
      <c r="FN17" s="190">
        <f t="shared" ref="FN17:FN31" si="211">(FG17/FC17)*100</f>
        <v>1.4779176274331132</v>
      </c>
      <c r="FO17" s="190">
        <f t="shared" ref="FO17:FO31" si="212">(FH17/FC17)*100</f>
        <v>0.5473540440639546</v>
      </c>
      <c r="FP17" s="190">
        <f t="shared" ref="FP17:FP31" si="213">(FI17/FC17)*100</f>
        <v>0.68208418268172621</v>
      </c>
      <c r="FQ17" s="190">
        <f t="shared" ref="FQ17:FQ31" si="214">(FJ17/FC17)*100</f>
        <v>1.8417918491351559</v>
      </c>
      <c r="FR17" s="199">
        <f t="shared" si="37"/>
        <v>36.140382633593674</v>
      </c>
      <c r="FS17" s="474">
        <v>489979</v>
      </c>
      <c r="FT17" s="474">
        <v>309179</v>
      </c>
      <c r="FU17" s="474">
        <v>102803</v>
      </c>
      <c r="FV17" s="474">
        <v>54994</v>
      </c>
      <c r="FW17" s="474">
        <v>7335</v>
      </c>
      <c r="FX17" s="474">
        <v>2874</v>
      </c>
      <c r="FY17" s="474">
        <v>3131</v>
      </c>
      <c r="FZ17" s="480">
        <v>9663</v>
      </c>
      <c r="GA17" s="189">
        <f t="shared" si="39"/>
        <v>63.100459407443985</v>
      </c>
      <c r="GB17" s="190">
        <f t="shared" si="40"/>
        <v>20.981103271772874</v>
      </c>
      <c r="GC17" s="190">
        <f t="shared" si="41"/>
        <v>11.223746323822041</v>
      </c>
      <c r="GD17" s="190">
        <f t="shared" si="42"/>
        <v>1.4970029327787517</v>
      </c>
      <c r="GE17" s="190">
        <f t="shared" si="43"/>
        <v>0.58655575034848439</v>
      </c>
      <c r="GF17" s="190">
        <f t="shared" si="44"/>
        <v>0.6390069778500711</v>
      </c>
      <c r="GG17" s="190">
        <f t="shared" si="45"/>
        <v>1.9721253359837869</v>
      </c>
      <c r="GH17" s="199">
        <f t="shared" si="46"/>
        <v>36.899540592556008</v>
      </c>
      <c r="GI17" s="474">
        <v>490917</v>
      </c>
      <c r="GJ17" s="474">
        <v>306458</v>
      </c>
      <c r="GK17" s="474">
        <v>102685</v>
      </c>
      <c r="GL17" s="474">
        <v>58218</v>
      </c>
      <c r="GM17" s="474">
        <v>7516</v>
      </c>
      <c r="GN17" s="474">
        <v>3093</v>
      </c>
      <c r="GO17" s="474">
        <v>3134</v>
      </c>
      <c r="GP17" s="480">
        <v>9813</v>
      </c>
      <c r="GQ17" s="189">
        <f t="shared" si="192"/>
        <v>62.425623883467061</v>
      </c>
      <c r="GR17" s="190">
        <f t="shared" si="193"/>
        <v>20.916977819061064</v>
      </c>
      <c r="GS17" s="190">
        <f t="shared" si="194"/>
        <v>11.859031160053531</v>
      </c>
      <c r="GT17" s="190">
        <f t="shared" si="195"/>
        <v>1.5310123707266197</v>
      </c>
      <c r="GU17" s="190">
        <f t="shared" si="196"/>
        <v>0.63004540482403337</v>
      </c>
      <c r="GV17" s="190">
        <f t="shared" si="197"/>
        <v>0.63839712212043986</v>
      </c>
      <c r="GW17" s="190">
        <f t="shared" si="198"/>
        <v>1.9989122397472483</v>
      </c>
      <c r="GX17" s="199">
        <f t="shared" si="55"/>
        <v>37.574376116532932</v>
      </c>
    </row>
    <row r="18" spans="1:206" s="11" customFormat="1">
      <c r="A18" s="106" t="s">
        <v>106</v>
      </c>
      <c r="B18" s="385">
        <v>21.3</v>
      </c>
      <c r="C18" s="244">
        <f>100-75.7</f>
        <v>24.299999999999997</v>
      </c>
      <c r="D18" s="244">
        <f>100-74.3</f>
        <v>25.700000000000003</v>
      </c>
      <c r="E18" s="244">
        <f>100-71.2</f>
        <v>28.799999999999997</v>
      </c>
      <c r="F18" s="244">
        <v>29</v>
      </c>
      <c r="G18" s="244">
        <f>100-70.7</f>
        <v>29.299999999999997</v>
      </c>
      <c r="H18" s="52">
        <v>68.263500662786001</v>
      </c>
      <c r="I18" s="45">
        <v>27.72866117226673</v>
      </c>
      <c r="J18" s="45">
        <v>2.4874646994409546</v>
      </c>
      <c r="K18" s="45">
        <v>1.3682208518241024</v>
      </c>
      <c r="L18" s="43">
        <v>0.15215261368220853</v>
      </c>
      <c r="M18" s="264">
        <f t="shared" si="153"/>
        <v>31.736499337213996</v>
      </c>
      <c r="N18" s="251">
        <f>100-68.3</f>
        <v>31.700000000000003</v>
      </c>
      <c r="O18" s="252">
        <f>100-68.7</f>
        <v>31.299999999999997</v>
      </c>
      <c r="P18" s="247">
        <f>100-68</f>
        <v>32</v>
      </c>
      <c r="Q18" s="247">
        <f>100-67.3</f>
        <v>32.700000000000003</v>
      </c>
      <c r="R18" s="134">
        <v>33.173570038630757</v>
      </c>
      <c r="S18" s="52">
        <v>66.231157683306961</v>
      </c>
      <c r="T18" s="45">
        <v>28.45935933754631</v>
      </c>
      <c r="U18" s="45">
        <v>3.4089078799018444</v>
      </c>
      <c r="V18" s="45">
        <v>1.6836101452433514</v>
      </c>
      <c r="W18" s="45">
        <v>0.21696495400153484</v>
      </c>
      <c r="X18" s="261">
        <f t="shared" si="154"/>
        <v>33.768842316693039</v>
      </c>
      <c r="Y18" s="52">
        <v>65.400000000000006</v>
      </c>
      <c r="Z18" s="45">
        <v>29.1</v>
      </c>
      <c r="AA18" s="45">
        <v>3.6</v>
      </c>
      <c r="AB18" s="45">
        <v>1.7</v>
      </c>
      <c r="AC18" s="45">
        <v>0.2</v>
      </c>
      <c r="AD18" s="261">
        <f t="shared" si="155"/>
        <v>34.600000000000009</v>
      </c>
      <c r="AE18" s="52">
        <v>64.7</v>
      </c>
      <c r="AF18" s="45">
        <v>29.4</v>
      </c>
      <c r="AG18" s="45">
        <v>4</v>
      </c>
      <c r="AH18" s="45">
        <v>1.7</v>
      </c>
      <c r="AI18" s="45">
        <v>0.2</v>
      </c>
      <c r="AJ18" s="261">
        <f t="shared" si="156"/>
        <v>35.300000000000004</v>
      </c>
      <c r="AK18" s="257">
        <f>100-63.9</f>
        <v>36.1</v>
      </c>
      <c r="AL18" s="257">
        <f>100-63.2</f>
        <v>36.799999999999997</v>
      </c>
      <c r="AM18" s="257">
        <f>100-62.4</f>
        <v>37.6</v>
      </c>
      <c r="AN18" s="258">
        <f>100-61.6</f>
        <v>38.4</v>
      </c>
      <c r="AO18" s="77">
        <v>60.675616772731239</v>
      </c>
      <c r="AP18" s="68">
        <v>30.814227181588354</v>
      </c>
      <c r="AQ18" s="68">
        <v>5.9654781623223778</v>
      </c>
      <c r="AR18" s="68">
        <v>2.2840205736204342</v>
      </c>
      <c r="AS18" s="68">
        <v>0.26065730973759915</v>
      </c>
      <c r="AT18" s="261">
        <f t="shared" si="157"/>
        <v>39.324383227268761</v>
      </c>
      <c r="AU18" s="68">
        <v>59.645190601877893</v>
      </c>
      <c r="AV18" s="68">
        <v>31.067457055081992</v>
      </c>
      <c r="AW18" s="68">
        <v>6.5769546968975812</v>
      </c>
      <c r="AX18" s="68">
        <v>2.4291462939725674</v>
      </c>
      <c r="AY18" s="68">
        <v>0.28125135216996233</v>
      </c>
      <c r="AZ18" s="261">
        <f t="shared" si="158"/>
        <v>40.3548093981221</v>
      </c>
      <c r="BA18" s="68">
        <v>58.441491464819237</v>
      </c>
      <c r="BB18" s="68">
        <v>31.399666500489936</v>
      </c>
      <c r="BC18" s="68">
        <v>7.2458785305392723</v>
      </c>
      <c r="BD18" s="68">
        <v>2.6061095734988227</v>
      </c>
      <c r="BE18" s="68">
        <v>0.30685393065273076</v>
      </c>
      <c r="BF18" s="261">
        <f t="shared" si="159"/>
        <v>41.558508535180756</v>
      </c>
      <c r="BG18" s="68">
        <v>57.293401774484146</v>
      </c>
      <c r="BH18" s="68">
        <v>31.87612604956318</v>
      </c>
      <c r="BI18" s="68">
        <v>7.8916952782404737</v>
      </c>
      <c r="BJ18" s="68">
        <v>2.627732263657069</v>
      </c>
      <c r="BK18" s="68">
        <v>0.31104463405513821</v>
      </c>
      <c r="BL18" s="199">
        <f t="shared" si="160"/>
        <v>42.706598225515854</v>
      </c>
      <c r="BM18" s="68">
        <v>56.188125047232788</v>
      </c>
      <c r="BN18" s="68">
        <v>32.261883769554373</v>
      </c>
      <c r="BO18" s="68">
        <v>8.5228942573326272</v>
      </c>
      <c r="BP18" s="68">
        <v>2.7239673862844378</v>
      </c>
      <c r="BQ18" s="68">
        <v>0.30312953959577132</v>
      </c>
      <c r="BR18" s="199">
        <f t="shared" si="161"/>
        <v>43.811874952767205</v>
      </c>
      <c r="BS18" s="68">
        <v>55.10472394717911</v>
      </c>
      <c r="BT18" s="68">
        <v>32.53346783862672</v>
      </c>
      <c r="BU18" s="68">
        <v>9.1783325202378094</v>
      </c>
      <c r="BV18" s="68">
        <v>2.8461099580773461</v>
      </c>
      <c r="BW18" s="68">
        <v>0.33736573587901136</v>
      </c>
      <c r="BX18" s="199">
        <f t="shared" si="162"/>
        <v>44.89527605282089</v>
      </c>
      <c r="BY18" s="6">
        <v>122254</v>
      </c>
      <c r="BZ18" s="6">
        <v>65879</v>
      </c>
      <c r="CA18" s="6">
        <v>40380</v>
      </c>
      <c r="CB18" s="6">
        <v>11930</v>
      </c>
      <c r="CC18" s="6">
        <v>3623</v>
      </c>
      <c r="CD18" s="2">
        <v>442</v>
      </c>
      <c r="CE18" s="189">
        <f t="shared" si="163"/>
        <v>53.88698938276049</v>
      </c>
      <c r="CF18" s="190">
        <f t="shared" si="164"/>
        <v>33.029594123709657</v>
      </c>
      <c r="CG18" s="190">
        <f t="shared" si="165"/>
        <v>9.7583719142113967</v>
      </c>
      <c r="CH18" s="190">
        <f t="shared" si="166"/>
        <v>2.9635022166963862</v>
      </c>
      <c r="CI18" s="190">
        <f t="shared" si="167"/>
        <v>0.36154236262208189</v>
      </c>
      <c r="CJ18" s="199">
        <f t="shared" si="168"/>
        <v>46.113010617239517</v>
      </c>
      <c r="CK18" s="6">
        <v>122574</v>
      </c>
      <c r="CL18" s="6">
        <v>64961</v>
      </c>
      <c r="CM18" s="6">
        <v>40503</v>
      </c>
      <c r="CN18" s="6">
        <v>12769</v>
      </c>
      <c r="CO18" s="6">
        <v>3911</v>
      </c>
      <c r="CP18" s="2">
        <v>430</v>
      </c>
      <c r="CQ18" s="189">
        <f t="shared" si="169"/>
        <v>52.997373015484527</v>
      </c>
      <c r="CR18" s="190">
        <f t="shared" si="170"/>
        <v>33.043712369670565</v>
      </c>
      <c r="CS18" s="190">
        <f t="shared" si="171"/>
        <v>10.417380521154568</v>
      </c>
      <c r="CT18" s="190">
        <f t="shared" si="172"/>
        <v>3.1907256024931878</v>
      </c>
      <c r="CU18" s="190">
        <f t="shared" si="173"/>
        <v>0.35080849119715435</v>
      </c>
      <c r="CV18" s="199">
        <f t="shared" si="174"/>
        <v>47.00262698451548</v>
      </c>
      <c r="CW18" s="6">
        <f t="shared" si="199"/>
        <v>125430</v>
      </c>
      <c r="CX18" s="6">
        <v>65326</v>
      </c>
      <c r="CY18" s="6">
        <v>41696</v>
      </c>
      <c r="CZ18" s="6">
        <v>13732</v>
      </c>
      <c r="DA18" s="6">
        <v>453</v>
      </c>
      <c r="DB18" s="6">
        <v>4223</v>
      </c>
      <c r="DC18" s="6"/>
      <c r="DD18" s="189">
        <f t="shared" si="175"/>
        <v>52.081639161285175</v>
      </c>
      <c r="DE18" s="190">
        <f t="shared" si="176"/>
        <v>33.242445985808814</v>
      </c>
      <c r="DF18" s="190">
        <f t="shared" si="177"/>
        <v>10.94793908953201</v>
      </c>
      <c r="DG18" s="190">
        <f t="shared" si="178"/>
        <v>3.3668181455792077</v>
      </c>
      <c r="DH18" s="190">
        <f t="shared" si="179"/>
        <v>0.36115761779478589</v>
      </c>
      <c r="DI18" s="190"/>
      <c r="DJ18" s="191">
        <f t="shared" si="20"/>
        <v>47.918360838714825</v>
      </c>
      <c r="DK18" s="382">
        <v>126801</v>
      </c>
      <c r="DL18" s="6">
        <v>65415</v>
      </c>
      <c r="DM18" s="6">
        <v>42212</v>
      </c>
      <c r="DN18" s="6">
        <v>14331</v>
      </c>
      <c r="DO18" s="6">
        <v>450</v>
      </c>
      <c r="DP18" s="6">
        <v>4393</v>
      </c>
      <c r="DQ18" s="6"/>
      <c r="DR18" s="189">
        <f t="shared" si="180"/>
        <v>51.588709868218707</v>
      </c>
      <c r="DS18" s="190">
        <f t="shared" si="181"/>
        <v>33.289958281086115</v>
      </c>
      <c r="DT18" s="190">
        <f t="shared" si="182"/>
        <v>11.301961340998888</v>
      </c>
      <c r="DU18" s="190">
        <f t="shared" si="183"/>
        <v>3.4644837185826609</v>
      </c>
      <c r="DV18" s="190">
        <f t="shared" si="184"/>
        <v>0.35488679111363475</v>
      </c>
      <c r="DW18" s="190"/>
      <c r="DX18" s="191">
        <f t="shared" si="185"/>
        <v>48.4112901317813</v>
      </c>
      <c r="DY18" s="382">
        <v>129403</v>
      </c>
      <c r="DZ18" s="6">
        <v>64784</v>
      </c>
      <c r="EA18" s="6">
        <v>41737</v>
      </c>
      <c r="EB18" s="6">
        <v>15988</v>
      </c>
      <c r="EC18" s="6">
        <v>635</v>
      </c>
      <c r="ED18" s="6">
        <v>4441</v>
      </c>
      <c r="EE18" s="6">
        <v>1818</v>
      </c>
      <c r="EF18" s="189">
        <f t="shared" si="186"/>
        <v>50.063754317906074</v>
      </c>
      <c r="EG18" s="190">
        <f t="shared" si="187"/>
        <v>32.253502623586776</v>
      </c>
      <c r="EH18" s="190">
        <f t="shared" si="188"/>
        <v>12.355200420392109</v>
      </c>
      <c r="EI18" s="190">
        <f t="shared" si="189"/>
        <v>3.4319142523743658</v>
      </c>
      <c r="EJ18" s="190">
        <f t="shared" si="190"/>
        <v>0.49071505297404233</v>
      </c>
      <c r="EK18" s="190"/>
      <c r="EL18" s="191">
        <f t="shared" si="191"/>
        <v>48.531332349327286</v>
      </c>
      <c r="EM18" s="11">
        <v>128946</v>
      </c>
      <c r="EN18" s="444">
        <f t="shared" si="200"/>
        <v>63876</v>
      </c>
      <c r="EO18" s="444">
        <f t="shared" si="201"/>
        <v>40793.000000000007</v>
      </c>
      <c r="EP18" s="444">
        <f t="shared" si="202"/>
        <v>16845.999999999996</v>
      </c>
      <c r="EQ18" s="444">
        <f t="shared" si="203"/>
        <v>4421</v>
      </c>
      <c r="ER18" s="444">
        <f t="shared" si="204"/>
        <v>80.999999999999986</v>
      </c>
      <c r="ES18" s="444">
        <f t="shared" si="205"/>
        <v>622</v>
      </c>
      <c r="ET18" s="444">
        <f t="shared" si="206"/>
        <v>2307</v>
      </c>
      <c r="EU18" s="148">
        <v>49.537015494858309</v>
      </c>
      <c r="EV18" s="148">
        <v>31.635723481147149</v>
      </c>
      <c r="EW18" s="148">
        <v>13.064383540396754</v>
      </c>
      <c r="EX18" s="148">
        <v>3.4285669970375197</v>
      </c>
      <c r="EY18" s="148">
        <v>6.2816993159927406E-2</v>
      </c>
      <c r="EZ18" s="148">
        <v>0.48237246599351669</v>
      </c>
      <c r="FA18" s="148">
        <v>1.7891210274068214</v>
      </c>
      <c r="FB18" s="191">
        <f t="shared" si="207"/>
        <v>50.462984505141684</v>
      </c>
      <c r="FC18">
        <v>129026</v>
      </c>
      <c r="FD18">
        <v>62676</v>
      </c>
      <c r="FE18" s="11">
        <v>40457</v>
      </c>
      <c r="FF18">
        <v>17911</v>
      </c>
      <c r="FG18">
        <v>4509</v>
      </c>
      <c r="FH18">
        <v>112</v>
      </c>
      <c r="FI18" s="11">
        <v>594</v>
      </c>
      <c r="FJ18">
        <v>2767</v>
      </c>
      <c r="FK18" s="189">
        <f t="shared" si="208"/>
        <v>48.576255948413497</v>
      </c>
      <c r="FL18" s="190">
        <f t="shared" si="209"/>
        <v>31.355695751243935</v>
      </c>
      <c r="FM18" s="190">
        <f t="shared" si="210"/>
        <v>13.881698262365724</v>
      </c>
      <c r="FN18" s="190">
        <f t="shared" si="211"/>
        <v>3.4946444902577776</v>
      </c>
      <c r="FO18" s="190">
        <f t="shared" si="212"/>
        <v>8.68042100041852E-2</v>
      </c>
      <c r="FP18" s="190">
        <f t="shared" si="213"/>
        <v>0.46037232805791084</v>
      </c>
      <c r="FQ18" s="190">
        <f t="shared" si="214"/>
        <v>2.1445290096569685</v>
      </c>
      <c r="FR18" s="199">
        <f t="shared" si="37"/>
        <v>51.423744051586496</v>
      </c>
      <c r="FS18" s="474">
        <v>131687</v>
      </c>
      <c r="FT18" s="474">
        <v>62812</v>
      </c>
      <c r="FU18" s="474">
        <v>41046</v>
      </c>
      <c r="FV18" s="474">
        <v>19137</v>
      </c>
      <c r="FW18" s="474">
        <v>4673</v>
      </c>
      <c r="FX18" s="474">
        <v>128</v>
      </c>
      <c r="FY18" s="474">
        <v>575</v>
      </c>
      <c r="FZ18" s="480">
        <v>3316</v>
      </c>
      <c r="GA18" s="189">
        <f t="shared" si="39"/>
        <v>47.697950443096133</v>
      </c>
      <c r="GB18" s="190">
        <f t="shared" si="40"/>
        <v>31.169363718514354</v>
      </c>
      <c r="GC18" s="190">
        <f t="shared" si="41"/>
        <v>14.532186168718248</v>
      </c>
      <c r="GD18" s="190">
        <f t="shared" si="42"/>
        <v>3.5485659176684106</v>
      </c>
      <c r="GE18" s="190">
        <f t="shared" si="43"/>
        <v>9.7200179212830431E-2</v>
      </c>
      <c r="GF18" s="190">
        <f t="shared" si="44"/>
        <v>0.43664143005763667</v>
      </c>
      <c r="GG18" s="190">
        <f t="shared" si="45"/>
        <v>2.5180921427323883</v>
      </c>
      <c r="GH18" s="199">
        <f t="shared" si="46"/>
        <v>52.302049556903867</v>
      </c>
      <c r="GI18" s="474">
        <v>134042</v>
      </c>
      <c r="GJ18" s="474">
        <v>62464</v>
      </c>
      <c r="GK18" s="474">
        <v>41863</v>
      </c>
      <c r="GL18" s="474">
        <v>20464</v>
      </c>
      <c r="GM18" s="474">
        <v>4787</v>
      </c>
      <c r="GN18" s="474">
        <v>154</v>
      </c>
      <c r="GO18" s="474">
        <v>560</v>
      </c>
      <c r="GP18" s="480">
        <v>3750</v>
      </c>
      <c r="GQ18" s="189">
        <f t="shared" si="192"/>
        <v>46.600319302905056</v>
      </c>
      <c r="GR18" s="190">
        <f t="shared" si="193"/>
        <v>31.231255875024246</v>
      </c>
      <c r="GS18" s="190">
        <f t="shared" si="194"/>
        <v>15.266856656868743</v>
      </c>
      <c r="GT18" s="190">
        <f t="shared" si="195"/>
        <v>3.5712687068232345</v>
      </c>
      <c r="GU18" s="190">
        <f t="shared" si="196"/>
        <v>0.1148893630354665</v>
      </c>
      <c r="GV18" s="190">
        <f t="shared" si="197"/>
        <v>0.41777950194715091</v>
      </c>
      <c r="GW18" s="190">
        <f t="shared" si="198"/>
        <v>2.7976305933961001</v>
      </c>
      <c r="GX18" s="199">
        <f t="shared" si="55"/>
        <v>53.399680697094936</v>
      </c>
    </row>
    <row r="19" spans="1:206" s="11" customFormat="1">
      <c r="A19" s="106" t="s">
        <v>87</v>
      </c>
      <c r="B19" s="385">
        <v>28</v>
      </c>
      <c r="C19" s="244">
        <v>30</v>
      </c>
      <c r="D19" s="244">
        <v>30.4</v>
      </c>
      <c r="E19" s="244">
        <f>100-67.8</f>
        <v>32.200000000000003</v>
      </c>
      <c r="F19" s="244">
        <v>32</v>
      </c>
      <c r="G19" s="244">
        <v>32</v>
      </c>
      <c r="H19" s="52">
        <v>65.432314942406222</v>
      </c>
      <c r="I19" s="45">
        <v>23.673401801280537</v>
      </c>
      <c r="J19" s="45">
        <v>9.4874293559495797</v>
      </c>
      <c r="K19" s="45">
        <v>1.236064691805417</v>
      </c>
      <c r="L19" s="43">
        <v>0.17078920855823962</v>
      </c>
      <c r="M19" s="264">
        <f t="shared" si="153"/>
        <v>34.567685057593778</v>
      </c>
      <c r="N19" s="251">
        <f>100-65.4</f>
        <v>34.599999999999994</v>
      </c>
      <c r="O19" s="252">
        <f>100-62.8</f>
        <v>37.200000000000003</v>
      </c>
      <c r="P19" s="247">
        <f>100-61.9</f>
        <v>38.1</v>
      </c>
      <c r="Q19" s="247">
        <f>100-61.2</f>
        <v>38.799999999999997</v>
      </c>
      <c r="R19" s="134">
        <v>39.611599232262726</v>
      </c>
      <c r="S19" s="52">
        <v>59.565564448199027</v>
      </c>
      <c r="T19" s="45">
        <v>24.741383492350653</v>
      </c>
      <c r="U19" s="45">
        <v>13.82762231577111</v>
      </c>
      <c r="V19" s="45">
        <v>1.6822629575310803</v>
      </c>
      <c r="W19" s="45">
        <v>0.18316678614812204</v>
      </c>
      <c r="X19" s="261">
        <f t="shared" si="154"/>
        <v>40.434435551800966</v>
      </c>
      <c r="Y19" s="52">
        <v>58.7</v>
      </c>
      <c r="Z19" s="45">
        <v>25</v>
      </c>
      <c r="AA19" s="45">
        <v>14.4</v>
      </c>
      <c r="AB19" s="45">
        <v>1.7</v>
      </c>
      <c r="AC19" s="45">
        <v>0.2</v>
      </c>
      <c r="AD19" s="261">
        <f t="shared" si="155"/>
        <v>41.300000000000004</v>
      </c>
      <c r="AE19" s="52">
        <v>57.5</v>
      </c>
      <c r="AF19" s="45">
        <v>25.3</v>
      </c>
      <c r="AG19" s="45">
        <v>15.3</v>
      </c>
      <c r="AH19" s="45">
        <v>1.8</v>
      </c>
      <c r="AI19" s="45">
        <v>0.2</v>
      </c>
      <c r="AJ19" s="261">
        <f t="shared" si="156"/>
        <v>42.6</v>
      </c>
      <c r="AK19" s="257">
        <f>100-56.7</f>
        <v>43.3</v>
      </c>
      <c r="AL19" s="257">
        <f>100-56.2</f>
        <v>43.8</v>
      </c>
      <c r="AM19" s="257">
        <f>100-55.3</f>
        <v>44.7</v>
      </c>
      <c r="AN19" s="258">
        <f>100-54.3</f>
        <v>45.7</v>
      </c>
      <c r="AO19" s="77">
        <v>53.266995807905388</v>
      </c>
      <c r="AP19" s="68">
        <v>25.191338500858997</v>
      </c>
      <c r="AQ19" s="68">
        <v>19.386599672008742</v>
      </c>
      <c r="AR19" s="68">
        <v>1.8842863602704265</v>
      </c>
      <c r="AS19" s="68">
        <v>0.27077965895644895</v>
      </c>
      <c r="AT19" s="261">
        <f t="shared" si="157"/>
        <v>46.733004192094619</v>
      </c>
      <c r="AU19" s="68">
        <v>52.496642641926861</v>
      </c>
      <c r="AV19" s="68">
        <v>24.858007149033103</v>
      </c>
      <c r="AW19" s="68">
        <v>20.445970730396347</v>
      </c>
      <c r="AX19" s="68">
        <v>1.9227923621003662</v>
      </c>
      <c r="AY19" s="68">
        <v>0.27658711654331691</v>
      </c>
      <c r="AZ19" s="261">
        <f t="shared" si="158"/>
        <v>47.503357358073139</v>
      </c>
      <c r="BA19" s="68">
        <v>51.647703538169765</v>
      </c>
      <c r="BB19" s="68">
        <v>24.660334993615962</v>
      </c>
      <c r="BC19" s="68">
        <v>21.387723830075565</v>
      </c>
      <c r="BD19" s="68">
        <v>2.0156075228874508</v>
      </c>
      <c r="BE19" s="68">
        <v>0.28863011525125309</v>
      </c>
      <c r="BF19" s="261">
        <f t="shared" si="159"/>
        <v>48.352296461830228</v>
      </c>
      <c r="BG19" s="68">
        <v>51.270584488960544</v>
      </c>
      <c r="BH19" s="68">
        <v>24.312729650475262</v>
      </c>
      <c r="BI19" s="68">
        <v>22.072260773186873</v>
      </c>
      <c r="BJ19" s="68">
        <v>2.0476668207331192</v>
      </c>
      <c r="BK19" s="68">
        <v>0.2967582666442008</v>
      </c>
      <c r="BL19" s="199">
        <f t="shared" si="160"/>
        <v>48.729415511039456</v>
      </c>
      <c r="BM19" s="68">
        <v>50.520623368907934</v>
      </c>
      <c r="BN19" s="68">
        <v>24.08454247583483</v>
      </c>
      <c r="BO19" s="68">
        <v>22.960433987942423</v>
      </c>
      <c r="BP19" s="68">
        <v>2.1297023190681292</v>
      </c>
      <c r="BQ19" s="68">
        <v>0.30469784824668023</v>
      </c>
      <c r="BR19" s="199">
        <f t="shared" si="161"/>
        <v>49.479376631092066</v>
      </c>
      <c r="BS19" s="68">
        <v>49.64463870230697</v>
      </c>
      <c r="BT19" s="68">
        <v>23.942289863567577</v>
      </c>
      <c r="BU19" s="68">
        <v>23.888944547787236</v>
      </c>
      <c r="BV19" s="68">
        <v>2.2277930964357702</v>
      </c>
      <c r="BW19" s="68">
        <v>0.29633378990244574</v>
      </c>
      <c r="BX19" s="199">
        <f t="shared" si="162"/>
        <v>50.35536129769303</v>
      </c>
      <c r="BY19" s="6">
        <v>2583329</v>
      </c>
      <c r="BZ19" s="6">
        <v>1249588</v>
      </c>
      <c r="CA19" s="6">
        <v>617175</v>
      </c>
      <c r="CB19" s="6">
        <v>646826</v>
      </c>
      <c r="CC19" s="6">
        <v>61809</v>
      </c>
      <c r="CD19" s="6">
        <v>7931</v>
      </c>
      <c r="CE19" s="189">
        <f t="shared" si="163"/>
        <v>48.371229525933394</v>
      </c>
      <c r="CF19" s="190">
        <f t="shared" si="164"/>
        <v>23.890685235988137</v>
      </c>
      <c r="CG19" s="190">
        <f t="shared" si="165"/>
        <v>25.03846780646213</v>
      </c>
      <c r="CH19" s="190">
        <f t="shared" si="166"/>
        <v>2.3926104650240059</v>
      </c>
      <c r="CI19" s="190">
        <f t="shared" si="167"/>
        <v>0.30700696659233107</v>
      </c>
      <c r="CJ19" s="199">
        <f t="shared" si="168"/>
        <v>51.628770474066606</v>
      </c>
      <c r="CK19" s="6">
        <v>2570955</v>
      </c>
      <c r="CL19" s="6">
        <v>1224278</v>
      </c>
      <c r="CM19" s="6">
        <v>615587</v>
      </c>
      <c r="CN19" s="6">
        <v>659466</v>
      </c>
      <c r="CO19" s="6">
        <v>63795</v>
      </c>
      <c r="CP19" s="6">
        <v>7829</v>
      </c>
      <c r="CQ19" s="189">
        <f t="shared" si="169"/>
        <v>47.619581050621271</v>
      </c>
      <c r="CR19" s="190">
        <f t="shared" si="170"/>
        <v>23.943904113452007</v>
      </c>
      <c r="CS19" s="190">
        <f t="shared" si="171"/>
        <v>25.650623989918142</v>
      </c>
      <c r="CT19" s="190">
        <f t="shared" si="172"/>
        <v>2.4813736529810906</v>
      </c>
      <c r="CU19" s="190">
        <f t="shared" si="173"/>
        <v>0.30451719302749369</v>
      </c>
      <c r="CV19" s="199">
        <f t="shared" si="174"/>
        <v>52.380418949378736</v>
      </c>
      <c r="CW19" s="6">
        <f t="shared" si="199"/>
        <v>2529215</v>
      </c>
      <c r="CX19" s="6">
        <v>1188917</v>
      </c>
      <c r="CY19" s="6">
        <v>607760</v>
      </c>
      <c r="CZ19" s="6">
        <v>660349</v>
      </c>
      <c r="DA19" s="6">
        <v>7551</v>
      </c>
      <c r="DB19" s="6">
        <v>64638</v>
      </c>
      <c r="DC19" s="6"/>
      <c r="DD19" s="189">
        <f t="shared" si="175"/>
        <v>47.007352083551616</v>
      </c>
      <c r="DE19" s="190">
        <f t="shared" si="176"/>
        <v>24.02959020881973</v>
      </c>
      <c r="DF19" s="190">
        <f t="shared" si="177"/>
        <v>26.108851956041697</v>
      </c>
      <c r="DG19" s="190">
        <f t="shared" si="178"/>
        <v>2.5556546201094017</v>
      </c>
      <c r="DH19" s="190">
        <f t="shared" si="179"/>
        <v>0.2985511314775533</v>
      </c>
      <c r="DI19" s="190"/>
      <c r="DJ19" s="191">
        <f t="shared" si="20"/>
        <v>52.992647916448384</v>
      </c>
      <c r="DK19" s="382">
        <v>2544915</v>
      </c>
      <c r="DL19" s="6">
        <v>1167405</v>
      </c>
      <c r="DM19" s="6">
        <v>608057</v>
      </c>
      <c r="DN19" s="6">
        <v>692458</v>
      </c>
      <c r="DO19" s="6">
        <v>9143</v>
      </c>
      <c r="DP19" s="6">
        <v>67852</v>
      </c>
      <c r="DQ19" s="6"/>
      <c r="DR19" s="189">
        <f t="shared" si="180"/>
        <v>45.872062524681574</v>
      </c>
      <c r="DS19" s="190">
        <f t="shared" si="181"/>
        <v>23.893018037930542</v>
      </c>
      <c r="DT19" s="190">
        <f t="shared" si="182"/>
        <v>27.209474579701094</v>
      </c>
      <c r="DU19" s="190">
        <f t="shared" si="183"/>
        <v>2.6661794205307445</v>
      </c>
      <c r="DV19" s="190">
        <f t="shared" si="184"/>
        <v>0.35926543715605436</v>
      </c>
      <c r="DW19" s="190"/>
      <c r="DX19" s="191">
        <f t="shared" si="185"/>
        <v>54.12793747531844</v>
      </c>
      <c r="DY19" s="382">
        <v>2643347</v>
      </c>
      <c r="DZ19" s="6">
        <v>1137860</v>
      </c>
      <c r="EA19" s="6">
        <v>607134</v>
      </c>
      <c r="EB19" s="6">
        <v>740786</v>
      </c>
      <c r="EC19" s="6">
        <v>10493</v>
      </c>
      <c r="ED19" s="6">
        <v>67880</v>
      </c>
      <c r="EE19" s="6">
        <v>79194</v>
      </c>
      <c r="EF19" s="189">
        <f t="shared" si="186"/>
        <v>43.046183493881053</v>
      </c>
      <c r="EG19" s="190">
        <f t="shared" si="187"/>
        <v>22.968380617452041</v>
      </c>
      <c r="EH19" s="190">
        <f t="shared" si="188"/>
        <v>28.024546153040063</v>
      </c>
      <c r="EI19" s="190">
        <f t="shared" si="189"/>
        <v>2.5679564582326875</v>
      </c>
      <c r="EJ19" s="190">
        <f t="shared" si="190"/>
        <v>0.39695885557212124</v>
      </c>
      <c r="EK19" s="190"/>
      <c r="EL19" s="191">
        <f t="shared" si="191"/>
        <v>53.957842084296914</v>
      </c>
      <c r="EM19" s="11">
        <v>2668156</v>
      </c>
      <c r="EN19" s="444">
        <f t="shared" si="200"/>
        <v>1131901.0000000002</v>
      </c>
      <c r="EO19" s="444">
        <f t="shared" si="201"/>
        <v>612465.00000000012</v>
      </c>
      <c r="EP19" s="444">
        <f t="shared" si="202"/>
        <v>762854</v>
      </c>
      <c r="EQ19" s="444">
        <f t="shared" si="203"/>
        <v>67758</v>
      </c>
      <c r="ER19" s="444">
        <f t="shared" si="204"/>
        <v>3008</v>
      </c>
      <c r="ES19" s="444">
        <f t="shared" si="205"/>
        <v>9887.9999999999982</v>
      </c>
      <c r="ET19" s="444">
        <f t="shared" si="206"/>
        <v>80282</v>
      </c>
      <c r="EU19" s="148">
        <v>42.422594480982376</v>
      </c>
      <c r="EV19" s="148">
        <v>22.954617346212142</v>
      </c>
      <c r="EW19" s="148">
        <v>28.591056894724296</v>
      </c>
      <c r="EX19" s="148">
        <v>2.5395066855161392</v>
      </c>
      <c r="EY19" s="148">
        <v>0.11273703636519004</v>
      </c>
      <c r="EZ19" s="148">
        <v>0.37059302379620979</v>
      </c>
      <c r="FA19" s="148">
        <v>3.0088945324036525</v>
      </c>
      <c r="FB19" s="191">
        <f t="shared" si="207"/>
        <v>57.577405519017624</v>
      </c>
      <c r="FC19">
        <v>2692162</v>
      </c>
      <c r="FD19">
        <v>1121254</v>
      </c>
      <c r="FE19" s="11">
        <v>617966</v>
      </c>
      <c r="FF19">
        <v>788088</v>
      </c>
      <c r="FG19">
        <v>69073</v>
      </c>
      <c r="FH19">
        <v>3211</v>
      </c>
      <c r="FI19" s="11">
        <v>9457</v>
      </c>
      <c r="FJ19">
        <v>83113</v>
      </c>
      <c r="FK19" s="189">
        <f t="shared" si="208"/>
        <v>41.648830939594269</v>
      </c>
      <c r="FL19" s="190">
        <f t="shared" si="209"/>
        <v>22.954265010798014</v>
      </c>
      <c r="FM19" s="190">
        <f t="shared" si="210"/>
        <v>29.273424110436146</v>
      </c>
      <c r="FN19" s="190">
        <f t="shared" si="211"/>
        <v>2.5657074128525701</v>
      </c>
      <c r="FO19" s="190">
        <f t="shared" si="212"/>
        <v>0.11927216861392442</v>
      </c>
      <c r="FP19" s="190">
        <f t="shared" si="213"/>
        <v>0.35127900921266997</v>
      </c>
      <c r="FQ19" s="190">
        <f t="shared" si="214"/>
        <v>3.0872213484924012</v>
      </c>
      <c r="FR19" s="199">
        <f t="shared" si="37"/>
        <v>58.351169060405724</v>
      </c>
      <c r="FS19" s="474">
        <v>2720744</v>
      </c>
      <c r="FT19" s="474">
        <v>1112972</v>
      </c>
      <c r="FU19" s="474">
        <v>623058</v>
      </c>
      <c r="FV19" s="474">
        <v>815243</v>
      </c>
      <c r="FW19" s="474">
        <v>70455</v>
      </c>
      <c r="FX19" s="474">
        <v>3539</v>
      </c>
      <c r="FY19" s="474">
        <v>9096</v>
      </c>
      <c r="FZ19" s="480">
        <v>86381</v>
      </c>
      <c r="GA19" s="189">
        <f t="shared" si="39"/>
        <v>40.906898995274823</v>
      </c>
      <c r="GB19" s="190">
        <f t="shared" si="40"/>
        <v>22.900280217469927</v>
      </c>
      <c r="GC19" s="190">
        <f t="shared" si="41"/>
        <v>29.963973089713697</v>
      </c>
      <c r="GD19" s="190">
        <f t="shared" si="42"/>
        <v>2.5895490351168649</v>
      </c>
      <c r="GE19" s="190">
        <f t="shared" si="43"/>
        <v>0.13007471485740665</v>
      </c>
      <c r="GF19" s="190">
        <f t="shared" si="44"/>
        <v>0.3343203182658861</v>
      </c>
      <c r="GG19" s="190">
        <f t="shared" si="45"/>
        <v>3.1749036293013968</v>
      </c>
      <c r="GH19" s="199">
        <f t="shared" si="46"/>
        <v>59.093101004725185</v>
      </c>
      <c r="GI19" s="474">
        <v>2756944</v>
      </c>
      <c r="GJ19" s="474">
        <v>1108312</v>
      </c>
      <c r="GK19" s="474">
        <v>626249</v>
      </c>
      <c r="GL19" s="474">
        <v>847428</v>
      </c>
      <c r="GM19" s="474">
        <v>71894</v>
      </c>
      <c r="GN19" s="474">
        <v>3918</v>
      </c>
      <c r="GO19" s="474">
        <v>8957</v>
      </c>
      <c r="GP19" s="480">
        <v>90186</v>
      </c>
      <c r="GQ19" s="189">
        <f t="shared" si="192"/>
        <v>40.20074401221062</v>
      </c>
      <c r="GR19" s="190">
        <f t="shared" si="193"/>
        <v>22.715332629172011</v>
      </c>
      <c r="GS19" s="190">
        <f t="shared" si="194"/>
        <v>30.737947524505394</v>
      </c>
      <c r="GT19" s="190">
        <f t="shared" si="195"/>
        <v>2.6077424858829197</v>
      </c>
      <c r="GU19" s="190">
        <f t="shared" si="196"/>
        <v>0.14211387681432774</v>
      </c>
      <c r="GV19" s="190">
        <f t="shared" si="197"/>
        <v>0.32488871736241287</v>
      </c>
      <c r="GW19" s="190">
        <f t="shared" si="198"/>
        <v>3.2712307540523131</v>
      </c>
      <c r="GX19" s="199">
        <f t="shared" si="55"/>
        <v>59.799255987789373</v>
      </c>
    </row>
    <row r="20" spans="1:206" s="11" customFormat="1">
      <c r="A20" s="106" t="s">
        <v>88</v>
      </c>
      <c r="B20" s="385">
        <v>33.700000000000003</v>
      </c>
      <c r="C20" s="244">
        <v>35.299999999999997</v>
      </c>
      <c r="D20" s="244">
        <v>35.4</v>
      </c>
      <c r="E20" s="244">
        <f>100-65.7</f>
        <v>34.299999999999997</v>
      </c>
      <c r="F20" s="244">
        <v>37.200000000000003</v>
      </c>
      <c r="G20" s="244">
        <v>37</v>
      </c>
      <c r="H20" s="52">
        <v>60.676501354144456</v>
      </c>
      <c r="I20" s="45">
        <v>37.908153242474967</v>
      </c>
      <c r="J20" s="45">
        <v>0.57800896270687852</v>
      </c>
      <c r="K20" s="45">
        <v>0.78956779873031113</v>
      </c>
      <c r="L20" s="48">
        <v>0.05</v>
      </c>
      <c r="M20" s="264">
        <f t="shared" si="153"/>
        <v>39.325730003912156</v>
      </c>
      <c r="N20" s="251">
        <f>100-60.7</f>
        <v>39.299999999999997</v>
      </c>
      <c r="O20" s="253">
        <f>(($R20-$N20)/5)+N20</f>
        <v>39.46991004643391</v>
      </c>
      <c r="P20" s="253">
        <f>(($R20-$N20)/5)+O20</f>
        <v>39.639820092867822</v>
      </c>
      <c r="Q20" s="253">
        <f>(($R20-$N20)/5)+P20</f>
        <v>39.809730139301735</v>
      </c>
      <c r="R20" s="134">
        <v>40.149550232169574</v>
      </c>
      <c r="S20" s="52">
        <v>59.889792310232949</v>
      </c>
      <c r="T20" s="45">
        <v>37.010484868502004</v>
      </c>
      <c r="U20" s="45">
        <v>1.5363019952983232</v>
      </c>
      <c r="V20" s="45">
        <v>1.4110696638236417</v>
      </c>
      <c r="W20" s="45">
        <v>0.15235116214308381</v>
      </c>
      <c r="X20" s="261">
        <f t="shared" si="154"/>
        <v>40.110207689767051</v>
      </c>
      <c r="Y20" s="52">
        <v>59.1</v>
      </c>
      <c r="Z20" s="45">
        <v>37.5</v>
      </c>
      <c r="AA20" s="45">
        <v>1.8</v>
      </c>
      <c r="AB20" s="45">
        <v>1.5</v>
      </c>
      <c r="AC20" s="45">
        <v>0.1</v>
      </c>
      <c r="AD20" s="261">
        <f t="shared" si="155"/>
        <v>40.9</v>
      </c>
      <c r="AE20" s="52">
        <v>58.2</v>
      </c>
      <c r="AF20" s="45">
        <v>37.799999999999997</v>
      </c>
      <c r="AG20" s="45">
        <v>2.2000000000000002</v>
      </c>
      <c r="AH20" s="45">
        <v>1.6</v>
      </c>
      <c r="AI20" s="45">
        <v>0.1</v>
      </c>
      <c r="AJ20" s="261">
        <f t="shared" si="156"/>
        <v>41.7</v>
      </c>
      <c r="AK20" s="257">
        <f>100-57.9</f>
        <v>42.1</v>
      </c>
      <c r="AL20" s="257">
        <f>100-57.1</f>
        <v>42.9</v>
      </c>
      <c r="AM20" s="257">
        <f>100-56.4</f>
        <v>43.6</v>
      </c>
      <c r="AN20" s="258">
        <f>100-55.5</f>
        <v>44.5</v>
      </c>
      <c r="AO20" s="77">
        <v>54.667781363478127</v>
      </c>
      <c r="AP20" s="68">
        <v>38.188862213369859</v>
      </c>
      <c r="AQ20" s="68">
        <v>4.7586849807292637</v>
      </c>
      <c r="AR20" s="68">
        <v>2.2234187372875081</v>
      </c>
      <c r="AS20" s="68">
        <v>0.1612527051352412</v>
      </c>
      <c r="AT20" s="261">
        <f t="shared" si="157"/>
        <v>45.332218636521873</v>
      </c>
      <c r="AU20" s="68">
        <v>53.803665629925604</v>
      </c>
      <c r="AV20" s="68">
        <v>38.170884122086122</v>
      </c>
      <c r="AW20" s="68">
        <v>5.49259707037917</v>
      </c>
      <c r="AX20" s="68">
        <v>2.3671423345305493</v>
      </c>
      <c r="AY20" s="68">
        <v>0.1657108430785634</v>
      </c>
      <c r="AZ20" s="261">
        <f t="shared" si="158"/>
        <v>46.196334370074403</v>
      </c>
      <c r="BA20" s="68">
        <v>52.961072504766008</v>
      </c>
      <c r="BB20" s="68">
        <v>38.216337836862266</v>
      </c>
      <c r="BC20" s="68">
        <v>6.2056320403847032</v>
      </c>
      <c r="BD20" s="68">
        <v>2.4616112704978304</v>
      </c>
      <c r="BE20" s="68">
        <v>0.15534634748919127</v>
      </c>
      <c r="BF20" s="261">
        <f t="shared" si="159"/>
        <v>47.038927495233992</v>
      </c>
      <c r="BG20" s="68">
        <v>52.107399723238565</v>
      </c>
      <c r="BH20" s="68">
        <v>38.261184242068396</v>
      </c>
      <c r="BI20" s="68">
        <v>6.9470140436395118</v>
      </c>
      <c r="BJ20" s="68">
        <v>2.5276974880649097</v>
      </c>
      <c r="BK20" s="68">
        <v>0.15670450298861627</v>
      </c>
      <c r="BL20" s="199">
        <f t="shared" si="160"/>
        <v>47.892600276761435</v>
      </c>
      <c r="BM20" s="68">
        <v>50.465607817814288</v>
      </c>
      <c r="BN20" s="68">
        <v>38.85223575349346</v>
      </c>
      <c r="BO20" s="68">
        <v>7.8663925744982377</v>
      </c>
      <c r="BP20" s="68">
        <v>2.6620642352505963</v>
      </c>
      <c r="BQ20" s="68">
        <v>0.15369961894342868</v>
      </c>
      <c r="BR20" s="199">
        <f t="shared" si="161"/>
        <v>49.534392182185719</v>
      </c>
      <c r="BS20" s="68">
        <v>49.153957539480487</v>
      </c>
      <c r="BT20" s="68">
        <v>39.228653988962265</v>
      </c>
      <c r="BU20" s="68">
        <v>8.6579392552671628</v>
      </c>
      <c r="BV20" s="68">
        <v>2.8094535128750051</v>
      </c>
      <c r="BW20" s="68">
        <v>0.14999570341507959</v>
      </c>
      <c r="BX20" s="199">
        <f t="shared" si="162"/>
        <v>50.846042460519513</v>
      </c>
      <c r="BY20" s="6">
        <v>1584905</v>
      </c>
      <c r="BZ20" s="6">
        <v>764544</v>
      </c>
      <c r="CA20" s="6">
        <v>621401</v>
      </c>
      <c r="CB20" s="6">
        <v>149947</v>
      </c>
      <c r="CC20" s="6">
        <v>46672</v>
      </c>
      <c r="CD20" s="6">
        <v>2341</v>
      </c>
      <c r="CE20" s="189">
        <f t="shared" si="163"/>
        <v>48.239105813913135</v>
      </c>
      <c r="CF20" s="190">
        <f t="shared" si="164"/>
        <v>39.20746038406088</v>
      </c>
      <c r="CG20" s="190">
        <f t="shared" si="165"/>
        <v>9.4609456087273358</v>
      </c>
      <c r="CH20" s="190">
        <f t="shared" si="166"/>
        <v>2.9447821793735272</v>
      </c>
      <c r="CI20" s="190">
        <f t="shared" si="167"/>
        <v>0.14770601392512483</v>
      </c>
      <c r="CJ20" s="199">
        <f t="shared" si="168"/>
        <v>51.760894186086865</v>
      </c>
      <c r="CK20" s="6">
        <v>1600235</v>
      </c>
      <c r="CL20" s="6">
        <v>760668</v>
      </c>
      <c r="CM20" s="6">
        <v>627245</v>
      </c>
      <c r="CN20" s="6">
        <v>160243</v>
      </c>
      <c r="CO20" s="6">
        <v>49531</v>
      </c>
      <c r="CP20" s="6">
        <v>2548</v>
      </c>
      <c r="CQ20" s="189">
        <f t="shared" si="169"/>
        <v>47.5347683309014</v>
      </c>
      <c r="CR20" s="190">
        <f t="shared" si="170"/>
        <v>39.197055432483353</v>
      </c>
      <c r="CS20" s="190">
        <f t="shared" si="171"/>
        <v>10.013716735354494</v>
      </c>
      <c r="CT20" s="190">
        <f t="shared" si="172"/>
        <v>3.0952328876696233</v>
      </c>
      <c r="CU20" s="190">
        <f t="shared" si="173"/>
        <v>0.1592266135911288</v>
      </c>
      <c r="CV20" s="199">
        <f t="shared" si="174"/>
        <v>52.4652316690986</v>
      </c>
      <c r="CW20" s="6">
        <f t="shared" si="199"/>
        <v>1602135</v>
      </c>
      <c r="CX20" s="6">
        <v>756371</v>
      </c>
      <c r="CY20" s="6">
        <v>624668</v>
      </c>
      <c r="CZ20" s="6">
        <v>166276</v>
      </c>
      <c r="DA20" s="6">
        <v>2615</v>
      </c>
      <c r="DB20" s="6">
        <v>52205</v>
      </c>
      <c r="DC20" s="6"/>
      <c r="DD20" s="189">
        <f t="shared" si="175"/>
        <v>47.210191400849496</v>
      </c>
      <c r="DE20" s="190">
        <f t="shared" si="176"/>
        <v>38.989723088254117</v>
      </c>
      <c r="DF20" s="190">
        <f t="shared" si="177"/>
        <v>10.378401320737641</v>
      </c>
      <c r="DG20" s="190">
        <f t="shared" si="178"/>
        <v>3.258464486450892</v>
      </c>
      <c r="DH20" s="190">
        <f t="shared" si="179"/>
        <v>0.16321970370786482</v>
      </c>
      <c r="DI20" s="190"/>
      <c r="DJ20" s="191">
        <f t="shared" si="20"/>
        <v>52.789808599150518</v>
      </c>
      <c r="DK20" s="382">
        <v>1667685</v>
      </c>
      <c r="DL20" s="6">
        <v>749829</v>
      </c>
      <c r="DM20" s="6">
        <v>623586</v>
      </c>
      <c r="DN20" s="6">
        <v>188411</v>
      </c>
      <c r="DO20" s="6">
        <v>4445</v>
      </c>
      <c r="DP20" s="6">
        <v>55029</v>
      </c>
      <c r="DQ20" s="6">
        <v>46385</v>
      </c>
      <c r="DR20" s="189">
        <f t="shared" si="180"/>
        <v>44.962268054218875</v>
      </c>
      <c r="DS20" s="190">
        <f t="shared" si="181"/>
        <v>37.392313296575793</v>
      </c>
      <c r="DT20" s="190">
        <f t="shared" si="182"/>
        <v>11.297757070429967</v>
      </c>
      <c r="DU20" s="190">
        <f t="shared" si="183"/>
        <v>3.2997238687162147</v>
      </c>
      <c r="DV20" s="190">
        <f t="shared" si="184"/>
        <v>0.2665371458039138</v>
      </c>
      <c r="DW20" s="190"/>
      <c r="DX20" s="191">
        <f t="shared" si="185"/>
        <v>52.256331381525889</v>
      </c>
      <c r="DY20" s="382">
        <v>1677067</v>
      </c>
      <c r="DZ20" s="6">
        <v>745145</v>
      </c>
      <c r="EA20" s="6">
        <v>621222</v>
      </c>
      <c r="EB20" s="6">
        <v>200086</v>
      </c>
      <c r="EC20" s="6">
        <v>3959</v>
      </c>
      <c r="ED20" s="6">
        <v>56780</v>
      </c>
      <c r="EE20" s="6">
        <v>49875</v>
      </c>
      <c r="EF20" s="189">
        <f t="shared" si="186"/>
        <v>44.431438934759313</v>
      </c>
      <c r="EG20" s="190">
        <f t="shared" si="187"/>
        <v>37.042169454172075</v>
      </c>
      <c r="EH20" s="190">
        <f t="shared" si="188"/>
        <v>11.930709983560584</v>
      </c>
      <c r="EI20" s="190">
        <f t="shared" si="189"/>
        <v>3.3856727250610739</v>
      </c>
      <c r="EJ20" s="190">
        <f t="shared" si="190"/>
        <v>0.23606689535957714</v>
      </c>
      <c r="EK20" s="190"/>
      <c r="EL20" s="191">
        <f t="shared" si="191"/>
        <v>52.594619058153306</v>
      </c>
      <c r="EM20" s="11">
        <v>1685016</v>
      </c>
      <c r="EN20" s="444">
        <f t="shared" si="200"/>
        <v>743258</v>
      </c>
      <c r="EO20" s="444">
        <f t="shared" si="201"/>
        <v>623601</v>
      </c>
      <c r="EP20" s="444">
        <f t="shared" si="202"/>
        <v>205317</v>
      </c>
      <c r="EQ20" s="444">
        <f t="shared" si="203"/>
        <v>57165</v>
      </c>
      <c r="ER20" s="444">
        <f t="shared" si="204"/>
        <v>1802.9999999999998</v>
      </c>
      <c r="ES20" s="444">
        <f t="shared" si="205"/>
        <v>3731.9999999999995</v>
      </c>
      <c r="ET20" s="444">
        <f t="shared" si="206"/>
        <v>50140.000000000007</v>
      </c>
      <c r="EU20" s="148">
        <v>44.109848215091134</v>
      </c>
      <c r="EV20" s="148">
        <v>37.008610007264025</v>
      </c>
      <c r="EW20" s="148">
        <v>12.18486946118019</v>
      </c>
      <c r="EX20" s="148">
        <v>3.392549388255067</v>
      </c>
      <c r="EY20" s="148">
        <v>0.10700195131678274</v>
      </c>
      <c r="EZ20" s="148">
        <v>0.22148157643606942</v>
      </c>
      <c r="FA20" s="148">
        <v>2.9756394004567319</v>
      </c>
      <c r="FB20" s="191">
        <f t="shared" si="207"/>
        <v>55.890151784908866</v>
      </c>
      <c r="FC20">
        <v>1703332</v>
      </c>
      <c r="FD20">
        <v>740789</v>
      </c>
      <c r="FE20" s="11">
        <v>628849</v>
      </c>
      <c r="FF20">
        <v>217122</v>
      </c>
      <c r="FG20">
        <v>59067</v>
      </c>
      <c r="FH20">
        <v>1869</v>
      </c>
      <c r="FI20" s="11">
        <v>3576</v>
      </c>
      <c r="FJ20">
        <v>52060</v>
      </c>
      <c r="FK20" s="189">
        <f t="shared" si="208"/>
        <v>43.490581988713885</v>
      </c>
      <c r="FL20" s="190">
        <f t="shared" si="209"/>
        <v>36.918756883567035</v>
      </c>
      <c r="FM20" s="190">
        <f t="shared" si="210"/>
        <v>12.746898432014428</v>
      </c>
      <c r="FN20" s="190">
        <f t="shared" si="211"/>
        <v>3.4677326557594172</v>
      </c>
      <c r="FO20" s="190">
        <f t="shared" si="212"/>
        <v>0.10972611328854268</v>
      </c>
      <c r="FP20" s="190">
        <f t="shared" si="213"/>
        <v>0.20994145592286179</v>
      </c>
      <c r="FQ20" s="190">
        <f t="shared" si="214"/>
        <v>3.0563624707338324</v>
      </c>
      <c r="FR20" s="199">
        <f t="shared" si="37"/>
        <v>56.509418011286115</v>
      </c>
      <c r="FS20" s="474">
        <v>1723909</v>
      </c>
      <c r="FT20" s="474">
        <v>736619</v>
      </c>
      <c r="FU20" s="474">
        <v>637740</v>
      </c>
      <c r="FV20" s="474">
        <v>228901</v>
      </c>
      <c r="FW20" s="474">
        <v>61100</v>
      </c>
      <c r="FX20" s="474">
        <v>2005</v>
      </c>
      <c r="FY20" s="474">
        <v>3733</v>
      </c>
      <c r="FZ20" s="480">
        <v>53811</v>
      </c>
      <c r="GA20" s="189">
        <f t="shared" si="39"/>
        <v>42.729575633052555</v>
      </c>
      <c r="GB20" s="190">
        <f t="shared" si="40"/>
        <v>36.993832041018408</v>
      </c>
      <c r="GC20" s="190">
        <f t="shared" si="41"/>
        <v>13.278021055635767</v>
      </c>
      <c r="GD20" s="190">
        <f t="shared" si="42"/>
        <v>3.544270608251364</v>
      </c>
      <c r="GE20" s="190">
        <f t="shared" si="43"/>
        <v>0.11630544303672641</v>
      </c>
      <c r="GF20" s="190">
        <f t="shared" si="44"/>
        <v>0.21654275254668318</v>
      </c>
      <c r="GG20" s="190">
        <f t="shared" si="45"/>
        <v>3.1214524664584964</v>
      </c>
      <c r="GH20" s="199">
        <f t="shared" si="46"/>
        <v>57.270424366947452</v>
      </c>
      <c r="GI20" s="474">
        <v>1744437</v>
      </c>
      <c r="GJ20" s="474">
        <v>730041</v>
      </c>
      <c r="GK20" s="474">
        <v>644467</v>
      </c>
      <c r="GL20" s="474">
        <v>244113</v>
      </c>
      <c r="GM20" s="474">
        <v>63491</v>
      </c>
      <c r="GN20" s="474">
        <v>2010</v>
      </c>
      <c r="GO20" s="474">
        <v>3592</v>
      </c>
      <c r="GP20" s="480">
        <v>56723</v>
      </c>
      <c r="GQ20" s="189">
        <f t="shared" si="192"/>
        <v>41.849662670534968</v>
      </c>
      <c r="GR20" s="190">
        <f t="shared" si="193"/>
        <v>36.94412581251143</v>
      </c>
      <c r="GS20" s="190">
        <f t="shared" si="194"/>
        <v>13.993798572261424</v>
      </c>
      <c r="GT20" s="190">
        <f t="shared" si="195"/>
        <v>3.6396269971343189</v>
      </c>
      <c r="GU20" s="190">
        <f t="shared" si="196"/>
        <v>0.11522342165409241</v>
      </c>
      <c r="GV20" s="190">
        <f t="shared" si="197"/>
        <v>0.20591170675696513</v>
      </c>
      <c r="GW20" s="190">
        <f t="shared" si="198"/>
        <v>3.2516508191468079</v>
      </c>
      <c r="GX20" s="199">
        <f t="shared" si="55"/>
        <v>58.150337329465046</v>
      </c>
    </row>
    <row r="21" spans="1:206" s="11" customFormat="1">
      <c r="A21" s="106" t="s">
        <v>89</v>
      </c>
      <c r="B21" s="385">
        <v>9.5</v>
      </c>
      <c r="C21" s="244">
        <v>10.1</v>
      </c>
      <c r="D21" s="244">
        <v>8.6999999999999993</v>
      </c>
      <c r="E21" s="244">
        <f>100-90.9</f>
        <v>9.0999999999999943</v>
      </c>
      <c r="F21" s="244">
        <v>12.2</v>
      </c>
      <c r="G21" s="244">
        <v>11</v>
      </c>
      <c r="H21" s="52">
        <v>89.162144442601331</v>
      </c>
      <c r="I21" s="45">
        <v>10.180336026920068</v>
      </c>
      <c r="J21" s="45">
        <v>0.14202548243639265</v>
      </c>
      <c r="K21" s="45">
        <v>0.48516157570874507</v>
      </c>
      <c r="L21" s="48">
        <v>0.05</v>
      </c>
      <c r="M21" s="264">
        <f t="shared" si="153"/>
        <v>10.857523085065207</v>
      </c>
      <c r="N21" s="251">
        <f>100-89.2</f>
        <v>10.799999999999997</v>
      </c>
      <c r="O21" s="252">
        <f>100-90</f>
        <v>10</v>
      </c>
      <c r="P21" s="247">
        <f>100-89.8</f>
        <v>10.200000000000003</v>
      </c>
      <c r="Q21" s="247">
        <f>100-89.8</f>
        <v>10.200000000000003</v>
      </c>
      <c r="R21" s="134">
        <v>10.227831963966835</v>
      </c>
      <c r="S21" s="52">
        <v>89.273752625820393</v>
      </c>
      <c r="T21" s="45">
        <v>9.8420287339205821</v>
      </c>
      <c r="U21" s="45">
        <v>0.28858144383093459</v>
      </c>
      <c r="V21" s="45">
        <v>0.53782535089242056</v>
      </c>
      <c r="W21" s="45">
        <v>5.7811845535667358E-2</v>
      </c>
      <c r="X21" s="261">
        <f t="shared" si="154"/>
        <v>10.726247374179605</v>
      </c>
      <c r="Y21" s="52">
        <v>89.3</v>
      </c>
      <c r="Z21" s="45">
        <v>9.6999999999999993</v>
      </c>
      <c r="AA21" s="45">
        <v>0.3</v>
      </c>
      <c r="AB21" s="45">
        <v>0.6</v>
      </c>
      <c r="AC21" s="45">
        <v>0.1</v>
      </c>
      <c r="AD21" s="261">
        <f t="shared" si="155"/>
        <v>10.7</v>
      </c>
      <c r="AE21" s="52">
        <v>89.1</v>
      </c>
      <c r="AF21" s="45">
        <v>9.8000000000000007</v>
      </c>
      <c r="AG21" s="45">
        <v>0.4</v>
      </c>
      <c r="AH21" s="45">
        <v>0.6</v>
      </c>
      <c r="AI21" s="45">
        <v>0.1</v>
      </c>
      <c r="AJ21" s="261">
        <f t="shared" si="156"/>
        <v>10.9</v>
      </c>
      <c r="AK21" s="257">
        <f>100-88.9</f>
        <v>11.099999999999994</v>
      </c>
      <c r="AL21" s="257">
        <f>100-88.6</f>
        <v>11.400000000000006</v>
      </c>
      <c r="AM21" s="257">
        <f>100-88.4</f>
        <v>11.599999999999994</v>
      </c>
      <c r="AN21" s="258">
        <f>100-88.1</f>
        <v>11.900000000000006</v>
      </c>
      <c r="AO21" s="77">
        <v>87.535971026654039</v>
      </c>
      <c r="AP21" s="68">
        <v>10.661617335344332</v>
      </c>
      <c r="AQ21" s="68">
        <v>0.96998944070025162</v>
      </c>
      <c r="AR21" s="68">
        <v>0.64322824464509365</v>
      </c>
      <c r="AS21" s="68">
        <v>0.18919395265627997</v>
      </c>
      <c r="AT21" s="261">
        <f t="shared" si="157"/>
        <v>12.464028973345957</v>
      </c>
      <c r="AU21" s="68">
        <v>87.727910012926955</v>
      </c>
      <c r="AV21" s="68">
        <v>10.259246634810179</v>
      </c>
      <c r="AW21" s="68">
        <v>1.112618899086109</v>
      </c>
      <c r="AX21" s="68">
        <v>0.68927705496851865</v>
      </c>
      <c r="AY21" s="68">
        <v>0.21094739820823336</v>
      </c>
      <c r="AZ21" s="261">
        <f t="shared" si="158"/>
        <v>12.27208998707304</v>
      </c>
      <c r="BA21" s="68">
        <v>86.855574153048963</v>
      </c>
      <c r="BB21" s="68">
        <v>10.778895308891585</v>
      </c>
      <c r="BC21" s="68">
        <v>1.4098446991594806</v>
      </c>
      <c r="BD21" s="68">
        <v>0.76787805963237499</v>
      </c>
      <c r="BE21" s="68">
        <v>0.18780777926759507</v>
      </c>
      <c r="BF21" s="261">
        <f t="shared" si="159"/>
        <v>13.144425846951036</v>
      </c>
      <c r="BG21" s="68">
        <v>86.972561569104116</v>
      </c>
      <c r="BH21" s="68">
        <v>10.421602561363359</v>
      </c>
      <c r="BI21" s="68">
        <v>1.5369129747361325</v>
      </c>
      <c r="BJ21" s="68">
        <v>0.83184168419453319</v>
      </c>
      <c r="BK21" s="68">
        <v>0.2370812106018666</v>
      </c>
      <c r="BL21" s="199">
        <f t="shared" si="160"/>
        <v>13.027438430895891</v>
      </c>
      <c r="BM21" s="68">
        <v>86.649133274714231</v>
      </c>
      <c r="BN21" s="68">
        <v>10.480310262529834</v>
      </c>
      <c r="BO21" s="68">
        <v>1.8216932546162543</v>
      </c>
      <c r="BP21" s="68">
        <v>0.86327094586107278</v>
      </c>
      <c r="BQ21" s="68">
        <v>0.1855922622786082</v>
      </c>
      <c r="BR21" s="199">
        <f t="shared" si="161"/>
        <v>13.350866725285769</v>
      </c>
      <c r="BS21" s="68">
        <v>86.276184139380732</v>
      </c>
      <c r="BT21" s="68">
        <v>10.586471742243511</v>
      </c>
      <c r="BU21" s="68">
        <v>2.0501657179631416</v>
      </c>
      <c r="BV21" s="68">
        <v>0.91483795167299575</v>
      </c>
      <c r="BW21" s="68">
        <v>0.17234044873962412</v>
      </c>
      <c r="BX21" s="199">
        <f t="shared" si="162"/>
        <v>13.72381586061927</v>
      </c>
      <c r="BY21" s="6">
        <v>635178</v>
      </c>
      <c r="BZ21" s="6">
        <v>544862</v>
      </c>
      <c r="CA21" s="6">
        <v>68254</v>
      </c>
      <c r="CB21" s="6">
        <v>14965</v>
      </c>
      <c r="CC21" s="6">
        <v>6183</v>
      </c>
      <c r="CD21" s="2">
        <v>914</v>
      </c>
      <c r="CE21" s="189">
        <f t="shared" si="163"/>
        <v>85.780993674214159</v>
      </c>
      <c r="CF21" s="190">
        <f t="shared" si="164"/>
        <v>10.745649251076077</v>
      </c>
      <c r="CG21" s="190">
        <f t="shared" si="165"/>
        <v>2.356032482233327</v>
      </c>
      <c r="CH21" s="190">
        <f t="shared" si="166"/>
        <v>0.97342792099222586</v>
      </c>
      <c r="CI21" s="190">
        <f t="shared" si="167"/>
        <v>0.14389667148421387</v>
      </c>
      <c r="CJ21" s="199">
        <f t="shared" si="168"/>
        <v>14.219006325785845</v>
      </c>
      <c r="CK21" s="6">
        <v>654134</v>
      </c>
      <c r="CL21" s="6">
        <v>557524</v>
      </c>
      <c r="CM21" s="6">
        <v>71078</v>
      </c>
      <c r="CN21" s="6">
        <v>17754</v>
      </c>
      <c r="CO21" s="6">
        <v>6898</v>
      </c>
      <c r="CP21" s="2">
        <v>880</v>
      </c>
      <c r="CQ21" s="189">
        <f t="shared" si="169"/>
        <v>85.230854840139784</v>
      </c>
      <c r="CR21" s="190">
        <f t="shared" si="170"/>
        <v>10.865969357960296</v>
      </c>
      <c r="CS21" s="190">
        <f t="shared" si="171"/>
        <v>2.714122794412154</v>
      </c>
      <c r="CT21" s="190">
        <f t="shared" si="172"/>
        <v>1.054523996612315</v>
      </c>
      <c r="CU21" s="190">
        <f t="shared" si="173"/>
        <v>0.13452901087544752</v>
      </c>
      <c r="CV21" s="199">
        <f t="shared" si="174"/>
        <v>14.769145159860212</v>
      </c>
      <c r="CW21" s="6">
        <f t="shared" si="199"/>
        <v>655484</v>
      </c>
      <c r="CX21" s="6">
        <v>555503</v>
      </c>
      <c r="CY21" s="6">
        <v>72118</v>
      </c>
      <c r="CZ21" s="6">
        <v>19502</v>
      </c>
      <c r="DA21" s="6">
        <v>871</v>
      </c>
      <c r="DB21" s="6">
        <v>7490</v>
      </c>
      <c r="DC21" s="6"/>
      <c r="DD21" s="189">
        <f t="shared" si="175"/>
        <v>84.74699611279604</v>
      </c>
      <c r="DE21" s="190">
        <f t="shared" si="176"/>
        <v>11.002251771210281</v>
      </c>
      <c r="DF21" s="190">
        <f t="shared" si="177"/>
        <v>2.9752061072428924</v>
      </c>
      <c r="DG21" s="190">
        <f t="shared" si="178"/>
        <v>1.1426670979001776</v>
      </c>
      <c r="DH21" s="190">
        <f t="shared" si="179"/>
        <v>0.1328789108506081</v>
      </c>
      <c r="DI21" s="190"/>
      <c r="DJ21" s="191">
        <f t="shared" si="20"/>
        <v>15.25300388720396</v>
      </c>
      <c r="DK21" s="382">
        <v>663653</v>
      </c>
      <c r="DL21" s="6">
        <v>559614</v>
      </c>
      <c r="DM21" s="6">
        <v>72890</v>
      </c>
      <c r="DN21" s="6">
        <v>21862</v>
      </c>
      <c r="DO21" s="6">
        <v>926</v>
      </c>
      <c r="DP21" s="6">
        <v>8361</v>
      </c>
      <c r="DQ21" s="6"/>
      <c r="DR21" s="189">
        <f t="shared" si="180"/>
        <v>84.323283402621556</v>
      </c>
      <c r="DS21" s="190">
        <f t="shared" si="181"/>
        <v>10.983149326530581</v>
      </c>
      <c r="DT21" s="190">
        <f t="shared" si="182"/>
        <v>3.2941913921883876</v>
      </c>
      <c r="DU21" s="190">
        <f t="shared" si="183"/>
        <v>1.2598451299097571</v>
      </c>
      <c r="DV21" s="190">
        <f t="shared" si="184"/>
        <v>0.13953074874972313</v>
      </c>
      <c r="DW21" s="190"/>
      <c r="DX21" s="191">
        <f t="shared" si="185"/>
        <v>15.67671659737845</v>
      </c>
      <c r="DY21" s="382">
        <v>673128</v>
      </c>
      <c r="DZ21" s="6">
        <v>551461</v>
      </c>
      <c r="EA21" s="6">
        <v>72915</v>
      </c>
      <c r="EB21" s="6">
        <v>26188</v>
      </c>
      <c r="EC21" s="6">
        <v>941</v>
      </c>
      <c r="ED21" s="6">
        <v>9543</v>
      </c>
      <c r="EE21" s="6">
        <v>12080</v>
      </c>
      <c r="EF21" s="189">
        <f t="shared" si="186"/>
        <v>81.925131624297308</v>
      </c>
      <c r="EG21" s="190">
        <f t="shared" si="187"/>
        <v>10.832263700217492</v>
      </c>
      <c r="EH21" s="190">
        <f t="shared" si="188"/>
        <v>3.8904933385626506</v>
      </c>
      <c r="EI21" s="190">
        <f t="shared" si="189"/>
        <v>1.4177095589546118</v>
      </c>
      <c r="EJ21" s="190">
        <f t="shared" si="190"/>
        <v>0.13979510583425442</v>
      </c>
      <c r="EK21" s="190"/>
      <c r="EL21" s="191">
        <f t="shared" si="191"/>
        <v>16.280261703569007</v>
      </c>
      <c r="EM21" s="11">
        <v>681987</v>
      </c>
      <c r="EN21" s="444">
        <f t="shared" si="200"/>
        <v>553405.99999999988</v>
      </c>
      <c r="EO21" s="444">
        <f t="shared" si="201"/>
        <v>73380</v>
      </c>
      <c r="EP21" s="444">
        <f t="shared" si="202"/>
        <v>29457</v>
      </c>
      <c r="EQ21" s="444">
        <f t="shared" si="203"/>
        <v>9344</v>
      </c>
      <c r="ER21" s="444">
        <f t="shared" si="204"/>
        <v>531</v>
      </c>
      <c r="ES21" s="444">
        <f t="shared" si="205"/>
        <v>960.00000000000011</v>
      </c>
      <c r="ET21" s="444">
        <f t="shared" si="206"/>
        <v>14909</v>
      </c>
      <c r="EU21" s="148">
        <v>81.146121553636647</v>
      </c>
      <c r="EV21" s="148">
        <v>10.759735889393786</v>
      </c>
      <c r="EW21" s="148">
        <v>4.3192905436613893</v>
      </c>
      <c r="EX21" s="148">
        <v>1.3701140930838858</v>
      </c>
      <c r="EY21" s="148">
        <v>7.7860721685310719E-2</v>
      </c>
      <c r="EZ21" s="148">
        <v>0.14076514654971431</v>
      </c>
      <c r="FA21" s="148">
        <v>2.186112051989261</v>
      </c>
      <c r="FB21" s="191">
        <f t="shared" si="207"/>
        <v>18.85387844636335</v>
      </c>
      <c r="FC21">
        <v>685167</v>
      </c>
      <c r="FD21">
        <v>550446</v>
      </c>
      <c r="FE21" s="11">
        <v>73391</v>
      </c>
      <c r="FF21">
        <v>32811</v>
      </c>
      <c r="FG21">
        <v>9670</v>
      </c>
      <c r="FH21">
        <v>594</v>
      </c>
      <c r="FI21" s="11">
        <v>905</v>
      </c>
      <c r="FJ21">
        <v>17350</v>
      </c>
      <c r="FK21" s="189">
        <f t="shared" si="208"/>
        <v>80.337494362688219</v>
      </c>
      <c r="FL21" s="190">
        <f t="shared" si="209"/>
        <v>10.711403205349937</v>
      </c>
      <c r="FM21" s="190">
        <f t="shared" si="210"/>
        <v>4.7887595286988427</v>
      </c>
      <c r="FN21" s="190">
        <f t="shared" si="211"/>
        <v>1.4113347548845756</v>
      </c>
      <c r="FO21" s="190">
        <f t="shared" si="212"/>
        <v>8.669419280263059E-2</v>
      </c>
      <c r="FP21" s="190">
        <f t="shared" si="213"/>
        <v>0.13208458667740855</v>
      </c>
      <c r="FQ21" s="190">
        <f t="shared" si="214"/>
        <v>2.5322293688983857</v>
      </c>
      <c r="FR21" s="199">
        <f t="shared" si="37"/>
        <v>19.662505637311778</v>
      </c>
      <c r="FS21" s="474">
        <v>677389</v>
      </c>
      <c r="FT21" s="474">
        <v>537068</v>
      </c>
      <c r="FU21" s="474">
        <v>72929</v>
      </c>
      <c r="FV21" s="474">
        <v>35812</v>
      </c>
      <c r="FW21" s="474">
        <v>9944</v>
      </c>
      <c r="FX21" s="474">
        <v>632</v>
      </c>
      <c r="FY21" s="474">
        <v>865</v>
      </c>
      <c r="FZ21" s="480">
        <v>20139</v>
      </c>
      <c r="GA21" s="189">
        <f t="shared" si="39"/>
        <v>79.285019390630779</v>
      </c>
      <c r="GB21" s="190">
        <f t="shared" si="40"/>
        <v>10.766191951744124</v>
      </c>
      <c r="GC21" s="190">
        <f t="shared" si="41"/>
        <v>5.2867702309898741</v>
      </c>
      <c r="GD21" s="190">
        <f t="shared" si="42"/>
        <v>1.4679895894382697</v>
      </c>
      <c r="GE21" s="190">
        <f t="shared" si="43"/>
        <v>9.3299418797766126E-2</v>
      </c>
      <c r="GF21" s="190">
        <f t="shared" si="44"/>
        <v>0.12769619819630967</v>
      </c>
      <c r="GG21" s="190">
        <f t="shared" si="45"/>
        <v>2.9730332202028675</v>
      </c>
      <c r="GH21" s="199">
        <f t="shared" si="46"/>
        <v>20.714980609369213</v>
      </c>
      <c r="GI21" s="474">
        <v>688640</v>
      </c>
      <c r="GJ21" s="474">
        <v>543681</v>
      </c>
      <c r="GK21" s="474">
        <v>72819</v>
      </c>
      <c r="GL21" s="474">
        <v>38547</v>
      </c>
      <c r="GM21" s="474">
        <v>10450</v>
      </c>
      <c r="GN21" s="474">
        <v>674</v>
      </c>
      <c r="GO21" s="474">
        <v>856</v>
      </c>
      <c r="GP21" s="480">
        <v>21613</v>
      </c>
      <c r="GQ21" s="189">
        <f t="shared" si="192"/>
        <v>78.949959340148695</v>
      </c>
      <c r="GR21" s="190">
        <f t="shared" si="193"/>
        <v>10.574320399628252</v>
      </c>
      <c r="GS21" s="190">
        <f t="shared" si="194"/>
        <v>5.5975546003717476</v>
      </c>
      <c r="GT21" s="190">
        <f t="shared" si="195"/>
        <v>1.5174837360594795</v>
      </c>
      <c r="GU21" s="190">
        <f t="shared" si="196"/>
        <v>9.7874070631970261E-2</v>
      </c>
      <c r="GV21" s="190">
        <f t="shared" si="197"/>
        <v>0.12430297397769516</v>
      </c>
      <c r="GW21" s="190">
        <f t="shared" si="198"/>
        <v>3.1385048791821557</v>
      </c>
      <c r="GX21" s="199">
        <f t="shared" si="55"/>
        <v>21.050040659851298</v>
      </c>
    </row>
    <row r="22" spans="1:206" s="11" customFormat="1">
      <c r="A22" s="106" t="s">
        <v>90</v>
      </c>
      <c r="B22" s="385">
        <v>41</v>
      </c>
      <c r="C22" s="244">
        <v>42</v>
      </c>
      <c r="D22" s="244">
        <v>42.3</v>
      </c>
      <c r="E22" s="244">
        <v>0.59375</v>
      </c>
      <c r="F22" s="244">
        <v>43.4</v>
      </c>
      <c r="G22" s="244">
        <v>44</v>
      </c>
      <c r="H22" s="52">
        <v>56.503340360764049</v>
      </c>
      <c r="I22" s="45">
        <v>41.251103069266392</v>
      </c>
      <c r="J22" s="45">
        <v>0.79077668791849876</v>
      </c>
      <c r="K22" s="45">
        <v>1.1075196899453488</v>
      </c>
      <c r="L22" s="43">
        <v>0.34726019210571157</v>
      </c>
      <c r="M22" s="264">
        <f t="shared" si="153"/>
        <v>43.496659639235958</v>
      </c>
      <c r="N22" s="251">
        <f>100-56.5</f>
        <v>43.5</v>
      </c>
      <c r="O22" s="252">
        <f>100-53.4</f>
        <v>46.6</v>
      </c>
      <c r="P22" s="247">
        <f>100-53.2</f>
        <v>46.8</v>
      </c>
      <c r="Q22" s="247">
        <f>100-52.7</f>
        <v>47.3</v>
      </c>
      <c r="R22" s="134">
        <v>47.751022888901417</v>
      </c>
      <c r="S22" s="52">
        <v>51.720295792944938</v>
      </c>
      <c r="T22" s="45">
        <v>45.402343359648242</v>
      </c>
      <c r="U22" s="45">
        <v>1.1430748476066752</v>
      </c>
      <c r="V22" s="45">
        <v>1.2558708903767364</v>
      </c>
      <c r="W22" s="45">
        <v>0.4784151094234036</v>
      </c>
      <c r="X22" s="261">
        <f t="shared" si="154"/>
        <v>48.279704207055055</v>
      </c>
      <c r="Y22" s="52">
        <v>51.5</v>
      </c>
      <c r="Z22" s="45">
        <v>45.7</v>
      </c>
      <c r="AA22" s="45">
        <v>1.1000000000000001</v>
      </c>
      <c r="AB22" s="45">
        <v>1.3</v>
      </c>
      <c r="AC22" s="45">
        <v>0.5</v>
      </c>
      <c r="AD22" s="261">
        <f t="shared" si="155"/>
        <v>48.6</v>
      </c>
      <c r="AE22" s="52">
        <v>51</v>
      </c>
      <c r="AF22" s="45">
        <v>46</v>
      </c>
      <c r="AG22" s="45">
        <v>1.1000000000000001</v>
      </c>
      <c r="AH22" s="45">
        <v>1.3</v>
      </c>
      <c r="AI22" s="45">
        <v>0.5</v>
      </c>
      <c r="AJ22" s="261">
        <f t="shared" si="156"/>
        <v>48.9</v>
      </c>
      <c r="AK22" s="257">
        <f>100-50.6</f>
        <v>49.4</v>
      </c>
      <c r="AL22" s="257">
        <f>100-50.2</f>
        <v>49.8</v>
      </c>
      <c r="AM22" s="257">
        <f>100-49.7</f>
        <v>50.3</v>
      </c>
      <c r="AN22" s="258">
        <f>100-49.2</f>
        <v>50.8</v>
      </c>
      <c r="AO22" s="77">
        <v>48.876648692148585</v>
      </c>
      <c r="AP22" s="68">
        <v>47.812576959152942</v>
      </c>
      <c r="AQ22" s="68">
        <v>1.4110019122877611</v>
      </c>
      <c r="AR22" s="68">
        <v>1.2639132055514211</v>
      </c>
      <c r="AS22" s="68">
        <v>0.63585923085929141</v>
      </c>
      <c r="AT22" s="261">
        <f t="shared" si="157"/>
        <v>51.123351307851408</v>
      </c>
      <c r="AU22" s="68">
        <v>48.725606020827868</v>
      </c>
      <c r="AV22" s="68">
        <v>47.796611096525773</v>
      </c>
      <c r="AW22" s="68">
        <v>1.553065108952481</v>
      </c>
      <c r="AX22" s="68">
        <v>1.2731633412094163</v>
      </c>
      <c r="AY22" s="68">
        <v>0.65155443248446654</v>
      </c>
      <c r="AZ22" s="261">
        <f t="shared" si="158"/>
        <v>51.274393979172139</v>
      </c>
      <c r="BA22" s="68">
        <v>48.543254698383492</v>
      </c>
      <c r="BB22" s="68">
        <v>47.818099180794668</v>
      </c>
      <c r="BC22" s="68">
        <v>1.675647259823893</v>
      </c>
      <c r="BD22" s="68">
        <v>1.2887698777763175</v>
      </c>
      <c r="BE22" s="68">
        <v>0.6742289832216235</v>
      </c>
      <c r="BF22" s="261">
        <f t="shared" si="159"/>
        <v>51.4567453016165</v>
      </c>
      <c r="BG22" s="68">
        <v>48.454808171947853</v>
      </c>
      <c r="BH22" s="68">
        <v>47.742985176767085</v>
      </c>
      <c r="BI22" s="68">
        <v>1.788627047349971</v>
      </c>
      <c r="BJ22" s="68">
        <v>1.313024849218575</v>
      </c>
      <c r="BK22" s="68">
        <v>0.70055475471651441</v>
      </c>
      <c r="BL22" s="199">
        <f t="shared" si="160"/>
        <v>51.545191828052147</v>
      </c>
      <c r="BM22" s="68">
        <v>48.293410982753933</v>
      </c>
      <c r="BN22" s="68">
        <v>47.680251173232492</v>
      </c>
      <c r="BO22" s="68">
        <v>1.9457917576189352</v>
      </c>
      <c r="BP22" s="68">
        <v>1.3567938410644487</v>
      </c>
      <c r="BQ22" s="68">
        <v>0.72375224533019644</v>
      </c>
      <c r="BR22" s="199">
        <f t="shared" si="161"/>
        <v>51.706589017246074</v>
      </c>
      <c r="BS22" s="68">
        <v>51.465182437366884</v>
      </c>
      <c r="BT22" s="68">
        <v>44.394875069897907</v>
      </c>
      <c r="BU22" s="68">
        <v>2.0610334807173438</v>
      </c>
      <c r="BV22" s="68">
        <v>1.2974274513159141</v>
      </c>
      <c r="BW22" s="68">
        <v>0.78148156070194308</v>
      </c>
      <c r="BX22" s="199">
        <f t="shared" si="162"/>
        <v>48.534817562633101</v>
      </c>
      <c r="BY22" s="6">
        <v>675851</v>
      </c>
      <c r="BZ22" s="6">
        <v>338517</v>
      </c>
      <c r="CA22" s="6">
        <v>306810</v>
      </c>
      <c r="CB22" s="6">
        <v>15987</v>
      </c>
      <c r="CC22" s="6">
        <v>9309</v>
      </c>
      <c r="CD22" s="6">
        <v>5228</v>
      </c>
      <c r="CE22" s="189">
        <f t="shared" si="163"/>
        <v>50.087519290494498</v>
      </c>
      <c r="CF22" s="190">
        <f t="shared" si="164"/>
        <v>45.396100619811172</v>
      </c>
      <c r="CG22" s="190">
        <f t="shared" si="165"/>
        <v>2.3654622098657838</v>
      </c>
      <c r="CH22" s="190">
        <f t="shared" si="166"/>
        <v>1.3773745988390933</v>
      </c>
      <c r="CI22" s="190">
        <f t="shared" si="167"/>
        <v>0.77354328098944891</v>
      </c>
      <c r="CJ22" s="199">
        <f t="shared" si="168"/>
        <v>49.912480709505495</v>
      </c>
      <c r="CK22" s="6">
        <v>681038</v>
      </c>
      <c r="CL22" s="6">
        <v>334862</v>
      </c>
      <c r="CM22" s="6">
        <v>312978</v>
      </c>
      <c r="CN22" s="6">
        <v>18259</v>
      </c>
      <c r="CO22" s="6">
        <v>9523</v>
      </c>
      <c r="CP22" s="6">
        <v>5416</v>
      </c>
      <c r="CQ22" s="189">
        <f t="shared" si="169"/>
        <v>49.169356188641459</v>
      </c>
      <c r="CR22" s="190">
        <f t="shared" si="170"/>
        <v>45.956025948625481</v>
      </c>
      <c r="CS22" s="190">
        <f t="shared" si="171"/>
        <v>2.681054507971655</v>
      </c>
      <c r="CT22" s="190">
        <f t="shared" si="172"/>
        <v>1.3983067024160178</v>
      </c>
      <c r="CU22" s="190">
        <f t="shared" si="173"/>
        <v>0.79525665234539045</v>
      </c>
      <c r="CV22" s="199">
        <f t="shared" si="174"/>
        <v>50.830643811358541</v>
      </c>
      <c r="CW22" s="6">
        <f t="shared" si="199"/>
        <v>684873</v>
      </c>
      <c r="CX22" s="6">
        <v>334029</v>
      </c>
      <c r="CY22" s="6">
        <v>315693</v>
      </c>
      <c r="CZ22" s="6">
        <v>19769</v>
      </c>
      <c r="DA22" s="6">
        <v>5627</v>
      </c>
      <c r="DB22" s="6">
        <v>9755</v>
      </c>
      <c r="DC22" s="6"/>
      <c r="DD22" s="189">
        <f t="shared" si="175"/>
        <v>48.772400138419826</v>
      </c>
      <c r="DE22" s="190">
        <f t="shared" si="176"/>
        <v>46.095115444761291</v>
      </c>
      <c r="DF22" s="190">
        <f t="shared" si="177"/>
        <v>2.8865205665867979</v>
      </c>
      <c r="DG22" s="190">
        <f t="shared" si="178"/>
        <v>1.4243516681194908</v>
      </c>
      <c r="DH22" s="190">
        <f t="shared" si="179"/>
        <v>0.82161218211259601</v>
      </c>
      <c r="DI22" s="190"/>
      <c r="DJ22" s="191">
        <f t="shared" si="20"/>
        <v>51.227599861580174</v>
      </c>
      <c r="DK22" s="382">
        <v>690915</v>
      </c>
      <c r="DL22" s="6">
        <v>335059</v>
      </c>
      <c r="DM22" s="6">
        <v>317759</v>
      </c>
      <c r="DN22" s="6">
        <v>22112</v>
      </c>
      <c r="DO22" s="6">
        <v>5716</v>
      </c>
      <c r="DP22" s="6">
        <v>10269</v>
      </c>
      <c r="DQ22" s="6"/>
      <c r="DR22" s="189">
        <f t="shared" si="180"/>
        <v>48.49496681936273</v>
      </c>
      <c r="DS22" s="190">
        <f t="shared" si="181"/>
        <v>45.991040866097855</v>
      </c>
      <c r="DT22" s="190">
        <f t="shared" si="182"/>
        <v>3.2003936808435189</v>
      </c>
      <c r="DU22" s="190">
        <f t="shared" si="183"/>
        <v>1.4862899198888431</v>
      </c>
      <c r="DV22" s="190">
        <f t="shared" si="184"/>
        <v>0.82730871380705295</v>
      </c>
      <c r="DW22" s="190"/>
      <c r="DX22" s="191">
        <f t="shared" si="185"/>
        <v>51.50503318063727</v>
      </c>
      <c r="DY22" s="382">
        <v>696558</v>
      </c>
      <c r="DZ22" s="6">
        <v>338126</v>
      </c>
      <c r="EA22" s="6">
        <v>316083</v>
      </c>
      <c r="EB22" s="6">
        <v>18145</v>
      </c>
      <c r="EC22" s="6">
        <v>6585</v>
      </c>
      <c r="ED22" s="6">
        <v>10522</v>
      </c>
      <c r="EE22" s="6">
        <v>7097</v>
      </c>
      <c r="EF22" s="189">
        <f t="shared" si="186"/>
        <v>48.542404221902558</v>
      </c>
      <c r="EG22" s="190">
        <f t="shared" si="187"/>
        <v>45.377843625369316</v>
      </c>
      <c r="EH22" s="190">
        <f t="shared" si="188"/>
        <v>2.6049517771671562</v>
      </c>
      <c r="EI22" s="190">
        <f t="shared" si="189"/>
        <v>1.5105705483247627</v>
      </c>
      <c r="EJ22" s="190">
        <f t="shared" si="190"/>
        <v>0.94536276950375997</v>
      </c>
      <c r="EK22" s="190"/>
      <c r="EL22" s="191">
        <f t="shared" si="191"/>
        <v>50.438728720364999</v>
      </c>
      <c r="EM22" s="11">
        <v>703390</v>
      </c>
      <c r="EN22" s="444">
        <f t="shared" si="200"/>
        <v>333736</v>
      </c>
      <c r="EO22" s="444">
        <f t="shared" si="201"/>
        <v>316947.00000000006</v>
      </c>
      <c r="EP22" s="444">
        <f t="shared" si="202"/>
        <v>28275.999999999996</v>
      </c>
      <c r="EQ22" s="444">
        <f t="shared" si="203"/>
        <v>10300.000000000002</v>
      </c>
      <c r="ER22" s="444">
        <f t="shared" si="204"/>
        <v>427</v>
      </c>
      <c r="ES22" s="444">
        <f t="shared" si="205"/>
        <v>5479</v>
      </c>
      <c r="ET22" s="444">
        <f t="shared" si="206"/>
        <v>8225</v>
      </c>
      <c r="EU22" s="148">
        <v>47.446793386314845</v>
      </c>
      <c r="EV22" s="148">
        <v>45.059924081946008</v>
      </c>
      <c r="EW22" s="148">
        <v>4.0199604771179569</v>
      </c>
      <c r="EX22" s="148">
        <v>1.4643369965453021</v>
      </c>
      <c r="EY22" s="148">
        <v>6.0706009468431452E-2</v>
      </c>
      <c r="EZ22" s="148">
        <v>0.77894198097783596</v>
      </c>
      <c r="FA22" s="148">
        <v>1.1693370676296222</v>
      </c>
      <c r="FB22" s="191">
        <f t="shared" si="207"/>
        <v>52.553206613685148</v>
      </c>
      <c r="FC22">
        <v>710903</v>
      </c>
      <c r="FD22">
        <v>334175</v>
      </c>
      <c r="FE22" s="11">
        <v>319734</v>
      </c>
      <c r="FF22">
        <v>30899</v>
      </c>
      <c r="FG22">
        <v>10463</v>
      </c>
      <c r="FH22">
        <v>526</v>
      </c>
      <c r="FI22" s="11">
        <v>5365</v>
      </c>
      <c r="FJ22">
        <v>9741</v>
      </c>
      <c r="FK22" s="189">
        <f t="shared" si="208"/>
        <v>47.007116301380073</v>
      </c>
      <c r="FL22" s="190">
        <f t="shared" si="209"/>
        <v>44.975756186146356</v>
      </c>
      <c r="FM22" s="190">
        <f t="shared" si="210"/>
        <v>4.3464438889693815</v>
      </c>
      <c r="FN22" s="190">
        <f t="shared" si="211"/>
        <v>1.4717901035724985</v>
      </c>
      <c r="FO22" s="190">
        <f t="shared" si="212"/>
        <v>7.3990403754098655E-2</v>
      </c>
      <c r="FP22" s="190">
        <f t="shared" si="213"/>
        <v>0.75467398505843974</v>
      </c>
      <c r="FQ22" s="190">
        <f t="shared" si="214"/>
        <v>1.3702291311191541</v>
      </c>
      <c r="FR22" s="199">
        <f t="shared" si="37"/>
        <v>52.99288369861992</v>
      </c>
      <c r="FS22" s="474">
        <v>711491</v>
      </c>
      <c r="FT22" s="474">
        <v>332809</v>
      </c>
      <c r="FU22" s="474">
        <v>316473</v>
      </c>
      <c r="FV22" s="474">
        <v>34334</v>
      </c>
      <c r="FW22" s="474">
        <v>10540</v>
      </c>
      <c r="FX22" s="474">
        <v>618</v>
      </c>
      <c r="FY22" s="474">
        <v>5241</v>
      </c>
      <c r="FZ22" s="480">
        <v>11476</v>
      </c>
      <c r="GA22" s="189">
        <f t="shared" si="39"/>
        <v>46.776276860845748</v>
      </c>
      <c r="GB22" s="190">
        <f t="shared" si="40"/>
        <v>44.480253439607807</v>
      </c>
      <c r="GC22" s="190">
        <f t="shared" si="41"/>
        <v>4.8256408022026989</v>
      </c>
      <c r="GD22" s="190">
        <f t="shared" si="42"/>
        <v>1.4813961104216355</v>
      </c>
      <c r="GE22" s="190">
        <f t="shared" si="43"/>
        <v>8.6859847840661378E-2</v>
      </c>
      <c r="GF22" s="190">
        <f t="shared" si="44"/>
        <v>0.73662210765842429</v>
      </c>
      <c r="GG22" s="190">
        <f t="shared" si="45"/>
        <v>1.6129508314230256</v>
      </c>
      <c r="GH22" s="199">
        <f t="shared" si="46"/>
        <v>53.223723139154259</v>
      </c>
      <c r="GI22" s="474">
        <v>716800</v>
      </c>
      <c r="GJ22" s="474">
        <v>331023</v>
      </c>
      <c r="GK22" s="474">
        <v>317608</v>
      </c>
      <c r="GL22" s="474">
        <v>39496</v>
      </c>
      <c r="GM22" s="474">
        <v>10679</v>
      </c>
      <c r="GN22" s="474">
        <v>615</v>
      </c>
      <c r="GO22" s="474">
        <v>5088</v>
      </c>
      <c r="GP22" s="480">
        <v>12291</v>
      </c>
      <c r="GQ22" s="189">
        <f t="shared" si="192"/>
        <v>46.1806640625</v>
      </c>
      <c r="GR22" s="190">
        <f t="shared" si="193"/>
        <v>44.309151785714285</v>
      </c>
      <c r="GS22" s="190">
        <f t="shared" si="194"/>
        <v>5.5100446428571423</v>
      </c>
      <c r="GT22" s="190">
        <f t="shared" si="195"/>
        <v>1.4898158482142856</v>
      </c>
      <c r="GU22" s="190">
        <f t="shared" si="196"/>
        <v>8.5797991071428575E-2</v>
      </c>
      <c r="GV22" s="190">
        <f t="shared" si="197"/>
        <v>0.7098214285714286</v>
      </c>
      <c r="GW22" s="190">
        <f t="shared" si="198"/>
        <v>1.7147042410714286</v>
      </c>
      <c r="GX22" s="199">
        <f t="shared" si="55"/>
        <v>53.819335937500007</v>
      </c>
    </row>
    <row r="23" spans="1:206" s="11" customFormat="1">
      <c r="A23" s="106" t="s">
        <v>91</v>
      </c>
      <c r="B23" s="385">
        <v>24.8</v>
      </c>
      <c r="C23" s="244">
        <v>30.1</v>
      </c>
      <c r="D23" s="244">
        <v>31.9</v>
      </c>
      <c r="E23" s="244">
        <f>100-66.5</f>
        <v>33.5</v>
      </c>
      <c r="F23" s="244">
        <v>33.6</v>
      </c>
      <c r="G23" s="244">
        <v>42</v>
      </c>
      <c r="H23" s="52">
        <v>59.699459634160618</v>
      </c>
      <c r="I23" s="45">
        <v>35.326602258092706</v>
      </c>
      <c r="J23" s="45">
        <v>1.6624865403229663</v>
      </c>
      <c r="K23" s="45">
        <v>3.0936232873436986</v>
      </c>
      <c r="L23" s="43">
        <v>0.21782828008000779</v>
      </c>
      <c r="M23" s="264">
        <f t="shared" si="153"/>
        <v>40.300540365839375</v>
      </c>
      <c r="N23" s="251">
        <f>100-59.7</f>
        <v>40.299999999999997</v>
      </c>
      <c r="O23" s="252">
        <f>100-61.7</f>
        <v>38.299999999999997</v>
      </c>
      <c r="P23" s="247">
        <f>100-61.1</f>
        <v>38.9</v>
      </c>
      <c r="Q23" s="247">
        <f>100-60.4</f>
        <v>39.6</v>
      </c>
      <c r="R23" s="134">
        <v>40.245394693090375</v>
      </c>
      <c r="S23" s="52">
        <v>58.856929118164004</v>
      </c>
      <c r="T23" s="45">
        <v>34.226118829257686</v>
      </c>
      <c r="U23" s="45">
        <v>2.9093831781506991</v>
      </c>
      <c r="V23" s="45">
        <v>3.7189472948521818</v>
      </c>
      <c r="W23" s="45">
        <v>0.28862157957542861</v>
      </c>
      <c r="X23" s="261">
        <f t="shared" si="154"/>
        <v>41.143070881835989</v>
      </c>
      <c r="Y23" s="52">
        <v>58.1</v>
      </c>
      <c r="Z23" s="45">
        <v>34.700000000000003</v>
      </c>
      <c r="AA23" s="45">
        <v>3.1</v>
      </c>
      <c r="AB23" s="45">
        <v>3.8</v>
      </c>
      <c r="AC23" s="45">
        <v>0.3</v>
      </c>
      <c r="AD23" s="261">
        <f t="shared" si="155"/>
        <v>41.9</v>
      </c>
      <c r="AE23" s="52">
        <v>57.5</v>
      </c>
      <c r="AF23" s="45">
        <v>35</v>
      </c>
      <c r="AG23" s="45">
        <v>3.3</v>
      </c>
      <c r="AH23" s="45">
        <v>3.8</v>
      </c>
      <c r="AI23" s="45">
        <v>0.3</v>
      </c>
      <c r="AJ23" s="261">
        <f t="shared" si="156"/>
        <v>42.399999999999991</v>
      </c>
      <c r="AK23" s="257">
        <f>100-56.7</f>
        <v>43.3</v>
      </c>
      <c r="AL23" s="257">
        <f>100-55.9</f>
        <v>44.1</v>
      </c>
      <c r="AM23" s="257">
        <f>100-55</f>
        <v>45</v>
      </c>
      <c r="AN23" s="258">
        <f>100-54.3</f>
        <v>45.7</v>
      </c>
      <c r="AO23" s="77">
        <v>53.365380105988841</v>
      </c>
      <c r="AP23" s="68">
        <v>37.076279135206114</v>
      </c>
      <c r="AQ23" s="68">
        <v>4.8441823383201239</v>
      </c>
      <c r="AR23" s="68">
        <v>4.3616048398442997</v>
      </c>
      <c r="AS23" s="68">
        <v>0.35255358064062281</v>
      </c>
      <c r="AT23" s="261">
        <f t="shared" si="157"/>
        <v>46.634619894011159</v>
      </c>
      <c r="AU23" s="68">
        <v>52.447945714816882</v>
      </c>
      <c r="AV23" s="68">
        <v>37.238450455474997</v>
      </c>
      <c r="AW23" s="68">
        <v>5.3740239821528171</v>
      </c>
      <c r="AX23" s="68">
        <v>4.5781046662948501</v>
      </c>
      <c r="AY23" s="68">
        <v>0.3614751812604573</v>
      </c>
      <c r="AZ23" s="261">
        <f t="shared" si="158"/>
        <v>47.552054285183118</v>
      </c>
      <c r="BA23" s="68">
        <v>51.539845144408439</v>
      </c>
      <c r="BB23" s="68">
        <v>37.499927890966525</v>
      </c>
      <c r="BC23" s="68">
        <v>5.8423315792570572</v>
      </c>
      <c r="BD23" s="68">
        <v>4.7466203938191596</v>
      </c>
      <c r="BE23" s="68">
        <v>0.37127499154882126</v>
      </c>
      <c r="BF23" s="261">
        <f t="shared" si="159"/>
        <v>48.460154855591561</v>
      </c>
      <c r="BG23" s="68">
        <v>50.447985474846192</v>
      </c>
      <c r="BH23" s="68">
        <v>37.915207803818376</v>
      </c>
      <c r="BI23" s="68">
        <v>6.3915739380264709</v>
      </c>
      <c r="BJ23" s="68">
        <v>4.8572510133895133</v>
      </c>
      <c r="BK23" s="68">
        <v>0.38798176991944661</v>
      </c>
      <c r="BL23" s="199">
        <f t="shared" si="160"/>
        <v>49.552014525153808</v>
      </c>
      <c r="BM23" s="68">
        <v>49.482705436127553</v>
      </c>
      <c r="BN23" s="68">
        <v>38.10257162695639</v>
      </c>
      <c r="BO23" s="68">
        <v>6.9755915527617356</v>
      </c>
      <c r="BP23" s="68">
        <v>5.0360402097599133</v>
      </c>
      <c r="BQ23" s="68">
        <v>0.40309117439441006</v>
      </c>
      <c r="BR23" s="199">
        <f t="shared" si="161"/>
        <v>50.517294563872447</v>
      </c>
      <c r="BS23" s="68">
        <v>48.603055742889701</v>
      </c>
      <c r="BT23" s="68">
        <v>38.134927094718726</v>
      </c>
      <c r="BU23" s="68">
        <v>7.6292411804376643</v>
      </c>
      <c r="BV23" s="68">
        <v>5.2273202948768631</v>
      </c>
      <c r="BW23" s="68">
        <v>0.40545568707704471</v>
      </c>
      <c r="BX23" s="199">
        <f t="shared" si="162"/>
        <v>51.396944257110299</v>
      </c>
      <c r="BY23" s="6">
        <v>851640</v>
      </c>
      <c r="BZ23" s="6">
        <v>406761</v>
      </c>
      <c r="CA23" s="6">
        <v>324500</v>
      </c>
      <c r="CB23" s="6">
        <v>70997</v>
      </c>
      <c r="CC23" s="6">
        <v>46003</v>
      </c>
      <c r="CD23" s="6">
        <v>3379</v>
      </c>
      <c r="CE23" s="189">
        <f t="shared" si="163"/>
        <v>47.762082570100041</v>
      </c>
      <c r="CF23" s="190">
        <f t="shared" si="164"/>
        <v>38.102954299938943</v>
      </c>
      <c r="CG23" s="190">
        <f t="shared" si="165"/>
        <v>8.3365036870038995</v>
      </c>
      <c r="CH23" s="190">
        <f t="shared" si="166"/>
        <v>5.4016955521112209</v>
      </c>
      <c r="CI23" s="190">
        <f t="shared" si="167"/>
        <v>0.3967638908458973</v>
      </c>
      <c r="CJ23" s="199">
        <f t="shared" si="168"/>
        <v>52.237917429899959</v>
      </c>
      <c r="CK23" s="6">
        <v>845700</v>
      </c>
      <c r="CL23" s="6">
        <v>397559</v>
      </c>
      <c r="CM23" s="6">
        <v>320893</v>
      </c>
      <c r="CN23" s="6">
        <v>76251</v>
      </c>
      <c r="CO23" s="6">
        <v>47709</v>
      </c>
      <c r="CP23" s="6">
        <v>3288</v>
      </c>
      <c r="CQ23" s="189">
        <f t="shared" si="169"/>
        <v>47.009459619250329</v>
      </c>
      <c r="CR23" s="190">
        <f t="shared" si="170"/>
        <v>37.944070001182453</v>
      </c>
      <c r="CS23" s="190">
        <f t="shared" si="171"/>
        <v>9.0163178432068118</v>
      </c>
      <c r="CT23" s="190">
        <f t="shared" si="172"/>
        <v>5.6413621851720466</v>
      </c>
      <c r="CU23" s="190">
        <f t="shared" si="173"/>
        <v>0.38879035118836469</v>
      </c>
      <c r="CV23" s="199">
        <f t="shared" si="174"/>
        <v>52.990540380749678</v>
      </c>
      <c r="CW23" s="6">
        <f t="shared" si="199"/>
        <v>843861</v>
      </c>
      <c r="CX23" s="6">
        <v>389621</v>
      </c>
      <c r="CY23" s="6">
        <v>320747</v>
      </c>
      <c r="CZ23" s="6">
        <v>80445</v>
      </c>
      <c r="DA23" s="6">
        <v>3303</v>
      </c>
      <c r="DB23" s="6">
        <v>49745</v>
      </c>
      <c r="DC23" s="6"/>
      <c r="DD23" s="189">
        <f t="shared" si="175"/>
        <v>46.171229621940107</v>
      </c>
      <c r="DE23" s="190">
        <f t="shared" si="176"/>
        <v>38.009458903776803</v>
      </c>
      <c r="DF23" s="190">
        <f t="shared" si="177"/>
        <v>9.5329681073067718</v>
      </c>
      <c r="DG23" s="190">
        <f t="shared" si="178"/>
        <v>5.8949281931502933</v>
      </c>
      <c r="DH23" s="190">
        <f t="shared" si="179"/>
        <v>0.39141517382602109</v>
      </c>
      <c r="DI23" s="190"/>
      <c r="DJ23" s="191">
        <f t="shared" si="20"/>
        <v>53.828770378059886</v>
      </c>
      <c r="DK23" s="382">
        <v>848412</v>
      </c>
      <c r="DL23" s="6">
        <v>385782</v>
      </c>
      <c r="DM23" s="6">
        <v>321650</v>
      </c>
      <c r="DN23" s="6">
        <v>85153</v>
      </c>
      <c r="DO23" s="6">
        <v>3671</v>
      </c>
      <c r="DP23" s="6">
        <v>52156</v>
      </c>
      <c r="DQ23" s="6"/>
      <c r="DR23" s="189">
        <f t="shared" si="180"/>
        <v>45.471068301721331</v>
      </c>
      <c r="DS23" s="190">
        <f t="shared" si="181"/>
        <v>37.912005016430697</v>
      </c>
      <c r="DT23" s="190">
        <f t="shared" si="182"/>
        <v>10.036751012479787</v>
      </c>
      <c r="DU23" s="190">
        <f t="shared" si="183"/>
        <v>6.1474849483505656</v>
      </c>
      <c r="DV23" s="190">
        <f t="shared" si="184"/>
        <v>0.4326907210176188</v>
      </c>
      <c r="DW23" s="190"/>
      <c r="DX23" s="191">
        <f t="shared" si="185"/>
        <v>54.528931698278669</v>
      </c>
      <c r="DY23" s="382">
        <v>852211</v>
      </c>
      <c r="DZ23" s="6">
        <v>366004</v>
      </c>
      <c r="EA23" s="6">
        <v>305310</v>
      </c>
      <c r="EB23" s="6">
        <v>98404</v>
      </c>
      <c r="EC23" s="6">
        <v>3047</v>
      </c>
      <c r="ED23" s="6">
        <v>49939</v>
      </c>
      <c r="EE23" s="6">
        <v>29507</v>
      </c>
      <c r="EF23" s="189">
        <f t="shared" si="186"/>
        <v>42.947579883385686</v>
      </c>
      <c r="EG23" s="190">
        <f t="shared" si="187"/>
        <v>35.82563473130481</v>
      </c>
      <c r="EH23" s="190">
        <f t="shared" si="188"/>
        <v>11.546905637218952</v>
      </c>
      <c r="EI23" s="190">
        <f t="shared" si="189"/>
        <v>5.8599337488016472</v>
      </c>
      <c r="EJ23" s="190">
        <f t="shared" si="190"/>
        <v>0.35754056213778046</v>
      </c>
      <c r="EK23" s="190"/>
      <c r="EL23" s="191">
        <f t="shared" si="191"/>
        <v>53.590014679463181</v>
      </c>
      <c r="EM23" s="11">
        <v>854086</v>
      </c>
      <c r="EN23" s="444">
        <f t="shared" si="200"/>
        <v>362855.00000000006</v>
      </c>
      <c r="EO23" s="444">
        <f t="shared" si="201"/>
        <v>302031</v>
      </c>
      <c r="EP23" s="444">
        <f t="shared" si="202"/>
        <v>103594</v>
      </c>
      <c r="EQ23" s="444">
        <f t="shared" si="203"/>
        <v>50052</v>
      </c>
      <c r="ER23" s="444">
        <f t="shared" si="204"/>
        <v>1184</v>
      </c>
      <c r="ES23" s="444">
        <f t="shared" si="205"/>
        <v>2989</v>
      </c>
      <c r="ET23" s="444">
        <f t="shared" si="206"/>
        <v>31381.000000000004</v>
      </c>
      <c r="EU23" s="148">
        <v>42.484597569799767</v>
      </c>
      <c r="EV23" s="148">
        <v>35.363066482766371</v>
      </c>
      <c r="EW23" s="148">
        <v>12.129223520816405</v>
      </c>
      <c r="EX23" s="148">
        <v>5.8602997824575045</v>
      </c>
      <c r="EY23" s="148">
        <v>0.13862772601353962</v>
      </c>
      <c r="EZ23" s="148">
        <v>0.34996475764735635</v>
      </c>
      <c r="FA23" s="148">
        <v>3.6742201604990603</v>
      </c>
      <c r="FB23" s="191">
        <f t="shared" si="207"/>
        <v>57.515402430200233</v>
      </c>
      <c r="FC23">
        <v>859638</v>
      </c>
      <c r="FD23">
        <v>359110</v>
      </c>
      <c r="FE23" s="11">
        <v>301726</v>
      </c>
      <c r="FF23">
        <v>110529</v>
      </c>
      <c r="FG23">
        <v>51176</v>
      </c>
      <c r="FH23">
        <v>1222</v>
      </c>
      <c r="FI23" s="11">
        <v>2721</v>
      </c>
      <c r="FJ23">
        <v>33154</v>
      </c>
      <c r="FK23" s="189">
        <f t="shared" si="208"/>
        <v>41.774560919829042</v>
      </c>
      <c r="FL23" s="190">
        <f t="shared" si="209"/>
        <v>35.099192916087937</v>
      </c>
      <c r="FM23" s="190">
        <f t="shared" si="210"/>
        <v>12.857621463918534</v>
      </c>
      <c r="FN23" s="190">
        <f t="shared" si="211"/>
        <v>5.9532035577766456</v>
      </c>
      <c r="FO23" s="190">
        <f t="shared" si="212"/>
        <v>0.14215285969210295</v>
      </c>
      <c r="FP23" s="190">
        <f t="shared" si="213"/>
        <v>0.31652858528822597</v>
      </c>
      <c r="FQ23" s="190">
        <f t="shared" si="214"/>
        <v>3.8567396974075137</v>
      </c>
      <c r="FR23" s="199">
        <f t="shared" si="37"/>
        <v>58.225439080170958</v>
      </c>
      <c r="FS23" s="474">
        <v>866169</v>
      </c>
      <c r="FT23" s="474">
        <v>354426</v>
      </c>
      <c r="FU23" s="474">
        <v>301996</v>
      </c>
      <c r="FV23" s="474">
        <v>118204</v>
      </c>
      <c r="FW23" s="474">
        <v>52553</v>
      </c>
      <c r="FX23" s="474">
        <v>1261</v>
      </c>
      <c r="FY23" s="474">
        <v>2598</v>
      </c>
      <c r="FZ23" s="480">
        <v>35131</v>
      </c>
      <c r="GA23" s="189">
        <f t="shared" si="39"/>
        <v>40.918804528908332</v>
      </c>
      <c r="GB23" s="190">
        <f t="shared" si="40"/>
        <v>34.865713273044868</v>
      </c>
      <c r="GC23" s="190">
        <f t="shared" si="41"/>
        <v>13.646759466108808</v>
      </c>
      <c r="GD23" s="190">
        <f t="shared" si="42"/>
        <v>6.0672917178980077</v>
      </c>
      <c r="GE23" s="190">
        <f t="shared" si="43"/>
        <v>0.145583598581801</v>
      </c>
      <c r="GF23" s="190">
        <f t="shared" si="44"/>
        <v>0.29994146638819907</v>
      </c>
      <c r="GG23" s="190">
        <f t="shared" si="45"/>
        <v>4.0559059490699854</v>
      </c>
      <c r="GH23" s="199">
        <f t="shared" si="46"/>
        <v>59.081195471091675</v>
      </c>
      <c r="GI23" s="474">
        <v>874514</v>
      </c>
      <c r="GJ23" s="474">
        <v>349197</v>
      </c>
      <c r="GK23" s="474">
        <v>302645</v>
      </c>
      <c r="GL23" s="474">
        <v>128175</v>
      </c>
      <c r="GM23" s="474">
        <v>53929</v>
      </c>
      <c r="GN23" s="474">
        <v>1296</v>
      </c>
      <c r="GO23" s="474">
        <v>2612</v>
      </c>
      <c r="GP23" s="480">
        <v>36660</v>
      </c>
      <c r="GQ23" s="189">
        <f t="shared" si="192"/>
        <v>39.930407060378684</v>
      </c>
      <c r="GR23" s="190">
        <f t="shared" si="193"/>
        <v>34.607221839787584</v>
      </c>
      <c r="GS23" s="190">
        <f t="shared" si="194"/>
        <v>14.656712185282339</v>
      </c>
      <c r="GT23" s="190">
        <f t="shared" si="195"/>
        <v>6.1667394690079291</v>
      </c>
      <c r="GU23" s="190">
        <f t="shared" si="196"/>
        <v>0.14819659833919183</v>
      </c>
      <c r="GV23" s="190">
        <f t="shared" si="197"/>
        <v>0.29868018122065515</v>
      </c>
      <c r="GW23" s="190">
        <f t="shared" si="198"/>
        <v>4.1920426659836201</v>
      </c>
      <c r="GX23" s="199">
        <f t="shared" si="55"/>
        <v>60.069592939621316</v>
      </c>
    </row>
    <row r="24" spans="1:206" s="11" customFormat="1">
      <c r="A24" s="106" t="s">
        <v>92</v>
      </c>
      <c r="B24" s="385">
        <v>51.1</v>
      </c>
      <c r="C24" s="244">
        <v>49</v>
      </c>
      <c r="D24" s="244">
        <v>48.5</v>
      </c>
      <c r="E24" s="244">
        <f>100-48.4</f>
        <v>51.6</v>
      </c>
      <c r="F24" s="244">
        <v>51.9</v>
      </c>
      <c r="G24" s="244">
        <v>51</v>
      </c>
      <c r="H24" s="52">
        <v>43.935352965832919</v>
      </c>
      <c r="I24" s="45">
        <v>55.528085553086761</v>
      </c>
      <c r="J24" s="45">
        <v>0.10516085716299377</v>
      </c>
      <c r="K24" s="45">
        <v>0.37260698772566925</v>
      </c>
      <c r="L24" s="43">
        <v>5.8793636191656125E-2</v>
      </c>
      <c r="M24" s="264">
        <f t="shared" si="153"/>
        <v>56.064647034167081</v>
      </c>
      <c r="N24" s="251">
        <f>100-43.9</f>
        <v>56.1</v>
      </c>
      <c r="O24" s="252">
        <f>100-48.7</f>
        <v>51.3</v>
      </c>
      <c r="P24" s="247">
        <f>100-48.3</f>
        <v>51.7</v>
      </c>
      <c r="Q24" s="247">
        <f>100-48.3</f>
        <v>51.7</v>
      </c>
      <c r="R24" s="134">
        <v>51.711771811126809</v>
      </c>
      <c r="S24" s="52">
        <v>47.886271587465679</v>
      </c>
      <c r="T24" s="45">
        <v>50.873381866627668</v>
      </c>
      <c r="U24" s="45">
        <v>0.30855473436817438</v>
      </c>
      <c r="V24" s="45">
        <v>0.5163004267582777</v>
      </c>
      <c r="W24" s="45">
        <v>0.41549138478020659</v>
      </c>
      <c r="X24" s="261">
        <f t="shared" si="154"/>
        <v>52.113728412534321</v>
      </c>
      <c r="Y24" s="52">
        <v>47.8</v>
      </c>
      <c r="Z24" s="45">
        <v>50.9</v>
      </c>
      <c r="AA24" s="45">
        <v>0.3</v>
      </c>
      <c r="AB24" s="45">
        <v>0.5</v>
      </c>
      <c r="AC24" s="45">
        <v>0.4</v>
      </c>
      <c r="AD24" s="261">
        <f t="shared" si="155"/>
        <v>52.099999999999994</v>
      </c>
      <c r="AE24" s="52">
        <v>47.7</v>
      </c>
      <c r="AF24" s="45">
        <v>51</v>
      </c>
      <c r="AG24" s="45">
        <v>0.3</v>
      </c>
      <c r="AH24" s="45">
        <v>0.6</v>
      </c>
      <c r="AI24" s="45">
        <v>0.4</v>
      </c>
      <c r="AJ24" s="261">
        <f t="shared" si="156"/>
        <v>52.3</v>
      </c>
      <c r="AK24" s="257">
        <f>100-47.9</f>
        <v>52.1</v>
      </c>
      <c r="AL24" s="257">
        <f>100-47.6</f>
        <v>52.4</v>
      </c>
      <c r="AM24" s="257">
        <f>100-47.7</f>
        <v>52.3</v>
      </c>
      <c r="AN24" s="258">
        <f>100-47.5</f>
        <v>52.5</v>
      </c>
      <c r="AO24" s="77">
        <v>47.32600879747725</v>
      </c>
      <c r="AP24" s="68">
        <v>51.086227328419064</v>
      </c>
      <c r="AQ24" s="68">
        <v>0.76445658505232295</v>
      </c>
      <c r="AR24" s="68">
        <v>0.67608010123124507</v>
      </c>
      <c r="AS24" s="68">
        <v>0.14722718782011368</v>
      </c>
      <c r="AT24" s="261">
        <f t="shared" si="157"/>
        <v>52.673991202522743</v>
      </c>
      <c r="AU24" s="68">
        <v>47.260930442729283</v>
      </c>
      <c r="AV24" s="68">
        <v>51.007989754957883</v>
      </c>
      <c r="AW24" s="68">
        <v>0.85267280909895915</v>
      </c>
      <c r="AX24" s="68">
        <v>0.72258346892749237</v>
      </c>
      <c r="AY24" s="68">
        <v>0.15582352428638299</v>
      </c>
      <c r="AZ24" s="261">
        <f t="shared" si="158"/>
        <v>52.739069557270717</v>
      </c>
      <c r="BA24" s="68">
        <v>47.260197505303012</v>
      </c>
      <c r="BB24" s="68">
        <v>50.873143947467248</v>
      </c>
      <c r="BC24" s="68">
        <v>0.97839214850450118</v>
      </c>
      <c r="BD24" s="68">
        <v>0.72405078707791615</v>
      </c>
      <c r="BE24" s="68">
        <v>0.16421561164733225</v>
      </c>
      <c r="BF24" s="261">
        <f t="shared" si="159"/>
        <v>52.739802494696995</v>
      </c>
      <c r="BG24" s="68">
        <v>47.264862017263034</v>
      </c>
      <c r="BH24" s="68">
        <v>50.721116829436319</v>
      </c>
      <c r="BI24" s="68">
        <v>1.0957571828017991</v>
      </c>
      <c r="BJ24" s="68">
        <v>0.74725452850832763</v>
      </c>
      <c r="BK24" s="68">
        <v>0.17100944199051749</v>
      </c>
      <c r="BL24" s="199">
        <f t="shared" si="160"/>
        <v>52.735137982736966</v>
      </c>
      <c r="BM24" s="68">
        <v>47.036998158974193</v>
      </c>
      <c r="BN24" s="68">
        <v>50.753165272439517</v>
      </c>
      <c r="BO24" s="68">
        <v>1.2572268337585994</v>
      </c>
      <c r="BP24" s="68">
        <v>0.78061916604760828</v>
      </c>
      <c r="BQ24" s="68">
        <v>0.17199056878007818</v>
      </c>
      <c r="BR24" s="199">
        <f t="shared" si="161"/>
        <v>52.9630018410258</v>
      </c>
      <c r="BS24" s="68">
        <v>46.474621884053875</v>
      </c>
      <c r="BT24" s="68">
        <v>51.156875184360558</v>
      </c>
      <c r="BU24" s="68">
        <v>1.4045749706033288</v>
      </c>
      <c r="BV24" s="68">
        <v>0.78471938806434549</v>
      </c>
      <c r="BW24" s="68">
        <v>0.17920857291788733</v>
      </c>
      <c r="BX24" s="199">
        <f t="shared" si="162"/>
        <v>53.525378115946118</v>
      </c>
      <c r="BY24" s="6">
        <v>495026</v>
      </c>
      <c r="BZ24" s="6">
        <v>230256</v>
      </c>
      <c r="CA24" s="6">
        <v>251369</v>
      </c>
      <c r="CB24" s="6">
        <v>8357</v>
      </c>
      <c r="CC24" s="6">
        <v>4091</v>
      </c>
      <c r="CD24" s="2">
        <v>953</v>
      </c>
      <c r="CE24" s="189">
        <f t="shared" si="163"/>
        <v>46.513920480944435</v>
      </c>
      <c r="CF24" s="190">
        <f t="shared" si="164"/>
        <v>50.778948984497788</v>
      </c>
      <c r="CG24" s="190">
        <f t="shared" si="165"/>
        <v>1.6881941554585012</v>
      </c>
      <c r="CH24" s="190">
        <f t="shared" si="166"/>
        <v>0.82642123848040305</v>
      </c>
      <c r="CI24" s="190">
        <f t="shared" si="167"/>
        <v>0.19251514061887659</v>
      </c>
      <c r="CJ24" s="199">
        <f t="shared" si="168"/>
        <v>53.486079519055565</v>
      </c>
      <c r="CK24" s="6">
        <v>494122</v>
      </c>
      <c r="CL24" s="6">
        <v>229308</v>
      </c>
      <c r="CM24" s="6">
        <v>250031</v>
      </c>
      <c r="CN24" s="6">
        <v>9488</v>
      </c>
      <c r="CO24" s="6">
        <v>4324</v>
      </c>
      <c r="CP24" s="2">
        <v>971</v>
      </c>
      <c r="CQ24" s="189">
        <f t="shared" si="169"/>
        <v>46.407162603567542</v>
      </c>
      <c r="CR24" s="190">
        <f t="shared" si="170"/>
        <v>50.601066133465011</v>
      </c>
      <c r="CS24" s="190">
        <f t="shared" si="171"/>
        <v>1.9201735603757777</v>
      </c>
      <c r="CT24" s="190">
        <f t="shared" si="172"/>
        <v>0.87508752899081599</v>
      </c>
      <c r="CU24" s="190">
        <f t="shared" si="173"/>
        <v>0.19651017360085163</v>
      </c>
      <c r="CV24" s="199">
        <f t="shared" si="174"/>
        <v>53.592837396432458</v>
      </c>
      <c r="CW24" s="6">
        <f t="shared" si="199"/>
        <v>491962</v>
      </c>
      <c r="CX24" s="6">
        <v>227745</v>
      </c>
      <c r="CY24" s="6">
        <v>248318</v>
      </c>
      <c r="CZ24" s="6">
        <v>10520</v>
      </c>
      <c r="DA24" s="6">
        <v>949</v>
      </c>
      <c r="DB24" s="6">
        <v>4430</v>
      </c>
      <c r="DC24" s="6"/>
      <c r="DD24" s="189">
        <f t="shared" si="175"/>
        <v>46.293209638142784</v>
      </c>
      <c r="DE24" s="190">
        <f t="shared" si="176"/>
        <v>50.475036689825636</v>
      </c>
      <c r="DF24" s="190">
        <f t="shared" si="177"/>
        <v>2.1383765412775784</v>
      </c>
      <c r="DG24" s="190">
        <f t="shared" si="178"/>
        <v>0.90047605302848599</v>
      </c>
      <c r="DH24" s="190">
        <f t="shared" si="179"/>
        <v>0.19290107772551537</v>
      </c>
      <c r="DI24" s="190"/>
      <c r="DJ24" s="191">
        <f t="shared" si="20"/>
        <v>53.706790361857216</v>
      </c>
      <c r="DK24" s="382">
        <v>492481</v>
      </c>
      <c r="DL24" s="6">
        <v>226855</v>
      </c>
      <c r="DM24" s="6">
        <v>246652</v>
      </c>
      <c r="DN24" s="6">
        <v>11051</v>
      </c>
      <c r="DO24" s="6">
        <v>936</v>
      </c>
      <c r="DP24" s="6">
        <v>4500</v>
      </c>
      <c r="DQ24" s="6">
        <v>2487</v>
      </c>
      <c r="DR24" s="189">
        <f t="shared" si="180"/>
        <v>46.063706010993315</v>
      </c>
      <c r="DS24" s="190">
        <f t="shared" si="181"/>
        <v>50.083556522992765</v>
      </c>
      <c r="DT24" s="190">
        <f t="shared" si="182"/>
        <v>2.2439444364351111</v>
      </c>
      <c r="DU24" s="190">
        <f t="shared" si="183"/>
        <v>0.91374083467179434</v>
      </c>
      <c r="DV24" s="190">
        <f t="shared" si="184"/>
        <v>0.19005809361173326</v>
      </c>
      <c r="DW24" s="190"/>
      <c r="DX24" s="191">
        <f t="shared" si="185"/>
        <v>53.431299887711404</v>
      </c>
      <c r="DY24" s="382">
        <v>490526</v>
      </c>
      <c r="DZ24" s="6">
        <v>225697</v>
      </c>
      <c r="EA24" s="6">
        <v>244634</v>
      </c>
      <c r="EB24" s="6">
        <v>12360</v>
      </c>
      <c r="EC24" s="6">
        <v>930</v>
      </c>
      <c r="ED24" s="6">
        <v>4649</v>
      </c>
      <c r="EE24" s="6">
        <v>2256</v>
      </c>
      <c r="EF24" s="189">
        <f t="shared" si="186"/>
        <v>46.011220608081935</v>
      </c>
      <c r="EG24" s="190">
        <f t="shared" si="187"/>
        <v>49.871770303714783</v>
      </c>
      <c r="EH24" s="190">
        <f t="shared" si="188"/>
        <v>2.5197441114232477</v>
      </c>
      <c r="EI24" s="190">
        <f t="shared" si="189"/>
        <v>0.94775812087432676</v>
      </c>
      <c r="EJ24" s="190">
        <f t="shared" si="190"/>
        <v>0.18959239673330264</v>
      </c>
      <c r="EK24" s="190"/>
      <c r="EL24" s="191">
        <f t="shared" si="191"/>
        <v>53.528864932745662</v>
      </c>
      <c r="EM24" s="11">
        <v>490619</v>
      </c>
      <c r="EN24" s="444">
        <f t="shared" si="200"/>
        <v>225743</v>
      </c>
      <c r="EO24" s="444">
        <f t="shared" si="201"/>
        <v>243438</v>
      </c>
      <c r="EP24" s="444">
        <f t="shared" si="202"/>
        <v>12609</v>
      </c>
      <c r="EQ24" s="444">
        <f t="shared" si="203"/>
        <v>4665.9999999999991</v>
      </c>
      <c r="ER24" s="444">
        <f t="shared" si="204"/>
        <v>0</v>
      </c>
      <c r="ES24" s="444">
        <f t="shared" si="205"/>
        <v>958</v>
      </c>
      <c r="ET24" s="444">
        <f t="shared" si="206"/>
        <v>3043</v>
      </c>
      <c r="EU24" s="148">
        <v>46.011874794901949</v>
      </c>
      <c r="EV24" s="148">
        <v>49.618543105750085</v>
      </c>
      <c r="EW24" s="148">
        <v>2.5700186906744338</v>
      </c>
      <c r="EX24" s="148">
        <v>0.95104347772915432</v>
      </c>
      <c r="EY24" s="443">
        <v>0</v>
      </c>
      <c r="EZ24" s="148">
        <v>0.19526353443303257</v>
      </c>
      <c r="FA24" s="148">
        <v>0.62023688442559299</v>
      </c>
      <c r="FB24" s="191">
        <f t="shared" si="207"/>
        <v>53.955105693012293</v>
      </c>
      <c r="FC24">
        <v>493650</v>
      </c>
      <c r="FD24">
        <v>225715</v>
      </c>
      <c r="FE24" s="11">
        <v>244189</v>
      </c>
      <c r="FF24">
        <v>13389</v>
      </c>
      <c r="FG24">
        <v>4818</v>
      </c>
      <c r="FH24">
        <v>161</v>
      </c>
      <c r="FI24" s="11">
        <v>994</v>
      </c>
      <c r="FJ24">
        <v>4384</v>
      </c>
      <c r="FK24" s="189">
        <f t="shared" si="208"/>
        <v>45.723690874101088</v>
      </c>
      <c r="FL24" s="190">
        <f t="shared" si="209"/>
        <v>49.466018434113238</v>
      </c>
      <c r="FM24" s="190">
        <f t="shared" si="210"/>
        <v>2.712245518079611</v>
      </c>
      <c r="FN24" s="190">
        <f t="shared" si="211"/>
        <v>0.97599513825584927</v>
      </c>
      <c r="FO24" s="190">
        <f t="shared" si="212"/>
        <v>3.2614200344373546E-2</v>
      </c>
      <c r="FP24" s="190">
        <f t="shared" si="213"/>
        <v>0.20135723690874102</v>
      </c>
      <c r="FQ24" s="190">
        <f t="shared" si="214"/>
        <v>0.88807859819710322</v>
      </c>
      <c r="FR24" s="199">
        <f t="shared" si="37"/>
        <v>54.276309125898919</v>
      </c>
      <c r="FS24" s="474">
        <v>492586</v>
      </c>
      <c r="FT24" s="474">
        <v>223607</v>
      </c>
      <c r="FU24" s="474">
        <v>242946</v>
      </c>
      <c r="FV24" s="474">
        <v>14345</v>
      </c>
      <c r="FW24" s="474">
        <v>4857</v>
      </c>
      <c r="FX24" s="474">
        <v>176</v>
      </c>
      <c r="FY24" s="474">
        <v>1016</v>
      </c>
      <c r="FZ24" s="480">
        <v>5639</v>
      </c>
      <c r="GA24" s="189">
        <f t="shared" si="39"/>
        <v>45.394509791183673</v>
      </c>
      <c r="GB24" s="190">
        <f t="shared" si="40"/>
        <v>49.320524740857437</v>
      </c>
      <c r="GC24" s="190">
        <f t="shared" si="41"/>
        <v>2.9121818322079798</v>
      </c>
      <c r="GD24" s="190">
        <f t="shared" si="42"/>
        <v>0.98602071516445855</v>
      </c>
      <c r="GE24" s="190">
        <f t="shared" si="43"/>
        <v>3.5729801496591454E-2</v>
      </c>
      <c r="GF24" s="190">
        <f t="shared" si="44"/>
        <v>0.20625839954850522</v>
      </c>
      <c r="GG24" s="190">
        <f t="shared" si="45"/>
        <v>1.1447747195413593</v>
      </c>
      <c r="GH24" s="199">
        <f t="shared" si="46"/>
        <v>54.605490208816327</v>
      </c>
      <c r="GI24" s="474">
        <v>490917</v>
      </c>
      <c r="GJ24" s="474">
        <v>221626</v>
      </c>
      <c r="GK24" s="474">
        <v>242228</v>
      </c>
      <c r="GL24" s="474">
        <v>15882</v>
      </c>
      <c r="GM24" s="474">
        <v>4958</v>
      </c>
      <c r="GN24" s="474">
        <v>188</v>
      </c>
      <c r="GO24" s="474">
        <v>1125</v>
      </c>
      <c r="GP24" s="480">
        <v>4910</v>
      </c>
      <c r="GQ24" s="189">
        <f t="shared" si="192"/>
        <v>45.145309695936383</v>
      </c>
      <c r="GR24" s="190">
        <f t="shared" si="193"/>
        <v>49.341945787169728</v>
      </c>
      <c r="GS24" s="190">
        <f t="shared" si="194"/>
        <v>3.2351701000372777</v>
      </c>
      <c r="GT24" s="190">
        <f t="shared" si="195"/>
        <v>1.0099466915995983</v>
      </c>
      <c r="GU24" s="190">
        <f t="shared" si="196"/>
        <v>3.8295679310351854E-2</v>
      </c>
      <c r="GV24" s="190">
        <f t="shared" si="197"/>
        <v>0.22916297459652041</v>
      </c>
      <c r="GW24" s="190">
        <f t="shared" si="198"/>
        <v>1.0001690713501468</v>
      </c>
      <c r="GX24" s="199">
        <f t="shared" si="55"/>
        <v>54.854690304063624</v>
      </c>
    </row>
    <row r="25" spans="1:206" s="11" customFormat="1">
      <c r="A25" s="106" t="s">
        <v>93</v>
      </c>
      <c r="B25" s="385">
        <v>30.8</v>
      </c>
      <c r="C25" s="244">
        <v>31.4</v>
      </c>
      <c r="D25" s="244">
        <v>31.5</v>
      </c>
      <c r="E25" s="244">
        <f>100-68.1</f>
        <v>31.900000000000006</v>
      </c>
      <c r="F25" s="244">
        <v>32.4</v>
      </c>
      <c r="G25" s="244">
        <v>34</v>
      </c>
      <c r="H25" s="52">
        <v>68.381763330264448</v>
      </c>
      <c r="I25" s="45">
        <v>28.880379456394799</v>
      </c>
      <c r="J25" s="45">
        <v>0.42201207309000016</v>
      </c>
      <c r="K25" s="45">
        <v>0.63986802183158031</v>
      </c>
      <c r="L25" s="43">
        <v>1.6759771184191743</v>
      </c>
      <c r="M25" s="264">
        <f t="shared" si="153"/>
        <v>31.618236669735552</v>
      </c>
      <c r="N25" s="251">
        <f>100-68.4</f>
        <v>31.599999999999994</v>
      </c>
      <c r="O25" s="252">
        <f>100-66.5</f>
        <v>33.5</v>
      </c>
      <c r="P25" s="247">
        <f>100-66.5</f>
        <v>33.5</v>
      </c>
      <c r="Q25" s="247">
        <f>100-66.4</f>
        <v>33.599999999999994</v>
      </c>
      <c r="R25" s="134">
        <v>33.944149583110047</v>
      </c>
      <c r="S25" s="52">
        <v>65.702138398967207</v>
      </c>
      <c r="T25" s="45">
        <v>30.31491372897494</v>
      </c>
      <c r="U25" s="45">
        <v>1.2954110856480276</v>
      </c>
      <c r="V25" s="45">
        <v>1.1291607801057331</v>
      </c>
      <c r="W25" s="45">
        <v>1.5583760063040986</v>
      </c>
      <c r="X25" s="261">
        <f t="shared" si="154"/>
        <v>34.2978616010328</v>
      </c>
      <c r="Y25" s="52">
        <v>65.2</v>
      </c>
      <c r="Z25" s="45">
        <v>30.5</v>
      </c>
      <c r="AA25" s="45">
        <v>1.5</v>
      </c>
      <c r="AB25" s="45">
        <v>1.2</v>
      </c>
      <c r="AC25" s="45">
        <v>1.5</v>
      </c>
      <c r="AD25" s="261">
        <f t="shared" si="155"/>
        <v>34.700000000000003</v>
      </c>
      <c r="AE25" s="52">
        <v>64.599999999999994</v>
      </c>
      <c r="AF25" s="45">
        <v>30.7</v>
      </c>
      <c r="AG25" s="45">
        <v>1.9</v>
      </c>
      <c r="AH25" s="45">
        <v>1.3</v>
      </c>
      <c r="AI25" s="45">
        <v>1.5</v>
      </c>
      <c r="AJ25" s="261">
        <f t="shared" si="156"/>
        <v>35.4</v>
      </c>
      <c r="AK25" s="257">
        <f>100-63.9</f>
        <v>36.1</v>
      </c>
      <c r="AL25" s="257">
        <f>100-63.2</f>
        <v>36.799999999999997</v>
      </c>
      <c r="AM25" s="257">
        <f>100-62.5</f>
        <v>37.5</v>
      </c>
      <c r="AN25" s="258">
        <f>100-61.8</f>
        <v>38.200000000000003</v>
      </c>
      <c r="AO25" s="77">
        <v>60.96435015050578</v>
      </c>
      <c r="AP25" s="68">
        <v>31.29592668118902</v>
      </c>
      <c r="AQ25" s="68">
        <v>4.4198608884401978</v>
      </c>
      <c r="AR25" s="68">
        <v>1.8515999066199353</v>
      </c>
      <c r="AS25" s="68">
        <v>1.4682623732450655</v>
      </c>
      <c r="AT25" s="261">
        <f t="shared" si="157"/>
        <v>39.03564984949422</v>
      </c>
      <c r="AU25" s="68">
        <v>60.031565430987484</v>
      </c>
      <c r="AV25" s="68">
        <v>31.336748867042786</v>
      </c>
      <c r="AW25" s="68">
        <v>5.2424311767930218</v>
      </c>
      <c r="AX25" s="68">
        <v>1.9192420647380228</v>
      </c>
      <c r="AY25" s="68">
        <v>1.4700124604386773</v>
      </c>
      <c r="AZ25" s="261">
        <f t="shared" si="158"/>
        <v>39.968434569012501</v>
      </c>
      <c r="BA25" s="68">
        <v>59.207577506411148</v>
      </c>
      <c r="BB25" s="68">
        <v>31.442250257119632</v>
      </c>
      <c r="BC25" s="68">
        <v>5.9240063654886317</v>
      </c>
      <c r="BD25" s="68">
        <v>1.9558308145340333</v>
      </c>
      <c r="BE25" s="68">
        <v>1.4703350564465543</v>
      </c>
      <c r="BF25" s="261">
        <f t="shared" si="159"/>
        <v>40.792422493588845</v>
      </c>
      <c r="BG25" s="68">
        <v>58.302878454708065</v>
      </c>
      <c r="BH25" s="68">
        <v>31.563164190209005</v>
      </c>
      <c r="BI25" s="68">
        <v>6.6564770560994679</v>
      </c>
      <c r="BJ25" s="68">
        <v>2.0048389622477134</v>
      </c>
      <c r="BK25" s="68">
        <v>1.4726413367357516</v>
      </c>
      <c r="BL25" s="199">
        <f t="shared" si="160"/>
        <v>41.697121545291935</v>
      </c>
      <c r="BM25" s="68">
        <v>57.406076403171127</v>
      </c>
      <c r="BN25" s="68">
        <v>31.563394368697473</v>
      </c>
      <c r="BO25" s="68">
        <v>7.5039292688312651</v>
      </c>
      <c r="BP25" s="68">
        <v>2.046611447630676</v>
      </c>
      <c r="BQ25" s="68">
        <v>1.4799885116694593</v>
      </c>
      <c r="BR25" s="199">
        <f t="shared" si="161"/>
        <v>42.593923596828873</v>
      </c>
      <c r="BS25" s="68">
        <v>56.577000302166844</v>
      </c>
      <c r="BT25" s="68">
        <v>31.507177168611928</v>
      </c>
      <c r="BU25" s="68">
        <v>8.3664210737371825</v>
      </c>
      <c r="BV25" s="68">
        <v>2.1047191683916533</v>
      </c>
      <c r="BW25" s="68">
        <v>1.4446822870923925</v>
      </c>
      <c r="BX25" s="199">
        <f t="shared" si="162"/>
        <v>43.422999697833156</v>
      </c>
      <c r="BY25" s="6">
        <v>1399361</v>
      </c>
      <c r="BZ25" s="6">
        <v>803979</v>
      </c>
      <c r="CA25" s="6">
        <v>408189</v>
      </c>
      <c r="CB25" s="6">
        <v>134420</v>
      </c>
      <c r="CC25" s="6">
        <v>32042</v>
      </c>
      <c r="CD25" s="6">
        <v>20731</v>
      </c>
      <c r="CE25" s="189">
        <f t="shared" si="163"/>
        <v>57.453294753819783</v>
      </c>
      <c r="CF25" s="190">
        <f t="shared" si="164"/>
        <v>29.169671014127164</v>
      </c>
      <c r="CG25" s="190">
        <f t="shared" si="165"/>
        <v>9.6058129389056859</v>
      </c>
      <c r="CH25" s="190">
        <f t="shared" si="166"/>
        <v>2.289759397324922</v>
      </c>
      <c r="CI25" s="190">
        <f t="shared" si="167"/>
        <v>1.4814618958224504</v>
      </c>
      <c r="CJ25" s="199">
        <f t="shared" si="168"/>
        <v>42.546705246180217</v>
      </c>
      <c r="CK25" s="6">
        <v>1439091</v>
      </c>
      <c r="CL25" s="6">
        <v>817399</v>
      </c>
      <c r="CM25" s="6">
        <v>417547</v>
      </c>
      <c r="CN25" s="6">
        <v>147879</v>
      </c>
      <c r="CO25" s="6">
        <v>34988</v>
      </c>
      <c r="CP25" s="6">
        <v>21278</v>
      </c>
      <c r="CQ25" s="189">
        <f t="shared" si="169"/>
        <v>56.799674238807697</v>
      </c>
      <c r="CR25" s="190">
        <f t="shared" si="170"/>
        <v>29.014634932745743</v>
      </c>
      <c r="CS25" s="190">
        <f t="shared" si="171"/>
        <v>10.275861637658771</v>
      </c>
      <c r="CT25" s="190">
        <f t="shared" si="172"/>
        <v>2.431256953173913</v>
      </c>
      <c r="CU25" s="190">
        <f t="shared" si="173"/>
        <v>1.4785722376138826</v>
      </c>
      <c r="CV25" s="199">
        <f t="shared" si="174"/>
        <v>43.20032576119231</v>
      </c>
      <c r="CW25" s="6">
        <f t="shared" si="199"/>
        <v>1487448</v>
      </c>
      <c r="CX25" s="6">
        <v>807682</v>
      </c>
      <c r="CY25" s="6">
        <v>463764</v>
      </c>
      <c r="CZ25" s="6">
        <v>157861</v>
      </c>
      <c r="DA25" s="6">
        <v>21495</v>
      </c>
      <c r="DB25" s="6">
        <v>36646</v>
      </c>
      <c r="DC25" s="6"/>
      <c r="DD25" s="189">
        <f t="shared" si="175"/>
        <v>54.299847792998477</v>
      </c>
      <c r="DE25" s="190">
        <f t="shared" si="176"/>
        <v>31.178501702244382</v>
      </c>
      <c r="DF25" s="190">
        <f t="shared" si="177"/>
        <v>10.61287520639377</v>
      </c>
      <c r="DG25" s="190">
        <f t="shared" si="178"/>
        <v>2.463682764036121</v>
      </c>
      <c r="DH25" s="190">
        <f t="shared" si="179"/>
        <v>1.4450925343272505</v>
      </c>
      <c r="DI25" s="190"/>
      <c r="DJ25" s="191">
        <f t="shared" si="20"/>
        <v>45.70015220700153</v>
      </c>
      <c r="DK25" s="382">
        <v>1482133</v>
      </c>
      <c r="DL25" s="6">
        <v>798463</v>
      </c>
      <c r="DM25" s="6">
        <v>460080</v>
      </c>
      <c r="DN25" s="6">
        <v>164734</v>
      </c>
      <c r="DO25" s="6">
        <v>20965</v>
      </c>
      <c r="DP25" s="6">
        <v>37891</v>
      </c>
      <c r="DQ25" s="6"/>
      <c r="DR25" s="189">
        <f t="shared" si="180"/>
        <v>53.872560694620518</v>
      </c>
      <c r="DS25" s="190">
        <f t="shared" si="181"/>
        <v>31.041748615002838</v>
      </c>
      <c r="DT25" s="190">
        <f t="shared" si="182"/>
        <v>11.114657051695092</v>
      </c>
      <c r="DU25" s="190">
        <f t="shared" si="183"/>
        <v>2.5565182072054262</v>
      </c>
      <c r="DV25" s="190">
        <f t="shared" si="184"/>
        <v>1.4145154314761226</v>
      </c>
      <c r="DW25" s="190"/>
      <c r="DX25" s="191">
        <f t="shared" si="185"/>
        <v>46.127439305379482</v>
      </c>
      <c r="DY25" s="382">
        <v>1490605</v>
      </c>
      <c r="DZ25" s="6">
        <v>792461</v>
      </c>
      <c r="EA25" s="6">
        <v>394635</v>
      </c>
      <c r="EB25" s="6">
        <v>187967</v>
      </c>
      <c r="EC25" s="6">
        <v>22199</v>
      </c>
      <c r="ED25" s="6">
        <v>37538</v>
      </c>
      <c r="EE25" s="6">
        <v>55805</v>
      </c>
      <c r="EF25" s="189">
        <f t="shared" si="186"/>
        <v>53.163715404147979</v>
      </c>
      <c r="EG25" s="190">
        <f t="shared" si="187"/>
        <v>26.474820626524131</v>
      </c>
      <c r="EH25" s="190">
        <f t="shared" si="188"/>
        <v>12.610114684976907</v>
      </c>
      <c r="EI25" s="190">
        <f t="shared" si="189"/>
        <v>2.518306325284029</v>
      </c>
      <c r="EJ25" s="190">
        <f t="shared" si="190"/>
        <v>1.4892610718466663</v>
      </c>
      <c r="EK25" s="190"/>
      <c r="EL25" s="191">
        <f t="shared" si="191"/>
        <v>43.092502708631741</v>
      </c>
      <c r="EM25" s="11">
        <v>1507864</v>
      </c>
      <c r="EN25" s="444">
        <f t="shared" si="200"/>
        <v>790131.99999999988</v>
      </c>
      <c r="EO25" s="444">
        <f t="shared" si="201"/>
        <v>397489</v>
      </c>
      <c r="EP25" s="444">
        <f t="shared" si="202"/>
        <v>203503</v>
      </c>
      <c r="EQ25" s="444">
        <f t="shared" si="203"/>
        <v>38018.999999999993</v>
      </c>
      <c r="ER25" s="444">
        <f t="shared" si="204"/>
        <v>1293</v>
      </c>
      <c r="ES25" s="444">
        <f t="shared" si="205"/>
        <v>22098</v>
      </c>
      <c r="ET25" s="444">
        <f t="shared" si="206"/>
        <v>55329.999999999993</v>
      </c>
      <c r="EU25" s="148">
        <v>52.400747016972346</v>
      </c>
      <c r="EV25" s="148">
        <v>26.361064393075239</v>
      </c>
      <c r="EW25" s="148">
        <v>13.496111055108418</v>
      </c>
      <c r="EX25" s="148">
        <v>2.521381238626295</v>
      </c>
      <c r="EY25" s="148">
        <v>8.5750439031636802E-2</v>
      </c>
      <c r="EZ25" s="148">
        <v>1.4655167840070458</v>
      </c>
      <c r="FA25" s="148">
        <v>3.6694290731790131</v>
      </c>
      <c r="FB25" s="191">
        <f t="shared" si="207"/>
        <v>47.59925298302764</v>
      </c>
      <c r="FC25">
        <v>1518465</v>
      </c>
      <c r="FD25">
        <v>787559</v>
      </c>
      <c r="FE25" s="11">
        <v>397779</v>
      </c>
      <c r="FF25">
        <v>215472</v>
      </c>
      <c r="FG25">
        <v>39929</v>
      </c>
      <c r="FH25">
        <v>1382</v>
      </c>
      <c r="FI25" s="11">
        <v>21219</v>
      </c>
      <c r="FJ25">
        <v>55125</v>
      </c>
      <c r="FK25" s="189">
        <f t="shared" si="208"/>
        <v>51.865469404958297</v>
      </c>
      <c r="FL25" s="190">
        <f t="shared" si="209"/>
        <v>26.196125692722582</v>
      </c>
      <c r="FM25" s="190">
        <f t="shared" si="210"/>
        <v>14.190119627386869</v>
      </c>
      <c r="FN25" s="190">
        <f t="shared" si="211"/>
        <v>2.6295634077835182</v>
      </c>
      <c r="FO25" s="190">
        <f t="shared" si="212"/>
        <v>9.1012963749576042E-2</v>
      </c>
      <c r="FP25" s="190">
        <f t="shared" si="213"/>
        <v>1.3973980302476514</v>
      </c>
      <c r="FQ25" s="190">
        <f t="shared" si="214"/>
        <v>3.630310873151505</v>
      </c>
      <c r="FR25" s="199">
        <f t="shared" si="37"/>
        <v>48.13453059504171</v>
      </c>
      <c r="FS25" s="474">
        <v>1499879</v>
      </c>
      <c r="FT25" s="474">
        <v>770454</v>
      </c>
      <c r="FU25" s="474">
        <v>390455</v>
      </c>
      <c r="FV25" s="474">
        <v>218127</v>
      </c>
      <c r="FW25" s="474">
        <v>41590</v>
      </c>
      <c r="FX25" s="474">
        <v>1749</v>
      </c>
      <c r="FY25" s="474">
        <v>20556</v>
      </c>
      <c r="FZ25" s="480">
        <v>56948</v>
      </c>
      <c r="GA25" s="189">
        <f t="shared" si="39"/>
        <v>51.36774366465562</v>
      </c>
      <c r="GB25" s="190">
        <f t="shared" si="40"/>
        <v>26.032433282951491</v>
      </c>
      <c r="GC25" s="190">
        <f t="shared" si="41"/>
        <v>14.542973133166075</v>
      </c>
      <c r="GD25" s="190">
        <f t="shared" si="42"/>
        <v>2.7728903464879497</v>
      </c>
      <c r="GE25" s="190">
        <f t="shared" si="43"/>
        <v>0.11660940649212369</v>
      </c>
      <c r="GF25" s="190">
        <f t="shared" si="44"/>
        <v>1.3705105545180645</v>
      </c>
      <c r="GG25" s="190">
        <f t="shared" si="45"/>
        <v>3.7968396117286791</v>
      </c>
      <c r="GH25" s="199">
        <f t="shared" si="46"/>
        <v>48.63225633534438</v>
      </c>
      <c r="GI25" s="474">
        <v>1548895</v>
      </c>
      <c r="GJ25" s="511" t="s">
        <v>318</v>
      </c>
      <c r="GK25" s="511" t="s">
        <v>318</v>
      </c>
      <c r="GL25" s="511" t="s">
        <v>318</v>
      </c>
      <c r="GM25" s="511" t="s">
        <v>318</v>
      </c>
      <c r="GN25" s="511" t="s">
        <v>318</v>
      </c>
      <c r="GO25" s="511" t="s">
        <v>318</v>
      </c>
      <c r="GP25" s="512" t="s">
        <v>318</v>
      </c>
      <c r="GQ25" s="509" t="s">
        <v>318</v>
      </c>
      <c r="GR25" s="509" t="s">
        <v>318</v>
      </c>
      <c r="GS25" s="509" t="s">
        <v>318</v>
      </c>
      <c r="GT25" s="509" t="s">
        <v>318</v>
      </c>
      <c r="GU25" s="509" t="s">
        <v>318</v>
      </c>
      <c r="GV25" s="509" t="s">
        <v>318</v>
      </c>
      <c r="GW25" s="509" t="s">
        <v>318</v>
      </c>
      <c r="GX25" s="510" t="s">
        <v>318</v>
      </c>
    </row>
    <row r="26" spans="1:206" s="11" customFormat="1">
      <c r="A26" s="106" t="s">
        <v>94</v>
      </c>
      <c r="B26" s="385">
        <v>16.399999999999999</v>
      </c>
      <c r="C26" s="244">
        <v>22</v>
      </c>
      <c r="D26" s="244">
        <v>22.8</v>
      </c>
      <c r="E26" s="244">
        <f>100-79.2</f>
        <v>20.799999999999997</v>
      </c>
      <c r="F26" s="244">
        <v>24.3</v>
      </c>
      <c r="G26" s="244">
        <v>24</v>
      </c>
      <c r="H26" s="52">
        <v>78.964822160088431</v>
      </c>
      <c r="I26" s="45">
        <v>7.8113630522759854</v>
      </c>
      <c r="J26" s="45">
        <v>1.627296344117984</v>
      </c>
      <c r="K26" s="45">
        <v>1.0391411912967281</v>
      </c>
      <c r="L26" s="43">
        <v>10.557377252220871</v>
      </c>
      <c r="M26" s="264">
        <f t="shared" si="153"/>
        <v>21.035177839911569</v>
      </c>
      <c r="N26" s="251">
        <f>100-79</f>
        <v>21</v>
      </c>
      <c r="O26" s="252">
        <f>100-75</f>
        <v>25</v>
      </c>
      <c r="P26" s="247">
        <f>100-74.2</f>
        <v>25.799999999999997</v>
      </c>
      <c r="Q26" s="247">
        <f>100-73.5</f>
        <v>26.5</v>
      </c>
      <c r="R26" s="134">
        <v>27.441818401061141</v>
      </c>
      <c r="S26" s="52">
        <v>71.563842960157331</v>
      </c>
      <c r="T26" s="45">
        <v>10.257484157622551</v>
      </c>
      <c r="U26" s="45">
        <v>3.325078301405783</v>
      </c>
      <c r="V26" s="45">
        <v>1.1928962580867308</v>
      </c>
      <c r="W26" s="45">
        <v>13.660698322727605</v>
      </c>
      <c r="X26" s="261">
        <f t="shared" si="154"/>
        <v>28.436157039842669</v>
      </c>
      <c r="Y26" s="52">
        <v>70.400000000000006</v>
      </c>
      <c r="Z26" s="45">
        <v>10.4</v>
      </c>
      <c r="AA26" s="45">
        <v>3.7</v>
      </c>
      <c r="AB26" s="45">
        <v>1.2</v>
      </c>
      <c r="AC26" s="45">
        <v>14.3</v>
      </c>
      <c r="AD26" s="261">
        <f t="shared" si="155"/>
        <v>29.6</v>
      </c>
      <c r="AE26" s="52">
        <v>69.400000000000006</v>
      </c>
      <c r="AF26" s="45">
        <v>10.5</v>
      </c>
      <c r="AG26" s="45">
        <v>3.9</v>
      </c>
      <c r="AH26" s="45">
        <v>1.3</v>
      </c>
      <c r="AI26" s="45">
        <v>15</v>
      </c>
      <c r="AJ26" s="261">
        <f t="shared" si="156"/>
        <v>30.700000000000003</v>
      </c>
      <c r="AK26" s="257">
        <f>100-68.8</f>
        <v>31.200000000000003</v>
      </c>
      <c r="AL26" s="257">
        <f>100-68.1</f>
        <v>31.900000000000006</v>
      </c>
      <c r="AM26" s="257">
        <f>100-67</f>
        <v>33</v>
      </c>
      <c r="AN26" s="258">
        <f>100-66.2</f>
        <v>33.799999999999997</v>
      </c>
      <c r="AO26" s="77">
        <v>64.922087781046528</v>
      </c>
      <c r="AP26" s="68">
        <v>10.782203690418298</v>
      </c>
      <c r="AQ26" s="68">
        <v>5.9548399625726036</v>
      </c>
      <c r="AR26" s="68">
        <v>1.4152434786935078</v>
      </c>
      <c r="AS26" s="68">
        <v>16.925625087269069</v>
      </c>
      <c r="AT26" s="261">
        <f t="shared" si="157"/>
        <v>35.077912218953479</v>
      </c>
      <c r="AU26" s="68">
        <v>63.744758004240211</v>
      </c>
      <c r="AV26" s="68">
        <v>10.822983288300525</v>
      </c>
      <c r="AW26" s="68">
        <v>6.4893858124952786</v>
      </c>
      <c r="AX26" s="68">
        <v>1.4548195821191083</v>
      </c>
      <c r="AY26" s="68">
        <v>17.48805331284488</v>
      </c>
      <c r="AZ26" s="261">
        <f t="shared" si="158"/>
        <v>36.255241995759789</v>
      </c>
      <c r="BA26" s="68">
        <v>62.637139179054287</v>
      </c>
      <c r="BB26" s="68">
        <v>10.927903059492625</v>
      </c>
      <c r="BC26" s="68">
        <v>7.0194764853942369</v>
      </c>
      <c r="BD26" s="68">
        <v>1.4983636165675016</v>
      </c>
      <c r="BE26" s="68">
        <v>17.917117659491343</v>
      </c>
      <c r="BF26" s="261">
        <f t="shared" si="159"/>
        <v>37.362860820945706</v>
      </c>
      <c r="BG26" s="68">
        <v>61.461766960521267</v>
      </c>
      <c r="BH26" s="68">
        <v>10.910150760189088</v>
      </c>
      <c r="BI26" s="68">
        <v>7.6383033090583874</v>
      </c>
      <c r="BJ26" s="68">
        <v>1.5005749329244922</v>
      </c>
      <c r="BK26" s="68">
        <v>18.489204037306759</v>
      </c>
      <c r="BL26" s="199">
        <f t="shared" si="160"/>
        <v>38.538233039478726</v>
      </c>
      <c r="BM26" s="68">
        <v>60.646950797170987</v>
      </c>
      <c r="BN26" s="68">
        <v>10.831866504838946</v>
      </c>
      <c r="BO26" s="68">
        <v>8.2239831224701181</v>
      </c>
      <c r="BP26" s="68">
        <v>1.5821095641454161</v>
      </c>
      <c r="BQ26" s="68">
        <v>18.715090011374542</v>
      </c>
      <c r="BR26" s="199">
        <f t="shared" si="161"/>
        <v>39.353049202829027</v>
      </c>
      <c r="BS26" s="68">
        <v>59.635535235742566</v>
      </c>
      <c r="BT26" s="68">
        <v>10.884788865974834</v>
      </c>
      <c r="BU26" s="68">
        <v>8.8816033046653828</v>
      </c>
      <c r="BV26" s="68">
        <v>1.6734437304151786</v>
      </c>
      <c r="BW26" s="68">
        <v>18.924628863202038</v>
      </c>
      <c r="BX26" s="199">
        <f t="shared" si="162"/>
        <v>40.364464764257434</v>
      </c>
      <c r="BY26" s="6">
        <v>639391</v>
      </c>
      <c r="BZ26" s="6">
        <v>374874</v>
      </c>
      <c r="CA26" s="6">
        <v>69053</v>
      </c>
      <c r="CB26" s="6">
        <v>60634</v>
      </c>
      <c r="CC26" s="6">
        <v>11670</v>
      </c>
      <c r="CD26" s="6">
        <v>123160</v>
      </c>
      <c r="CE26" s="189">
        <f t="shared" si="163"/>
        <v>58.629852468990016</v>
      </c>
      <c r="CF26" s="190">
        <f t="shared" si="164"/>
        <v>10.799807942245042</v>
      </c>
      <c r="CG26" s="190">
        <f t="shared" si="165"/>
        <v>9.4830862492590615</v>
      </c>
      <c r="CH26" s="190">
        <f t="shared" si="166"/>
        <v>1.8251742673888121</v>
      </c>
      <c r="CI26" s="190">
        <f t="shared" si="167"/>
        <v>19.262079072117061</v>
      </c>
      <c r="CJ26" s="199">
        <f t="shared" si="168"/>
        <v>41.370147531009977</v>
      </c>
      <c r="CK26" s="6">
        <v>642065</v>
      </c>
      <c r="CL26" s="6">
        <v>372832</v>
      </c>
      <c r="CM26" s="6">
        <v>69471</v>
      </c>
      <c r="CN26" s="6">
        <v>64201</v>
      </c>
      <c r="CO26" s="6">
        <v>12463</v>
      </c>
      <c r="CP26" s="6">
        <v>123098</v>
      </c>
      <c r="CQ26" s="189">
        <f t="shared" si="169"/>
        <v>58.067641126677202</v>
      </c>
      <c r="CR26" s="190">
        <f t="shared" si="170"/>
        <v>10.819932561345034</v>
      </c>
      <c r="CS26" s="190">
        <f t="shared" si="171"/>
        <v>9.9991433889092214</v>
      </c>
      <c r="CT26" s="190">
        <f t="shared" si="172"/>
        <v>1.941080731701619</v>
      </c>
      <c r="CU26" s="190">
        <f t="shared" si="173"/>
        <v>19.172202191366917</v>
      </c>
      <c r="CV26" s="199">
        <f t="shared" si="174"/>
        <v>41.932358873322791</v>
      </c>
      <c r="CW26" s="6">
        <f t="shared" si="199"/>
        <v>645108</v>
      </c>
      <c r="CX26" s="6">
        <v>369628</v>
      </c>
      <c r="CY26" s="6">
        <v>70003</v>
      </c>
      <c r="CZ26" s="6">
        <v>67677</v>
      </c>
      <c r="DA26" s="6">
        <v>124138</v>
      </c>
      <c r="DB26" s="6">
        <v>13662</v>
      </c>
      <c r="DC26" s="6"/>
      <c r="DD26" s="189">
        <f t="shared" si="175"/>
        <v>57.297072738208179</v>
      </c>
      <c r="DE26" s="190">
        <f t="shared" si="176"/>
        <v>10.851361322445234</v>
      </c>
      <c r="DF26" s="190">
        <f t="shared" si="177"/>
        <v>10.490801540207222</v>
      </c>
      <c r="DG26" s="190">
        <f t="shared" si="178"/>
        <v>2.1177849290351385</v>
      </c>
      <c r="DH26" s="190">
        <f t="shared" si="179"/>
        <v>19.242979470104231</v>
      </c>
      <c r="DI26" s="190"/>
      <c r="DJ26" s="191">
        <f t="shared" si="20"/>
        <v>42.702927261791828</v>
      </c>
      <c r="DK26" s="382">
        <v>654802</v>
      </c>
      <c r="DL26" s="6">
        <v>369471</v>
      </c>
      <c r="DM26" s="6">
        <v>71714</v>
      </c>
      <c r="DN26" s="6">
        <v>73107</v>
      </c>
      <c r="DO26" s="6">
        <v>126078</v>
      </c>
      <c r="DP26" s="6">
        <v>14432</v>
      </c>
      <c r="DQ26" s="6"/>
      <c r="DR26" s="189">
        <f t="shared" si="180"/>
        <v>56.424842929618421</v>
      </c>
      <c r="DS26" s="190">
        <f t="shared" si="181"/>
        <v>10.952012974914554</v>
      </c>
      <c r="DT26" s="190">
        <f t="shared" si="182"/>
        <v>11.164749038640688</v>
      </c>
      <c r="DU26" s="190">
        <f t="shared" si="183"/>
        <v>2.2040250335215834</v>
      </c>
      <c r="DV26" s="190">
        <f t="shared" si="184"/>
        <v>19.254370023304755</v>
      </c>
      <c r="DW26" s="190"/>
      <c r="DX26" s="191">
        <f t="shared" si="185"/>
        <v>43.575157070381579</v>
      </c>
      <c r="DY26" s="382">
        <v>659911</v>
      </c>
      <c r="DZ26" s="6">
        <v>360125</v>
      </c>
      <c r="EA26" s="6">
        <v>67107</v>
      </c>
      <c r="EB26" s="6">
        <v>81009</v>
      </c>
      <c r="EC26" s="6">
        <v>116597</v>
      </c>
      <c r="ED26" s="6">
        <v>14116</v>
      </c>
      <c r="EE26" s="6">
        <v>20957</v>
      </c>
      <c r="EF26" s="189">
        <f t="shared" si="186"/>
        <v>54.571752857582311</v>
      </c>
      <c r="EG26" s="190">
        <f t="shared" si="187"/>
        <v>10.1690985602604</v>
      </c>
      <c r="EH26" s="190">
        <f t="shared" si="188"/>
        <v>12.275746274876461</v>
      </c>
      <c r="EI26" s="190">
        <f t="shared" si="189"/>
        <v>2.1390763299899533</v>
      </c>
      <c r="EJ26" s="190">
        <f t="shared" si="190"/>
        <v>17.668594704437414</v>
      </c>
      <c r="EK26" s="190"/>
      <c r="EL26" s="191">
        <f t="shared" si="191"/>
        <v>42.252515869564235</v>
      </c>
      <c r="EM26" s="11">
        <v>666120</v>
      </c>
      <c r="EN26" s="444">
        <f t="shared" si="200"/>
        <v>357497</v>
      </c>
      <c r="EO26" s="444">
        <f t="shared" si="201"/>
        <v>65168.000000000007</v>
      </c>
      <c r="EP26" s="444">
        <f t="shared" si="202"/>
        <v>87496</v>
      </c>
      <c r="EQ26" s="444">
        <f t="shared" si="203"/>
        <v>12339.999999999998</v>
      </c>
      <c r="ER26" s="444">
        <f t="shared" si="204"/>
        <v>1833.0000000000002</v>
      </c>
      <c r="ES26" s="444">
        <f t="shared" si="205"/>
        <v>110616.99999999999</v>
      </c>
      <c r="ET26" s="444">
        <f t="shared" si="206"/>
        <v>31169</v>
      </c>
      <c r="EU26" s="148">
        <v>53.66855821773855</v>
      </c>
      <c r="EV26" s="148">
        <v>9.7832222422386366</v>
      </c>
      <c r="EW26" s="148">
        <v>13.135170840088872</v>
      </c>
      <c r="EX26" s="148">
        <v>1.8525190656338195</v>
      </c>
      <c r="EY26" s="148">
        <v>0.27517564402810307</v>
      </c>
      <c r="EZ26" s="148">
        <v>16.606167056986727</v>
      </c>
      <c r="FA26" s="148">
        <v>4.679186933285294</v>
      </c>
      <c r="FB26" s="191">
        <f t="shared" si="207"/>
        <v>46.33144178226145</v>
      </c>
      <c r="FC26">
        <v>673483</v>
      </c>
      <c r="FD26">
        <v>354323</v>
      </c>
      <c r="FE26" s="11">
        <v>63381</v>
      </c>
      <c r="FF26">
        <v>95014</v>
      </c>
      <c r="FG26">
        <v>12439</v>
      </c>
      <c r="FH26">
        <v>1778</v>
      </c>
      <c r="FI26" s="11">
        <v>105995</v>
      </c>
      <c r="FJ26">
        <v>40553</v>
      </c>
      <c r="FK26" s="189">
        <f t="shared" si="208"/>
        <v>52.610533599214826</v>
      </c>
      <c r="FL26" s="190">
        <f t="shared" si="209"/>
        <v>9.4109279670013937</v>
      </c>
      <c r="FM26" s="190">
        <f t="shared" si="210"/>
        <v>14.107854244279366</v>
      </c>
      <c r="FN26" s="190">
        <f t="shared" si="211"/>
        <v>1.8469656992084433</v>
      </c>
      <c r="FO26" s="190">
        <f t="shared" si="212"/>
        <v>0.2640007245914151</v>
      </c>
      <c r="FP26" s="190">
        <f t="shared" si="213"/>
        <v>15.738333410048956</v>
      </c>
      <c r="FQ26" s="190">
        <f t="shared" si="214"/>
        <v>6.0213843556555995</v>
      </c>
      <c r="FR26" s="199">
        <f t="shared" si="37"/>
        <v>47.389466400785167</v>
      </c>
      <c r="FS26" s="474">
        <v>681848</v>
      </c>
      <c r="FT26" s="474">
        <v>352362</v>
      </c>
      <c r="FU26" s="474">
        <v>62614</v>
      </c>
      <c r="FV26" s="474">
        <v>102080</v>
      </c>
      <c r="FW26" s="474">
        <v>12561</v>
      </c>
      <c r="FX26" s="474">
        <v>1883</v>
      </c>
      <c r="FY26" s="474">
        <v>102186</v>
      </c>
      <c r="FZ26" s="480">
        <v>48162</v>
      </c>
      <c r="GA26" s="189">
        <f t="shared" si="39"/>
        <v>51.677499970667952</v>
      </c>
      <c r="GB26" s="190">
        <f t="shared" si="40"/>
        <v>9.1829850641198618</v>
      </c>
      <c r="GC26" s="190">
        <f t="shared" si="41"/>
        <v>14.97107859816264</v>
      </c>
      <c r="GD26" s="190">
        <f t="shared" si="42"/>
        <v>1.8421994344780657</v>
      </c>
      <c r="GE26" s="190">
        <f t="shared" si="43"/>
        <v>0.2761612558810761</v>
      </c>
      <c r="GF26" s="190">
        <f t="shared" si="44"/>
        <v>14.986624584951485</v>
      </c>
      <c r="GG26" s="190">
        <f t="shared" si="45"/>
        <v>7.0634510917389219</v>
      </c>
      <c r="GH26" s="199">
        <f t="shared" si="46"/>
        <v>48.322500029332048</v>
      </c>
      <c r="GI26" s="474">
        <v>688511</v>
      </c>
      <c r="GJ26" s="474">
        <v>350113</v>
      </c>
      <c r="GK26" s="474">
        <v>62443</v>
      </c>
      <c r="GL26" s="474">
        <v>107422</v>
      </c>
      <c r="GM26" s="474">
        <v>13200</v>
      </c>
      <c r="GN26" s="474">
        <v>2057</v>
      </c>
      <c r="GO26" s="474">
        <v>100357</v>
      </c>
      <c r="GP26" s="480">
        <v>52919</v>
      </c>
      <c r="GQ26" s="189">
        <f t="shared" si="192"/>
        <v>50.850748935020654</v>
      </c>
      <c r="GR26" s="190">
        <f t="shared" si="193"/>
        <v>9.0692813912922237</v>
      </c>
      <c r="GS26" s="190">
        <f t="shared" si="194"/>
        <v>15.602074621901465</v>
      </c>
      <c r="GT26" s="190">
        <f t="shared" si="195"/>
        <v>1.9171806986380755</v>
      </c>
      <c r="GU26" s="190">
        <f t="shared" si="196"/>
        <v>0.29876065887110009</v>
      </c>
      <c r="GV26" s="190">
        <f t="shared" si="197"/>
        <v>14.57594722524404</v>
      </c>
      <c r="GW26" s="190">
        <f t="shared" si="198"/>
        <v>7.6860064690324483</v>
      </c>
      <c r="GX26" s="199">
        <f t="shared" si="55"/>
        <v>49.149251064979353</v>
      </c>
    </row>
    <row r="27" spans="1:206" s="11" customFormat="1">
      <c r="A27" s="106" t="s">
        <v>95</v>
      </c>
      <c r="B27" s="385">
        <v>41.2</v>
      </c>
      <c r="C27" s="244">
        <v>41.7</v>
      </c>
      <c r="D27" s="244">
        <v>41.8</v>
      </c>
      <c r="E27" s="244">
        <f>100-56.5</f>
        <v>43.5</v>
      </c>
      <c r="F27" s="244">
        <v>42</v>
      </c>
      <c r="G27" s="244">
        <v>41</v>
      </c>
      <c r="H27" s="52">
        <v>54.630146663978749</v>
      </c>
      <c r="I27" s="45">
        <v>44.487122078450334</v>
      </c>
      <c r="J27" s="45">
        <v>0.2105139215710761</v>
      </c>
      <c r="K27" s="45">
        <v>0.56499795730135427</v>
      </c>
      <c r="L27" s="43">
        <v>0.10721937869848876</v>
      </c>
      <c r="M27" s="264">
        <f t="shared" si="153"/>
        <v>45.369853336021251</v>
      </c>
      <c r="N27" s="251">
        <f>100-54.6</f>
        <v>45.4</v>
      </c>
      <c r="O27" s="252">
        <f>100-57.9</f>
        <v>42.1</v>
      </c>
      <c r="P27" s="247">
        <f>100-57.8</f>
        <v>42.2</v>
      </c>
      <c r="Q27" s="247">
        <f>100-57.7</f>
        <v>42.3</v>
      </c>
      <c r="R27" s="134">
        <v>42.666860324682396</v>
      </c>
      <c r="S27" s="52">
        <v>57.009483825960174</v>
      </c>
      <c r="T27" s="45">
        <v>41.597323914450733</v>
      </c>
      <c r="U27" s="45">
        <v>0.54882379189632524</v>
      </c>
      <c r="V27" s="45">
        <v>0.68614758065022974</v>
      </c>
      <c r="W27" s="45">
        <v>0.15822088704254209</v>
      </c>
      <c r="X27" s="261">
        <f t="shared" si="154"/>
        <v>42.990516174039826</v>
      </c>
      <c r="Y27" s="52">
        <v>56.8</v>
      </c>
      <c r="Z27" s="45">
        <v>41.7</v>
      </c>
      <c r="AA27" s="45">
        <v>0.6</v>
      </c>
      <c r="AB27" s="45">
        <v>0.7</v>
      </c>
      <c r="AC27" s="45">
        <v>0.2</v>
      </c>
      <c r="AD27" s="261">
        <f t="shared" si="155"/>
        <v>43.20000000000001</v>
      </c>
      <c r="AE27" s="52">
        <v>56.3</v>
      </c>
      <c r="AF27" s="45">
        <v>42.1</v>
      </c>
      <c r="AG27" s="45">
        <v>0.7</v>
      </c>
      <c r="AH27" s="45">
        <v>0.8</v>
      </c>
      <c r="AI27" s="45">
        <v>0.2</v>
      </c>
      <c r="AJ27" s="261">
        <f t="shared" si="156"/>
        <v>43.800000000000004</v>
      </c>
      <c r="AK27" s="257">
        <f>100-56</f>
        <v>44</v>
      </c>
      <c r="AL27" s="257">
        <f>100-55.7</f>
        <v>44.3</v>
      </c>
      <c r="AM27" s="257">
        <f>100-55.7</f>
        <v>44.3</v>
      </c>
      <c r="AN27" s="258">
        <f>100-55.2</f>
        <v>44.8</v>
      </c>
      <c r="AO27" s="77">
        <v>54.851272905507955</v>
      </c>
      <c r="AP27" s="68">
        <v>42.059620756243469</v>
      </c>
      <c r="AQ27" s="68">
        <v>1.8907563025210083</v>
      </c>
      <c r="AR27" s="68">
        <v>0.95903435161837047</v>
      </c>
      <c r="AS27" s="68">
        <v>0.23931568410920237</v>
      </c>
      <c r="AT27" s="261">
        <f t="shared" si="157"/>
        <v>45.148727094492045</v>
      </c>
      <c r="AU27" s="68">
        <v>54.732237039017349</v>
      </c>
      <c r="AV27" s="68">
        <v>41.673180696773592</v>
      </c>
      <c r="AW27" s="68">
        <v>2.3518796730295906</v>
      </c>
      <c r="AX27" s="68">
        <v>0.99947984622045816</v>
      </c>
      <c r="AY27" s="68">
        <v>0.24322274495901247</v>
      </c>
      <c r="AZ27" s="261">
        <f t="shared" si="158"/>
        <v>45.267762960982658</v>
      </c>
      <c r="BA27" s="68">
        <v>54.441599398200388</v>
      </c>
      <c r="BB27" s="68">
        <v>41.523594595376558</v>
      </c>
      <c r="BC27" s="68">
        <v>2.7229985822989904</v>
      </c>
      <c r="BD27" s="68">
        <v>1.0553192720539304</v>
      </c>
      <c r="BE27" s="68">
        <v>0.25648815207013281</v>
      </c>
      <c r="BF27" s="261">
        <f t="shared" si="159"/>
        <v>45.558400601799612</v>
      </c>
      <c r="BG27" s="68">
        <v>54.158506670347649</v>
      </c>
      <c r="BH27" s="68">
        <v>41.271032660115665</v>
      </c>
      <c r="BI27" s="68">
        <v>3.1580264168198013</v>
      </c>
      <c r="BJ27" s="68">
        <v>1.1291709443739881</v>
      </c>
      <c r="BK27" s="68">
        <v>0.28326330834289526</v>
      </c>
      <c r="BL27" s="199">
        <f t="shared" si="160"/>
        <v>45.841493329652351</v>
      </c>
      <c r="BM27" s="68">
        <v>54.039527069997696</v>
      </c>
      <c r="BN27" s="68">
        <v>40.849450425382614</v>
      </c>
      <c r="BO27" s="68">
        <v>3.5914211766656234</v>
      </c>
      <c r="BP27" s="68">
        <v>1.2176246886267852</v>
      </c>
      <c r="BQ27" s="68">
        <v>0.30197663932727664</v>
      </c>
      <c r="BR27" s="199">
        <f t="shared" si="161"/>
        <v>45.960472930002304</v>
      </c>
      <c r="BS27" s="68">
        <v>54.043751763086931</v>
      </c>
      <c r="BT27" s="68">
        <v>40.294322752663781</v>
      </c>
      <c r="BU27" s="68">
        <v>4.040386683449106</v>
      </c>
      <c r="BV27" s="68">
        <v>1.3057940943568329</v>
      </c>
      <c r="BW27" s="68">
        <v>0.31574470644333996</v>
      </c>
      <c r="BX27" s="199">
        <f t="shared" si="162"/>
        <v>45.956248236913062</v>
      </c>
      <c r="BY27" s="6">
        <v>703119</v>
      </c>
      <c r="BZ27" s="6">
        <v>378989</v>
      </c>
      <c r="CA27" s="6">
        <v>279739</v>
      </c>
      <c r="CB27" s="6">
        <v>32268</v>
      </c>
      <c r="CC27" s="6">
        <v>9727</v>
      </c>
      <c r="CD27" s="6">
        <v>2396</v>
      </c>
      <c r="CE27" s="189">
        <f t="shared" si="163"/>
        <v>53.901117733982439</v>
      </c>
      <c r="CF27" s="190">
        <f t="shared" si="164"/>
        <v>39.78544172465827</v>
      </c>
      <c r="CG27" s="190">
        <f t="shared" si="165"/>
        <v>4.5892658284017358</v>
      </c>
      <c r="CH27" s="190">
        <f t="shared" si="166"/>
        <v>1.3834073606316994</v>
      </c>
      <c r="CI27" s="190">
        <f t="shared" si="167"/>
        <v>0.34076735232585093</v>
      </c>
      <c r="CJ27" s="199">
        <f t="shared" si="168"/>
        <v>46.098882266017554</v>
      </c>
      <c r="CK27" s="6">
        <v>709202</v>
      </c>
      <c r="CL27" s="6">
        <v>380789</v>
      </c>
      <c r="CM27" s="6">
        <v>278881</v>
      </c>
      <c r="CN27" s="6">
        <v>36491</v>
      </c>
      <c r="CO27" s="6">
        <v>10521</v>
      </c>
      <c r="CP27" s="6">
        <v>2520</v>
      </c>
      <c r="CQ27" s="189">
        <f t="shared" si="169"/>
        <v>53.692600979692671</v>
      </c>
      <c r="CR27" s="190">
        <f t="shared" si="170"/>
        <v>39.323211158456971</v>
      </c>
      <c r="CS27" s="190">
        <f t="shared" si="171"/>
        <v>5.1453605601789052</v>
      </c>
      <c r="CT27" s="190">
        <f t="shared" si="172"/>
        <v>1.483498354488566</v>
      </c>
      <c r="CU27" s="190">
        <f t="shared" si="173"/>
        <v>0.35532894718289004</v>
      </c>
      <c r="CV27" s="199">
        <f t="shared" si="174"/>
        <v>46.307399020307336</v>
      </c>
      <c r="CW27" s="6">
        <f t="shared" si="199"/>
        <v>714508</v>
      </c>
      <c r="CX27" s="6">
        <v>384114</v>
      </c>
      <c r="CY27" s="6">
        <v>277565</v>
      </c>
      <c r="CZ27" s="6">
        <v>38948</v>
      </c>
      <c r="DA27" s="6">
        <v>2670</v>
      </c>
      <c r="DB27" s="6">
        <v>11211</v>
      </c>
      <c r="DC27" s="6"/>
      <c r="DD27" s="189">
        <f t="shared" si="175"/>
        <v>53.759230127584303</v>
      </c>
      <c r="DE27" s="190">
        <f t="shared" si="176"/>
        <v>38.847010810235858</v>
      </c>
      <c r="DF27" s="190">
        <f t="shared" si="177"/>
        <v>5.4510236414427826</v>
      </c>
      <c r="DG27" s="190">
        <f t="shared" si="178"/>
        <v>1.5690517111075033</v>
      </c>
      <c r="DH27" s="190">
        <f t="shared" si="179"/>
        <v>0.37368370962956327</v>
      </c>
      <c r="DI27" s="190"/>
      <c r="DJ27" s="191">
        <f t="shared" si="20"/>
        <v>46.240769872415704</v>
      </c>
      <c r="DK27" s="382">
        <v>718889</v>
      </c>
      <c r="DL27" s="6">
        <v>386345</v>
      </c>
      <c r="DM27" s="6">
        <v>276273</v>
      </c>
      <c r="DN27" s="6">
        <v>41416</v>
      </c>
      <c r="DO27" s="6">
        <v>3010</v>
      </c>
      <c r="DP27" s="6">
        <v>11845</v>
      </c>
      <c r="DQ27" s="6"/>
      <c r="DR27" s="189">
        <f t="shared" si="180"/>
        <v>53.741954599388777</v>
      </c>
      <c r="DS27" s="190">
        <f t="shared" si="181"/>
        <v>38.430550474412598</v>
      </c>
      <c r="DT27" s="190">
        <f t="shared" si="182"/>
        <v>5.761111938004337</v>
      </c>
      <c r="DU27" s="190">
        <f t="shared" si="183"/>
        <v>1.6476813527540415</v>
      </c>
      <c r="DV27" s="190">
        <f t="shared" si="184"/>
        <v>0.4187016354402418</v>
      </c>
      <c r="DW27" s="190"/>
      <c r="DX27" s="191">
        <f t="shared" si="185"/>
        <v>46.258045400611216</v>
      </c>
      <c r="DY27" s="382">
        <v>725838</v>
      </c>
      <c r="DZ27" s="6">
        <v>387520</v>
      </c>
      <c r="EA27" s="6">
        <v>263034</v>
      </c>
      <c r="EB27" s="6">
        <v>46202</v>
      </c>
      <c r="EC27" s="6">
        <v>2111</v>
      </c>
      <c r="ED27" s="6">
        <v>10452</v>
      </c>
      <c r="EE27" s="6">
        <v>16519</v>
      </c>
      <c r="EF27" s="189">
        <f t="shared" si="186"/>
        <v>53.389323788503773</v>
      </c>
      <c r="EG27" s="190">
        <f t="shared" si="187"/>
        <v>36.23866482603556</v>
      </c>
      <c r="EH27" s="190">
        <f t="shared" si="188"/>
        <v>6.3653322091155333</v>
      </c>
      <c r="EI27" s="190">
        <f t="shared" si="189"/>
        <v>1.4399907417357594</v>
      </c>
      <c r="EJ27" s="190">
        <f t="shared" si="190"/>
        <v>0.29083624720667695</v>
      </c>
      <c r="EK27" s="190"/>
      <c r="EL27" s="191">
        <f t="shared" si="191"/>
        <v>44.334824024093535</v>
      </c>
      <c r="EM27" s="11">
        <v>727186</v>
      </c>
      <c r="EN27" s="444">
        <f t="shared" si="200"/>
        <v>386941</v>
      </c>
      <c r="EO27" s="444">
        <f t="shared" si="201"/>
        <v>259170</v>
      </c>
      <c r="EP27" s="444">
        <f t="shared" si="202"/>
        <v>48644</v>
      </c>
      <c r="EQ27" s="444">
        <f t="shared" si="203"/>
        <v>9833.9999999999982</v>
      </c>
      <c r="ER27" s="444">
        <f t="shared" si="204"/>
        <v>840</v>
      </c>
      <c r="ES27" s="444">
        <f t="shared" si="205"/>
        <v>2142</v>
      </c>
      <c r="ET27" s="444">
        <f t="shared" si="206"/>
        <v>19615.000000000004</v>
      </c>
      <c r="EU27" s="148">
        <v>53.210732879895929</v>
      </c>
      <c r="EV27" s="148">
        <v>35.640125084916377</v>
      </c>
      <c r="EW27" s="148">
        <v>6.6893477047137866</v>
      </c>
      <c r="EX27" s="148">
        <v>1.3523362660997322</v>
      </c>
      <c r="EY27" s="148">
        <v>0.11551377501767086</v>
      </c>
      <c r="EZ27" s="148">
        <v>0.29456012629506068</v>
      </c>
      <c r="FA27" s="148">
        <v>2.6973841630614452</v>
      </c>
      <c r="FB27" s="191">
        <f t="shared" si="207"/>
        <v>46.789267120104071</v>
      </c>
      <c r="FC27">
        <v>735998</v>
      </c>
      <c r="FD27">
        <v>389179</v>
      </c>
      <c r="FE27" s="11">
        <v>260336</v>
      </c>
      <c r="FF27">
        <v>51859</v>
      </c>
      <c r="FG27">
        <v>10170</v>
      </c>
      <c r="FH27">
        <v>864</v>
      </c>
      <c r="FI27" s="11">
        <v>2268</v>
      </c>
      <c r="FJ27">
        <v>21322</v>
      </c>
      <c r="FK27" s="189">
        <f t="shared" si="208"/>
        <v>52.877725211209814</v>
      </c>
      <c r="FL27" s="190">
        <f t="shared" si="209"/>
        <v>35.371835249552305</v>
      </c>
      <c r="FM27" s="190">
        <f t="shared" si="210"/>
        <v>7.0460789295623094</v>
      </c>
      <c r="FN27" s="190">
        <f t="shared" si="211"/>
        <v>1.3817972331446553</v>
      </c>
      <c r="FO27" s="190">
        <f t="shared" si="212"/>
        <v>0.11739162334680259</v>
      </c>
      <c r="FP27" s="190">
        <f t="shared" si="213"/>
        <v>0.30815301128535677</v>
      </c>
      <c r="FQ27" s="190">
        <f t="shared" si="214"/>
        <v>2.897018741898755</v>
      </c>
      <c r="FR27" s="199">
        <f t="shared" si="37"/>
        <v>47.122274788790186</v>
      </c>
      <c r="FS27" s="474">
        <v>745657</v>
      </c>
      <c r="FT27" s="474">
        <v>391739</v>
      </c>
      <c r="FU27" s="474">
        <v>261583</v>
      </c>
      <c r="FV27" s="474">
        <v>55660</v>
      </c>
      <c r="FW27" s="474">
        <v>10537</v>
      </c>
      <c r="FX27" s="474">
        <v>914</v>
      </c>
      <c r="FY27" s="474">
        <v>2422</v>
      </c>
      <c r="FZ27" s="480">
        <v>22802</v>
      </c>
      <c r="GA27" s="189">
        <f t="shared" si="39"/>
        <v>52.536085626501198</v>
      </c>
      <c r="GB27" s="190">
        <f t="shared" si="40"/>
        <v>35.080874986756641</v>
      </c>
      <c r="GC27" s="190">
        <f t="shared" si="41"/>
        <v>7.4645581011108328</v>
      </c>
      <c r="GD27" s="190">
        <f t="shared" si="42"/>
        <v>1.4131162183148553</v>
      </c>
      <c r="GE27" s="190">
        <f t="shared" si="43"/>
        <v>0.12257646612316388</v>
      </c>
      <c r="GF27" s="190">
        <f t="shared" si="44"/>
        <v>0.32481422423446704</v>
      </c>
      <c r="GG27" s="190">
        <f t="shared" si="45"/>
        <v>3.057974376958843</v>
      </c>
      <c r="GH27" s="199">
        <f t="shared" si="46"/>
        <v>47.463914373498802</v>
      </c>
      <c r="GI27" s="474">
        <v>756523</v>
      </c>
      <c r="GJ27" s="474">
        <v>394066</v>
      </c>
      <c r="GK27" s="474">
        <v>262979</v>
      </c>
      <c r="GL27" s="474">
        <v>60268</v>
      </c>
      <c r="GM27" s="474">
        <v>10946</v>
      </c>
      <c r="GN27" s="474">
        <v>922</v>
      </c>
      <c r="GO27" s="474">
        <v>2543</v>
      </c>
      <c r="GP27" s="480">
        <v>24799</v>
      </c>
      <c r="GQ27" s="189">
        <f t="shared" si="192"/>
        <v>52.089097092884153</v>
      </c>
      <c r="GR27" s="190">
        <f t="shared" si="193"/>
        <v>34.761534018132956</v>
      </c>
      <c r="GS27" s="190">
        <f t="shared" si="194"/>
        <v>7.9664464927041214</v>
      </c>
      <c r="GT27" s="190">
        <f t="shared" si="195"/>
        <v>1.4468826460001878</v>
      </c>
      <c r="GU27" s="190">
        <f t="shared" si="196"/>
        <v>0.12187336009612398</v>
      </c>
      <c r="GV27" s="190">
        <f t="shared" si="197"/>
        <v>0.33614311792238966</v>
      </c>
      <c r="GW27" s="190">
        <f t="shared" si="198"/>
        <v>3.2780232722600631</v>
      </c>
      <c r="GX27" s="199">
        <f t="shared" si="55"/>
        <v>47.910902907115847</v>
      </c>
    </row>
    <row r="28" spans="1:206" s="11" customFormat="1">
      <c r="A28" s="106" t="s">
        <v>96</v>
      </c>
      <c r="B28" s="385">
        <v>21.6</v>
      </c>
      <c r="C28" s="244">
        <v>22</v>
      </c>
      <c r="D28" s="244">
        <v>21.4</v>
      </c>
      <c r="E28" s="244">
        <f>100-75.5</f>
        <v>24.5</v>
      </c>
      <c r="F28" s="244">
        <v>28.8</v>
      </c>
      <c r="G28" s="244">
        <v>22</v>
      </c>
      <c r="H28" s="52">
        <v>76.538553366830399</v>
      </c>
      <c r="I28" s="45">
        <v>22.600457656081918</v>
      </c>
      <c r="J28" s="45">
        <v>0.19770957348921181</v>
      </c>
      <c r="K28" s="45">
        <v>0.61432146986471514</v>
      </c>
      <c r="L28" s="48">
        <v>0.05</v>
      </c>
      <c r="M28" s="264">
        <f t="shared" si="153"/>
        <v>23.462488699435848</v>
      </c>
      <c r="N28" s="251">
        <f>100-76.5</f>
        <v>23.5</v>
      </c>
      <c r="O28" s="252">
        <f>100-76.6</f>
        <v>23.400000000000006</v>
      </c>
      <c r="P28" s="247">
        <f>100-76.3</f>
        <v>23.700000000000003</v>
      </c>
      <c r="Q28" s="247">
        <f>100-76.6</f>
        <v>23.400000000000006</v>
      </c>
      <c r="R28" s="134">
        <v>23.744119703009574</v>
      </c>
      <c r="S28" s="52">
        <v>75.799748227409893</v>
      </c>
      <c r="T28" s="45">
        <v>22.923917470425977</v>
      </c>
      <c r="U28" s="45">
        <v>0.44754429161189996</v>
      </c>
      <c r="V28" s="45">
        <v>0.72685450876575886</v>
      </c>
      <c r="W28" s="45">
        <v>0.10193550178647463</v>
      </c>
      <c r="X28" s="261">
        <f t="shared" si="154"/>
        <v>24.200251772590111</v>
      </c>
      <c r="Y28" s="52">
        <v>75.400000000000006</v>
      </c>
      <c r="Z28" s="45">
        <v>23</v>
      </c>
      <c r="AA28" s="45">
        <v>0.6</v>
      </c>
      <c r="AB28" s="45">
        <v>0.9</v>
      </c>
      <c r="AC28" s="45">
        <v>0.1</v>
      </c>
      <c r="AD28" s="261">
        <f t="shared" si="155"/>
        <v>24.6</v>
      </c>
      <c r="AE28" s="52">
        <v>75.3</v>
      </c>
      <c r="AF28" s="45">
        <v>23.1</v>
      </c>
      <c r="AG28" s="45">
        <v>0.7</v>
      </c>
      <c r="AH28" s="45">
        <v>0.8</v>
      </c>
      <c r="AI28" s="45">
        <v>0.1</v>
      </c>
      <c r="AJ28" s="261">
        <f t="shared" si="156"/>
        <v>24.700000000000003</v>
      </c>
      <c r="AK28" s="257">
        <f>100-74.6</f>
        <v>25.400000000000006</v>
      </c>
      <c r="AL28" s="257">
        <f>100-74</f>
        <v>26</v>
      </c>
      <c r="AM28" s="257">
        <f>100-73.6</f>
        <v>26.400000000000006</v>
      </c>
      <c r="AN28" s="258">
        <f>100-72.9</f>
        <v>27.099999999999994</v>
      </c>
      <c r="AO28" s="77">
        <v>72.439390428267174</v>
      </c>
      <c r="AP28" s="68">
        <v>24.505136778450911</v>
      </c>
      <c r="AQ28" s="68">
        <v>1.7618432813586256</v>
      </c>
      <c r="AR28" s="68">
        <v>1.1341741980335684</v>
      </c>
      <c r="AS28" s="68">
        <v>0.15945531388971651</v>
      </c>
      <c r="AT28" s="261">
        <f t="shared" si="157"/>
        <v>27.560609571732822</v>
      </c>
      <c r="AU28" s="68">
        <v>71.784656033482221</v>
      </c>
      <c r="AV28" s="68">
        <v>24.807991594274259</v>
      </c>
      <c r="AW28" s="68">
        <v>2.0816480849716879</v>
      </c>
      <c r="AX28" s="68">
        <v>1.1622718320261669</v>
      </c>
      <c r="AY28" s="68">
        <v>0.16343245524566524</v>
      </c>
      <c r="AZ28" s="261">
        <f t="shared" si="158"/>
        <v>28.215343966517779</v>
      </c>
      <c r="BA28" s="68">
        <v>71.295751906420847</v>
      </c>
      <c r="BB28" s="68">
        <v>24.849504637714226</v>
      </c>
      <c r="BC28" s="68">
        <v>2.4467562326140562</v>
      </c>
      <c r="BD28" s="68">
        <v>1.2424642628359821</v>
      </c>
      <c r="BE28" s="68">
        <v>0.16552296041489334</v>
      </c>
      <c r="BF28" s="261">
        <f t="shared" si="159"/>
        <v>28.704248093579157</v>
      </c>
      <c r="BG28" s="68">
        <v>70.698752902502022</v>
      </c>
      <c r="BH28" s="68">
        <v>25.016414899075546</v>
      </c>
      <c r="BI28" s="68">
        <v>2.8298851174480593</v>
      </c>
      <c r="BJ28" s="68">
        <v>1.2776444293702767</v>
      </c>
      <c r="BK28" s="68">
        <v>0.17730265160409436</v>
      </c>
      <c r="BL28" s="199">
        <f t="shared" si="160"/>
        <v>29.301247097497978</v>
      </c>
      <c r="BM28" s="68">
        <v>70.024152818377814</v>
      </c>
      <c r="BN28" s="68">
        <v>25.081421456586028</v>
      </c>
      <c r="BO28" s="68">
        <v>3.3456913305939597</v>
      </c>
      <c r="BP28" s="68">
        <v>1.3577858039233188</v>
      </c>
      <c r="BQ28" s="68">
        <v>0.1909485905188765</v>
      </c>
      <c r="BR28" s="199">
        <f t="shared" si="161"/>
        <v>29.975847181622182</v>
      </c>
      <c r="BS28" s="68">
        <v>69.455827454877678</v>
      </c>
      <c r="BT28" s="68">
        <v>25.099092469182004</v>
      </c>
      <c r="BU28" s="68">
        <v>3.8441902617341102</v>
      </c>
      <c r="BV28" s="68">
        <v>1.4195304154388215</v>
      </c>
      <c r="BW28" s="68">
        <v>0.18135939876738508</v>
      </c>
      <c r="BX28" s="199">
        <f t="shared" si="162"/>
        <v>30.544172545122318</v>
      </c>
      <c r="BY28" s="6">
        <v>978368</v>
      </c>
      <c r="BZ28" s="6">
        <v>675938</v>
      </c>
      <c r="CA28" s="6">
        <v>243011</v>
      </c>
      <c r="CB28" s="6">
        <v>42944</v>
      </c>
      <c r="CC28" s="6">
        <v>14585</v>
      </c>
      <c r="CD28" s="6">
        <v>1890</v>
      </c>
      <c r="CE28" s="189">
        <f t="shared" si="163"/>
        <v>69.088318505920071</v>
      </c>
      <c r="CF28" s="190">
        <f t="shared" si="164"/>
        <v>24.838404363184406</v>
      </c>
      <c r="CG28" s="190">
        <f t="shared" si="165"/>
        <v>4.3893504284686333</v>
      </c>
      <c r="CH28" s="190">
        <f t="shared" si="166"/>
        <v>1.4907478576568327</v>
      </c>
      <c r="CI28" s="190">
        <f t="shared" si="167"/>
        <v>0.19317884477006605</v>
      </c>
      <c r="CJ28" s="199">
        <f t="shared" si="168"/>
        <v>30.911681494079939</v>
      </c>
      <c r="CK28" s="6">
        <v>964259</v>
      </c>
      <c r="CL28" s="6">
        <v>661562</v>
      </c>
      <c r="CM28" s="6">
        <v>238888</v>
      </c>
      <c r="CN28" s="6">
        <v>46915</v>
      </c>
      <c r="CO28" s="6">
        <v>14925</v>
      </c>
      <c r="CP28" s="6">
        <v>1969</v>
      </c>
      <c r="CQ28" s="189">
        <f t="shared" si="169"/>
        <v>68.608330334484819</v>
      </c>
      <c r="CR28" s="190">
        <f t="shared" si="170"/>
        <v>24.774256709037719</v>
      </c>
      <c r="CS28" s="190">
        <f t="shared" si="171"/>
        <v>4.8653940486943856</v>
      </c>
      <c r="CT28" s="190">
        <f t="shared" si="172"/>
        <v>1.5478206581426774</v>
      </c>
      <c r="CU28" s="190">
        <f t="shared" si="173"/>
        <v>0.20419824964039743</v>
      </c>
      <c r="CV28" s="199">
        <f t="shared" si="174"/>
        <v>31.391669665515181</v>
      </c>
      <c r="CW28" s="6">
        <f t="shared" si="199"/>
        <v>971942</v>
      </c>
      <c r="CX28" s="6">
        <v>664138</v>
      </c>
      <c r="CY28" s="6">
        <v>239163</v>
      </c>
      <c r="CZ28" s="6">
        <v>50652</v>
      </c>
      <c r="DA28" s="6">
        <v>2064</v>
      </c>
      <c r="DB28" s="6">
        <v>15925</v>
      </c>
      <c r="DC28" s="6"/>
      <c r="DD28" s="189">
        <f t="shared" si="175"/>
        <v>68.331032098623169</v>
      </c>
      <c r="DE28" s="190">
        <f t="shared" si="176"/>
        <v>24.606715215516974</v>
      </c>
      <c r="DF28" s="190">
        <f t="shared" si="177"/>
        <v>5.2114220807414435</v>
      </c>
      <c r="DG28" s="190">
        <f t="shared" si="178"/>
        <v>1.638472254517245</v>
      </c>
      <c r="DH28" s="190">
        <f t="shared" si="179"/>
        <v>0.21235835060116759</v>
      </c>
      <c r="DI28" s="190"/>
      <c r="DJ28" s="191">
        <f t="shared" si="20"/>
        <v>31.668967901376831</v>
      </c>
      <c r="DK28" s="382">
        <v>972549</v>
      </c>
      <c r="DL28" s="6">
        <v>662841</v>
      </c>
      <c r="DM28" s="6">
        <v>236659</v>
      </c>
      <c r="DN28" s="6">
        <v>53911</v>
      </c>
      <c r="DO28" s="6">
        <v>2105</v>
      </c>
      <c r="DP28" s="6">
        <v>17033</v>
      </c>
      <c r="DQ28" s="6"/>
      <c r="DR28" s="189">
        <f t="shared" si="180"/>
        <v>68.155023551512571</v>
      </c>
      <c r="DS28" s="190">
        <f t="shared" si="181"/>
        <v>24.333889603505838</v>
      </c>
      <c r="DT28" s="190">
        <f t="shared" si="182"/>
        <v>5.5432682569207312</v>
      </c>
      <c r="DU28" s="190">
        <f t="shared" si="183"/>
        <v>1.7513770514390534</v>
      </c>
      <c r="DV28" s="190">
        <f t="shared" si="184"/>
        <v>0.21644153662180518</v>
      </c>
      <c r="DW28" s="190"/>
      <c r="DX28" s="191">
        <f t="shared" si="185"/>
        <v>31.844976448487429</v>
      </c>
      <c r="DY28" s="382">
        <v>987422</v>
      </c>
      <c r="DZ28" s="6">
        <v>664947</v>
      </c>
      <c r="EA28" s="6">
        <v>236013</v>
      </c>
      <c r="EB28" s="6">
        <v>60549</v>
      </c>
      <c r="EC28" s="6">
        <v>1902</v>
      </c>
      <c r="ED28" s="6">
        <v>16840</v>
      </c>
      <c r="EE28" s="6">
        <v>7171</v>
      </c>
      <c r="EF28" s="189">
        <f t="shared" si="186"/>
        <v>67.341724207076609</v>
      </c>
      <c r="EG28" s="190">
        <f t="shared" si="187"/>
        <v>23.901938583503306</v>
      </c>
      <c r="EH28" s="190">
        <f t="shared" si="188"/>
        <v>6.1320286564407116</v>
      </c>
      <c r="EI28" s="190">
        <f t="shared" si="189"/>
        <v>1.7054511647502282</v>
      </c>
      <c r="EJ28" s="190">
        <f t="shared" si="190"/>
        <v>0.19262280970041176</v>
      </c>
      <c r="EK28" s="190"/>
      <c r="EL28" s="191">
        <f t="shared" si="191"/>
        <v>31.932041214394662</v>
      </c>
      <c r="EM28" s="11">
        <v>999693</v>
      </c>
      <c r="EN28" s="444">
        <f t="shared" si="200"/>
        <v>670565</v>
      </c>
      <c r="EO28" s="444">
        <f t="shared" si="201"/>
        <v>233357</v>
      </c>
      <c r="EP28" s="444">
        <f t="shared" si="202"/>
        <v>66268</v>
      </c>
      <c r="EQ28" s="444">
        <f t="shared" si="203"/>
        <v>16595</v>
      </c>
      <c r="ER28" s="444">
        <f t="shared" si="204"/>
        <v>1037</v>
      </c>
      <c r="ES28" s="444">
        <f t="shared" si="205"/>
        <v>1876</v>
      </c>
      <c r="ET28" s="444">
        <f t="shared" si="206"/>
        <v>9995</v>
      </c>
      <c r="EU28" s="148">
        <v>67.077092667448909</v>
      </c>
      <c r="EV28" s="148">
        <v>23.342866259941804</v>
      </c>
      <c r="EW28" s="148">
        <v>6.6288350523610751</v>
      </c>
      <c r="EX28" s="148">
        <v>1.6600096229542469</v>
      </c>
      <c r="EY28" s="148">
        <v>0.10373184567662272</v>
      </c>
      <c r="EZ28" s="148">
        <v>0.18765761088654218</v>
      </c>
      <c r="FA28" s="148">
        <v>0.99980694073080434</v>
      </c>
      <c r="FB28" s="191">
        <f t="shared" si="207"/>
        <v>32.922907332551098</v>
      </c>
      <c r="FC28">
        <v>993496</v>
      </c>
      <c r="FD28">
        <v>658568</v>
      </c>
      <c r="FE28" s="11">
        <v>228812</v>
      </c>
      <c r="FF28">
        <v>72204</v>
      </c>
      <c r="FG28">
        <v>17024</v>
      </c>
      <c r="FH28">
        <v>992</v>
      </c>
      <c r="FI28" s="11">
        <v>1890</v>
      </c>
      <c r="FJ28">
        <v>14006</v>
      </c>
      <c r="FK28" s="189">
        <f t="shared" si="208"/>
        <v>66.28793674056061</v>
      </c>
      <c r="FL28" s="190">
        <f t="shared" si="209"/>
        <v>23.030993582259011</v>
      </c>
      <c r="FM28" s="190">
        <f t="shared" si="210"/>
        <v>7.267668918646879</v>
      </c>
      <c r="FN28" s="190">
        <f t="shared" si="211"/>
        <v>1.7135448960036075</v>
      </c>
      <c r="FO28" s="190">
        <f t="shared" si="212"/>
        <v>9.9849420631789157E-2</v>
      </c>
      <c r="FP28" s="190">
        <f t="shared" si="213"/>
        <v>0.19023730342145315</v>
      </c>
      <c r="FQ28" s="190">
        <f t="shared" si="214"/>
        <v>1.4097691384766522</v>
      </c>
      <c r="FR28" s="199">
        <f t="shared" si="37"/>
        <v>33.712063259439397</v>
      </c>
      <c r="FS28" s="474">
        <v>993556</v>
      </c>
      <c r="FT28" s="474">
        <v>651812</v>
      </c>
      <c r="FU28" s="474">
        <v>227513</v>
      </c>
      <c r="FV28" s="474">
        <v>77748</v>
      </c>
      <c r="FW28" s="474">
        <v>17479</v>
      </c>
      <c r="FX28" s="474">
        <v>934</v>
      </c>
      <c r="FY28" s="474">
        <v>1790</v>
      </c>
      <c r="FZ28" s="480">
        <v>16280</v>
      </c>
      <c r="GA28" s="189">
        <f t="shared" si="39"/>
        <v>65.603951865823362</v>
      </c>
      <c r="GB28" s="190">
        <f t="shared" si="40"/>
        <v>22.898860255486355</v>
      </c>
      <c r="GC28" s="190">
        <f t="shared" si="41"/>
        <v>7.8252257547636965</v>
      </c>
      <c r="GD28" s="190">
        <f t="shared" si="42"/>
        <v>1.7592365201357547</v>
      </c>
      <c r="GE28" s="190">
        <f t="shared" si="43"/>
        <v>9.4005773202517018E-2</v>
      </c>
      <c r="GF28" s="190">
        <f t="shared" si="44"/>
        <v>0.18016095720824996</v>
      </c>
      <c r="GG28" s="190">
        <f t="shared" si="45"/>
        <v>1.6385588733800609</v>
      </c>
      <c r="GH28" s="199">
        <f t="shared" si="46"/>
        <v>34.396048134176638</v>
      </c>
      <c r="GI28" s="474">
        <v>995475</v>
      </c>
      <c r="GJ28" s="474">
        <v>645626</v>
      </c>
      <c r="GK28" s="474">
        <v>223878</v>
      </c>
      <c r="GL28" s="474">
        <v>84288</v>
      </c>
      <c r="GM28" s="474">
        <v>18023</v>
      </c>
      <c r="GN28" s="474">
        <v>937</v>
      </c>
      <c r="GO28" s="474">
        <v>1691</v>
      </c>
      <c r="GP28" s="480">
        <v>21032</v>
      </c>
      <c r="GQ28" s="189">
        <f t="shared" si="192"/>
        <v>64.856073733644749</v>
      </c>
      <c r="GR28" s="190">
        <f t="shared" si="193"/>
        <v>22.489565282905147</v>
      </c>
      <c r="GS28" s="190">
        <f t="shared" si="194"/>
        <v>8.4671136894447372</v>
      </c>
      <c r="GT28" s="190">
        <f t="shared" si="195"/>
        <v>1.8104924784650545</v>
      </c>
      <c r="GU28" s="190">
        <f t="shared" si="196"/>
        <v>9.4125919787036341E-2</v>
      </c>
      <c r="GV28" s="190">
        <f t="shared" si="197"/>
        <v>0.16986865566689269</v>
      </c>
      <c r="GW28" s="190">
        <f t="shared" si="198"/>
        <v>2.112760240086391</v>
      </c>
      <c r="GX28" s="199">
        <f t="shared" si="55"/>
        <v>35.143926266355265</v>
      </c>
    </row>
    <row r="29" spans="1:206" s="11" customFormat="1">
      <c r="A29" s="106" t="s">
        <v>97</v>
      </c>
      <c r="B29" s="385">
        <v>38</v>
      </c>
      <c r="C29" s="244">
        <v>40.799999999999997</v>
      </c>
      <c r="D29" s="244">
        <v>41.2</v>
      </c>
      <c r="E29" s="244">
        <f>100-54.1</f>
        <v>45.9</v>
      </c>
      <c r="F29" s="244">
        <v>48</v>
      </c>
      <c r="G29" s="244">
        <v>43</v>
      </c>
      <c r="H29" s="52">
        <v>50.989315725284762</v>
      </c>
      <c r="I29" s="45">
        <v>14.369822878255281</v>
      </c>
      <c r="J29" s="45">
        <v>32.501911966938231</v>
      </c>
      <c r="K29" s="45">
        <v>1.9799479849244848</v>
      </c>
      <c r="L29" s="43">
        <v>0.15900144459724222</v>
      </c>
      <c r="M29" s="264">
        <f t="shared" si="153"/>
        <v>49.010684274715246</v>
      </c>
      <c r="N29" s="251">
        <f>100-51</f>
        <v>49</v>
      </c>
      <c r="O29" s="252">
        <f>100-50.3</f>
        <v>49.7</v>
      </c>
      <c r="P29" s="247">
        <f>100-49.6</f>
        <v>50.4</v>
      </c>
      <c r="Q29" s="247">
        <f>100-49</f>
        <v>51</v>
      </c>
      <c r="R29" s="134">
        <v>51.645690778467795</v>
      </c>
      <c r="S29" s="52">
        <v>47.717892117125544</v>
      </c>
      <c r="T29" s="45">
        <v>14.283734703520945</v>
      </c>
      <c r="U29" s="45">
        <v>35.544257420117425</v>
      </c>
      <c r="V29" s="45">
        <v>2.2281622885237087</v>
      </c>
      <c r="W29" s="45">
        <v>0.22595347071237837</v>
      </c>
      <c r="X29" s="261">
        <f t="shared" si="154"/>
        <v>52.282107882874449</v>
      </c>
      <c r="Y29" s="52">
        <v>47.1</v>
      </c>
      <c r="Z29" s="45">
        <v>14.3</v>
      </c>
      <c r="AA29" s="45">
        <v>36.1</v>
      </c>
      <c r="AB29" s="45">
        <v>2.2999999999999998</v>
      </c>
      <c r="AC29" s="45">
        <v>0.2</v>
      </c>
      <c r="AD29" s="261">
        <f t="shared" si="155"/>
        <v>52.900000000000006</v>
      </c>
      <c r="AE29" s="52">
        <v>46.4</v>
      </c>
      <c r="AF29" s="45">
        <v>14.3</v>
      </c>
      <c r="AG29" s="45">
        <v>36.700000000000003</v>
      </c>
      <c r="AH29" s="45">
        <v>2.2999999999999998</v>
      </c>
      <c r="AI29" s="45">
        <v>0.3</v>
      </c>
      <c r="AJ29" s="261">
        <f t="shared" si="156"/>
        <v>53.599999999999994</v>
      </c>
      <c r="AK29" s="257">
        <f>100-45.6</f>
        <v>54.4</v>
      </c>
      <c r="AL29" s="257">
        <f>100-45</f>
        <v>55</v>
      </c>
      <c r="AM29" s="257">
        <f>100-44.1</f>
        <v>55.9</v>
      </c>
      <c r="AN29" s="258">
        <f>100-43.1</f>
        <v>56.9</v>
      </c>
      <c r="AO29" s="77">
        <v>42.048009924084006</v>
      </c>
      <c r="AP29" s="68">
        <v>14.425220691892514</v>
      </c>
      <c r="AQ29" s="68">
        <v>40.558190312933306</v>
      </c>
      <c r="AR29" s="68">
        <v>2.6707432396981097</v>
      </c>
      <c r="AS29" s="68">
        <v>0.29783583139205921</v>
      </c>
      <c r="AT29" s="261">
        <f t="shared" si="157"/>
        <v>57.951990075915987</v>
      </c>
      <c r="AU29" s="68">
        <v>40.859869238157707</v>
      </c>
      <c r="AV29" s="68">
        <v>14.368454792387173</v>
      </c>
      <c r="AW29" s="68">
        <v>41.673161685497618</v>
      </c>
      <c r="AX29" s="68">
        <v>2.7916531662346129</v>
      </c>
      <c r="AY29" s="68">
        <v>0.30686111772288682</v>
      </c>
      <c r="AZ29" s="261">
        <f t="shared" si="158"/>
        <v>59.140130761842286</v>
      </c>
      <c r="BA29" s="68">
        <v>39.783859564118039</v>
      </c>
      <c r="BB29" s="68">
        <v>14.306744669907644</v>
      </c>
      <c r="BC29" s="68">
        <v>42.72449817750644</v>
      </c>
      <c r="BD29" s="68">
        <v>2.8757767634946334</v>
      </c>
      <c r="BE29" s="68">
        <v>0.30912082497324422</v>
      </c>
      <c r="BF29" s="261">
        <f t="shared" si="159"/>
        <v>60.216140435881961</v>
      </c>
      <c r="BG29" s="68">
        <v>38.738376236307211</v>
      </c>
      <c r="BH29" s="68">
        <v>14.250611357855055</v>
      </c>
      <c r="BI29" s="68">
        <v>43.758101515992031</v>
      </c>
      <c r="BJ29" s="68">
        <v>2.934309936097435</v>
      </c>
      <c r="BK29" s="68">
        <v>0.3186009537482648</v>
      </c>
      <c r="BL29" s="199">
        <f t="shared" si="160"/>
        <v>61.261623763692789</v>
      </c>
      <c r="BM29" s="68">
        <v>37.720656086025315</v>
      </c>
      <c r="BN29" s="68">
        <v>14.187934073592324</v>
      </c>
      <c r="BO29" s="68">
        <v>44.739428155038965</v>
      </c>
      <c r="BP29" s="68">
        <v>3.0260498068766224</v>
      </c>
      <c r="BQ29" s="68">
        <v>0.3259318784667718</v>
      </c>
      <c r="BR29" s="191">
        <f t="shared" si="161"/>
        <v>62.279343913974678</v>
      </c>
      <c r="BS29" s="77">
        <v>36.510655204828574</v>
      </c>
      <c r="BT29" s="68">
        <v>14.743821200982721</v>
      </c>
      <c r="BU29" s="68">
        <v>45.277582460223357</v>
      </c>
      <c r="BV29" s="68">
        <v>3.1354838937780891</v>
      </c>
      <c r="BW29" s="68">
        <v>0.33245724018726325</v>
      </c>
      <c r="BX29" s="191">
        <f t="shared" si="162"/>
        <v>63.489344795171426</v>
      </c>
      <c r="BY29" s="38">
        <v>4599509</v>
      </c>
      <c r="BZ29" s="6">
        <v>1639808</v>
      </c>
      <c r="CA29" s="6">
        <v>664249</v>
      </c>
      <c r="CB29" s="6">
        <v>2129393</v>
      </c>
      <c r="CC29" s="6">
        <v>150222</v>
      </c>
      <c r="CD29" s="6">
        <v>15837</v>
      </c>
      <c r="CE29" s="189">
        <f t="shared" si="163"/>
        <v>35.651805442711385</v>
      </c>
      <c r="CF29" s="190">
        <f t="shared" si="164"/>
        <v>14.441737150639339</v>
      </c>
      <c r="CG29" s="190">
        <f t="shared" si="165"/>
        <v>46.296093778705512</v>
      </c>
      <c r="CH29" s="190">
        <f t="shared" si="166"/>
        <v>3.2660442668989238</v>
      </c>
      <c r="CI29" s="190">
        <f t="shared" si="167"/>
        <v>0.34431936104484195</v>
      </c>
      <c r="CJ29" s="191">
        <f t="shared" si="168"/>
        <v>64.348194557288622</v>
      </c>
      <c r="CK29" s="38">
        <v>4674832</v>
      </c>
      <c r="CL29" s="6">
        <v>1627506</v>
      </c>
      <c r="CM29" s="6">
        <v>667191</v>
      </c>
      <c r="CN29" s="6">
        <v>2204602</v>
      </c>
      <c r="CO29" s="6">
        <v>159241</v>
      </c>
      <c r="CP29" s="6">
        <v>16292</v>
      </c>
      <c r="CQ29" s="189">
        <f t="shared" si="169"/>
        <v>34.814213644468936</v>
      </c>
      <c r="CR29" s="190">
        <f t="shared" si="170"/>
        <v>14.271978116005023</v>
      </c>
      <c r="CS29" s="190">
        <f t="shared" si="171"/>
        <v>47.158956728284565</v>
      </c>
      <c r="CT29" s="190">
        <f t="shared" si="172"/>
        <v>3.4063470088336865</v>
      </c>
      <c r="CU29" s="190">
        <f t="shared" si="173"/>
        <v>0.34850450240778708</v>
      </c>
      <c r="CV29" s="191">
        <f t="shared" si="174"/>
        <v>65.185786355531064</v>
      </c>
      <c r="CW29" s="38">
        <f t="shared" si="199"/>
        <v>4752148</v>
      </c>
      <c r="CX29" s="6">
        <v>1616842</v>
      </c>
      <c r="CY29" s="6">
        <v>672754</v>
      </c>
      <c r="CZ29" s="6">
        <v>2276041</v>
      </c>
      <c r="DA29" s="6">
        <v>16720</v>
      </c>
      <c r="DB29" s="6">
        <v>169791</v>
      </c>
      <c r="DC29" s="6"/>
      <c r="DD29" s="189">
        <f t="shared" si="175"/>
        <v>34.02339321081751</v>
      </c>
      <c r="DE29" s="190">
        <f t="shared" si="176"/>
        <v>14.156840233090385</v>
      </c>
      <c r="DF29" s="190">
        <f t="shared" si="177"/>
        <v>47.894994011129285</v>
      </c>
      <c r="DG29" s="190">
        <f t="shared" si="178"/>
        <v>3.5729316511186098</v>
      </c>
      <c r="DH29" s="190">
        <f t="shared" si="179"/>
        <v>0.3518408938442153</v>
      </c>
      <c r="DI29" s="190"/>
      <c r="DJ29" s="191">
        <f t="shared" si="20"/>
        <v>65.976606789182497</v>
      </c>
      <c r="DK29" s="382">
        <v>4850210</v>
      </c>
      <c r="DL29" s="6">
        <v>1616135</v>
      </c>
      <c r="DM29" s="6">
        <v>680159</v>
      </c>
      <c r="DN29" s="6">
        <v>2354897</v>
      </c>
      <c r="DO29" s="6">
        <v>18991</v>
      </c>
      <c r="DP29" s="6">
        <v>180028</v>
      </c>
      <c r="DQ29" s="6"/>
      <c r="DR29" s="189">
        <f t="shared" si="180"/>
        <v>33.320928372173576</v>
      </c>
      <c r="DS29" s="190">
        <f t="shared" si="181"/>
        <v>14.023289713228912</v>
      </c>
      <c r="DT29" s="190">
        <f t="shared" si="182"/>
        <v>48.552475047472171</v>
      </c>
      <c r="DU29" s="190">
        <f t="shared" si="183"/>
        <v>3.7117568105298528</v>
      </c>
      <c r="DV29" s="190">
        <f t="shared" si="184"/>
        <v>0.39155005659548764</v>
      </c>
      <c r="DW29" s="190"/>
      <c r="DX29" s="191">
        <f t="shared" si="185"/>
        <v>66.679071627826431</v>
      </c>
      <c r="DY29" s="382">
        <v>4935715</v>
      </c>
      <c r="DZ29" s="6">
        <v>1539026</v>
      </c>
      <c r="EA29" s="6">
        <v>638377</v>
      </c>
      <c r="EB29" s="6">
        <v>2480792</v>
      </c>
      <c r="EC29" s="6">
        <v>23607</v>
      </c>
      <c r="ED29" s="6">
        <v>175489</v>
      </c>
      <c r="EE29" s="6">
        <v>78424</v>
      </c>
      <c r="EF29" s="189">
        <f t="shared" si="186"/>
        <v>31.181419510648407</v>
      </c>
      <c r="EG29" s="190">
        <f t="shared" si="187"/>
        <v>12.933830255596202</v>
      </c>
      <c r="EH29" s="190">
        <f t="shared" si="188"/>
        <v>50.262059296373472</v>
      </c>
      <c r="EI29" s="190">
        <f t="shared" si="189"/>
        <v>3.5554929731558653</v>
      </c>
      <c r="EJ29" s="190">
        <f t="shared" si="190"/>
        <v>0.47828936638359382</v>
      </c>
      <c r="EK29" s="190"/>
      <c r="EL29" s="191">
        <f t="shared" si="191"/>
        <v>67.229671891509128</v>
      </c>
      <c r="EM29" s="11">
        <v>5000470</v>
      </c>
      <c r="EN29" s="444">
        <f t="shared" si="200"/>
        <v>1527763</v>
      </c>
      <c r="EO29" s="444">
        <f t="shared" si="201"/>
        <v>640723</v>
      </c>
      <c r="EP29" s="444">
        <f t="shared" si="202"/>
        <v>2541965.9999999995</v>
      </c>
      <c r="EQ29" s="444">
        <f t="shared" si="203"/>
        <v>177203</v>
      </c>
      <c r="ER29" s="444">
        <f t="shared" si="204"/>
        <v>6258.0000000000009</v>
      </c>
      <c r="ES29" s="444">
        <f t="shared" si="205"/>
        <v>22390</v>
      </c>
      <c r="ET29" s="444">
        <f t="shared" si="206"/>
        <v>84167</v>
      </c>
      <c r="EU29" s="148">
        <v>30.552388075520902</v>
      </c>
      <c r="EV29" s="148">
        <v>12.813255553977926</v>
      </c>
      <c r="EW29" s="148">
        <v>50.834541553094006</v>
      </c>
      <c r="EX29" s="148">
        <v>3.5437268896723708</v>
      </c>
      <c r="EY29" s="148">
        <v>0.12514823606580983</v>
      </c>
      <c r="EZ29" s="148">
        <v>0.44775791075638888</v>
      </c>
      <c r="FA29" s="148">
        <v>1.6831817809125942</v>
      </c>
      <c r="FB29" s="191">
        <f t="shared" si="207"/>
        <v>69.447611924479105</v>
      </c>
      <c r="FC29">
        <v>5077659</v>
      </c>
      <c r="FD29">
        <v>1522091</v>
      </c>
      <c r="FE29" s="11">
        <v>646706</v>
      </c>
      <c r="FF29">
        <v>2606839</v>
      </c>
      <c r="FG29">
        <v>183813</v>
      </c>
      <c r="FH29">
        <v>6646</v>
      </c>
      <c r="FI29" s="11">
        <v>21802</v>
      </c>
      <c r="FJ29">
        <v>89762</v>
      </c>
      <c r="FK29" s="189">
        <f t="shared" si="208"/>
        <v>29.976235111495274</v>
      </c>
      <c r="FL29" s="190">
        <f t="shared" si="209"/>
        <v>12.736302299937826</v>
      </c>
      <c r="FM29" s="190">
        <f t="shared" si="210"/>
        <v>51.339386910385279</v>
      </c>
      <c r="FN29" s="190">
        <f t="shared" si="211"/>
        <v>3.6200343504752883</v>
      </c>
      <c r="FO29" s="190">
        <f t="shared" si="212"/>
        <v>0.13088708792772416</v>
      </c>
      <c r="FP29" s="190">
        <f t="shared" si="213"/>
        <v>0.42937109404156526</v>
      </c>
      <c r="FQ29" s="190">
        <f t="shared" si="214"/>
        <v>1.7677831457370414</v>
      </c>
      <c r="FR29" s="199">
        <f t="shared" si="37"/>
        <v>70.023764888504729</v>
      </c>
      <c r="FS29" s="474">
        <v>5153702</v>
      </c>
      <c r="FT29" s="474">
        <v>1517819</v>
      </c>
      <c r="FU29" s="474">
        <v>653221</v>
      </c>
      <c r="FV29" s="474">
        <v>2668994</v>
      </c>
      <c r="FW29" s="474">
        <v>189944</v>
      </c>
      <c r="FX29" s="474">
        <v>6804</v>
      </c>
      <c r="FY29" s="474">
        <v>20240</v>
      </c>
      <c r="FZ29" s="480">
        <v>96680</v>
      </c>
      <c r="GA29" s="189">
        <f t="shared" si="39"/>
        <v>29.451043153057743</v>
      </c>
      <c r="GB29" s="190">
        <f t="shared" si="40"/>
        <v>12.67479182925206</v>
      </c>
      <c r="GC29" s="190">
        <f t="shared" si="41"/>
        <v>51.787899261540538</v>
      </c>
      <c r="GD29" s="190">
        <f t="shared" si="42"/>
        <v>3.6855836833406355</v>
      </c>
      <c r="GE29" s="190">
        <f t="shared" si="43"/>
        <v>0.13202160311170494</v>
      </c>
      <c r="GF29" s="190">
        <f t="shared" si="44"/>
        <v>0.39272740255451327</v>
      </c>
      <c r="GG29" s="190">
        <f t="shared" si="45"/>
        <v>1.8759330671428032</v>
      </c>
      <c r="GH29" s="199">
        <f t="shared" si="46"/>
        <v>70.548956846942275</v>
      </c>
      <c r="GI29" s="474">
        <v>5233765</v>
      </c>
      <c r="GJ29" s="474">
        <v>1516041</v>
      </c>
      <c r="GK29" s="474">
        <v>661421</v>
      </c>
      <c r="GL29" s="474">
        <v>2722948</v>
      </c>
      <c r="GM29" s="474">
        <v>202256</v>
      </c>
      <c r="GN29" s="474">
        <v>7112</v>
      </c>
      <c r="GO29" s="474">
        <v>21495</v>
      </c>
      <c r="GP29" s="480">
        <v>102492</v>
      </c>
      <c r="GQ29" s="189">
        <f t="shared" si="192"/>
        <v>28.966547026853519</v>
      </c>
      <c r="GR29" s="190">
        <f t="shared" si="193"/>
        <v>12.637575435656739</v>
      </c>
      <c r="GS29" s="190">
        <f t="shared" si="194"/>
        <v>52.02656214025658</v>
      </c>
      <c r="GT29" s="190">
        <f t="shared" si="195"/>
        <v>3.86444557598593</v>
      </c>
      <c r="GU29" s="190">
        <f t="shared" si="196"/>
        <v>0.13588688066812324</v>
      </c>
      <c r="GV29" s="190">
        <f t="shared" si="197"/>
        <v>0.41069860798106145</v>
      </c>
      <c r="GW29" s="190">
        <f t="shared" si="198"/>
        <v>1.9582843325980437</v>
      </c>
      <c r="GX29" s="199">
        <f t="shared" si="55"/>
        <v>71.033452973146467</v>
      </c>
    </row>
    <row r="30" spans="1:206" s="11" customFormat="1">
      <c r="A30" s="106" t="s">
        <v>98</v>
      </c>
      <c r="B30" s="385">
        <v>24.8</v>
      </c>
      <c r="C30" s="244">
        <v>25.7</v>
      </c>
      <c r="D30" s="244">
        <v>27.1</v>
      </c>
      <c r="E30" s="244">
        <f>100-72.5</f>
        <v>27.5</v>
      </c>
      <c r="F30" s="244">
        <v>28.2</v>
      </c>
      <c r="G30" s="244">
        <v>28</v>
      </c>
      <c r="H30" s="52">
        <v>72.614127504084607</v>
      </c>
      <c r="I30" s="45">
        <v>23.730955274574033</v>
      </c>
      <c r="J30" s="45">
        <v>0.99298172189268152</v>
      </c>
      <c r="K30" s="45">
        <v>2.5636433877679141</v>
      </c>
      <c r="L30" s="43">
        <v>9.8292111680764932E-2</v>
      </c>
      <c r="M30" s="264">
        <f t="shared" si="153"/>
        <v>27.385872495915397</v>
      </c>
      <c r="N30" s="251">
        <f>100-72.6</f>
        <v>27.400000000000006</v>
      </c>
      <c r="O30" s="253">
        <f>(($R30-$N30)/4)+N30</f>
        <v>28.427219759187931</v>
      </c>
      <c r="P30" s="253">
        <f>(($R30-$N30)/4)+O30</f>
        <v>29.454439518375857</v>
      </c>
      <c r="Q30" s="253">
        <f>(($R30-$N30)/4)+P30</f>
        <v>30.481659277563782</v>
      </c>
      <c r="R30" s="134">
        <v>31.508879036751708</v>
      </c>
      <c r="S30" s="52">
        <v>67.907479021417146</v>
      </c>
      <c r="T30" s="45">
        <v>25.834002090923612</v>
      </c>
      <c r="U30" s="45">
        <v>2.7587565795703561</v>
      </c>
      <c r="V30" s="45">
        <v>3.3419387051386411</v>
      </c>
      <c r="W30" s="45">
        <v>0.15782360295024922</v>
      </c>
      <c r="X30" s="261">
        <f t="shared" si="154"/>
        <v>32.092520978582861</v>
      </c>
      <c r="Y30" s="52">
        <v>67.2</v>
      </c>
      <c r="Z30" s="45">
        <v>26.2</v>
      </c>
      <c r="AA30" s="45">
        <v>3</v>
      </c>
      <c r="AB30" s="45">
        <v>3.4</v>
      </c>
      <c r="AC30" s="45">
        <v>0.2</v>
      </c>
      <c r="AD30" s="261">
        <f t="shared" si="155"/>
        <v>32.800000000000004</v>
      </c>
      <c r="AE30" s="52">
        <v>66.599999999999994</v>
      </c>
      <c r="AF30" s="45">
        <v>26.5</v>
      </c>
      <c r="AG30" s="45">
        <v>3.2</v>
      </c>
      <c r="AH30" s="45">
        <v>3.5</v>
      </c>
      <c r="AI30" s="45">
        <v>0.2</v>
      </c>
      <c r="AJ30" s="261">
        <f t="shared" si="156"/>
        <v>33.400000000000006</v>
      </c>
      <c r="AK30" s="257">
        <f>100-67.7</f>
        <v>32.299999999999997</v>
      </c>
      <c r="AL30" s="257">
        <f>100-65.5</f>
        <v>34.5</v>
      </c>
      <c r="AM30" s="257">
        <f>100-64.1</f>
        <v>35.900000000000006</v>
      </c>
      <c r="AN30" s="258">
        <f>100-64.3</f>
        <v>35.700000000000003</v>
      </c>
      <c r="AO30" s="77">
        <v>63.612145879825142</v>
      </c>
      <c r="AP30" s="68">
        <v>27.085591506793079</v>
      </c>
      <c r="AQ30" s="68">
        <v>4.878964813981824</v>
      </c>
      <c r="AR30" s="68">
        <v>4.1425782700025762</v>
      </c>
      <c r="AS30" s="68">
        <v>0.28071952939737882</v>
      </c>
      <c r="AT30" s="261">
        <f t="shared" si="157"/>
        <v>36.387854120174858</v>
      </c>
      <c r="AU30" s="68">
        <v>62.822341502083667</v>
      </c>
      <c r="AV30" s="68">
        <v>27.092033211502798</v>
      </c>
      <c r="AW30" s="68">
        <v>5.498280014203532</v>
      </c>
      <c r="AX30" s="68">
        <v>4.3069716814935379</v>
      </c>
      <c r="AY30" s="68">
        <v>0.28037359071646156</v>
      </c>
      <c r="AZ30" s="261">
        <f t="shared" si="158"/>
        <v>37.177658497916333</v>
      </c>
      <c r="BA30" s="68">
        <v>61.837358969944148</v>
      </c>
      <c r="BB30" s="68">
        <v>27.181934447097078</v>
      </c>
      <c r="BC30" s="68">
        <v>6.1510562424136515</v>
      </c>
      <c r="BD30" s="68">
        <v>4.5387457351551701</v>
      </c>
      <c r="BE30" s="68">
        <v>0.29090460538995866</v>
      </c>
      <c r="BF30" s="261">
        <f t="shared" si="159"/>
        <v>38.162641030055859</v>
      </c>
      <c r="BG30" s="68">
        <v>61.343472318611646</v>
      </c>
      <c r="BH30" s="68">
        <v>26.818183753496633</v>
      </c>
      <c r="BI30" s="68">
        <v>6.6051288164891915</v>
      </c>
      <c r="BJ30" s="68">
        <v>4.7336174633519112</v>
      </c>
      <c r="BK30" s="68">
        <v>0.49959764805061546</v>
      </c>
      <c r="BL30" s="199">
        <f t="shared" si="160"/>
        <v>38.656527681388354</v>
      </c>
      <c r="BM30" s="68">
        <v>60.557554683344897</v>
      </c>
      <c r="BN30" s="68">
        <v>27.094680113372426</v>
      </c>
      <c r="BO30" s="68">
        <v>7.0969691053407571</v>
      </c>
      <c r="BP30" s="68">
        <v>4.9375744763930873</v>
      </c>
      <c r="BQ30" s="68">
        <v>0.3132216215488397</v>
      </c>
      <c r="BR30" s="191">
        <f t="shared" si="161"/>
        <v>39.44244531665511</v>
      </c>
      <c r="BS30" s="77">
        <v>59.804353691789188</v>
      </c>
      <c r="BT30" s="68">
        <v>27.048512709300827</v>
      </c>
      <c r="BU30" s="68">
        <v>7.6720871341687218</v>
      </c>
      <c r="BV30" s="68">
        <v>5.1556170802545385</v>
      </c>
      <c r="BW30" s="68">
        <v>0.31942938448672592</v>
      </c>
      <c r="BX30" s="191">
        <f t="shared" si="162"/>
        <v>40.195646308210812</v>
      </c>
      <c r="BY30" s="38">
        <v>1193330</v>
      </c>
      <c r="BZ30" s="6">
        <v>707457</v>
      </c>
      <c r="CA30" s="6">
        <v>319004</v>
      </c>
      <c r="CB30" s="6">
        <v>98686</v>
      </c>
      <c r="CC30" s="6">
        <v>64278</v>
      </c>
      <c r="CD30" s="6">
        <v>3905</v>
      </c>
      <c r="CE30" s="189">
        <f t="shared" si="163"/>
        <v>59.284271743775818</v>
      </c>
      <c r="CF30" s="190">
        <f t="shared" si="164"/>
        <v>26.732253442048719</v>
      </c>
      <c r="CG30" s="190">
        <f t="shared" si="165"/>
        <v>8.2697996363118342</v>
      </c>
      <c r="CH30" s="190">
        <f t="shared" si="166"/>
        <v>5.3864396269263324</v>
      </c>
      <c r="CI30" s="190">
        <f t="shared" si="167"/>
        <v>0.32723555093729312</v>
      </c>
      <c r="CJ30" s="191">
        <f t="shared" si="168"/>
        <v>40.715728256224182</v>
      </c>
      <c r="CK30" s="38">
        <v>1200136</v>
      </c>
      <c r="CL30" s="6">
        <v>703630</v>
      </c>
      <c r="CM30" s="6">
        <v>319742</v>
      </c>
      <c r="CN30" s="6">
        <v>105556</v>
      </c>
      <c r="CO30" s="6">
        <v>67443</v>
      </c>
      <c r="CP30" s="6">
        <v>3765</v>
      </c>
      <c r="CQ30" s="189">
        <f t="shared" si="169"/>
        <v>58.629188691948244</v>
      </c>
      <c r="CR30" s="190">
        <f t="shared" si="170"/>
        <v>26.642147223314687</v>
      </c>
      <c r="CS30" s="190">
        <f t="shared" si="171"/>
        <v>8.7953365285267679</v>
      </c>
      <c r="CT30" s="190">
        <f t="shared" si="172"/>
        <v>5.619613110514142</v>
      </c>
      <c r="CU30" s="190">
        <f t="shared" si="173"/>
        <v>0.31371444569615442</v>
      </c>
      <c r="CV30" s="191">
        <f t="shared" si="174"/>
        <v>41.370811308051756</v>
      </c>
      <c r="CW30" s="38">
        <f t="shared" si="199"/>
        <v>1201209</v>
      </c>
      <c r="CX30" s="6">
        <v>698634</v>
      </c>
      <c r="CY30" s="6">
        <v>317658</v>
      </c>
      <c r="CZ30" s="6">
        <v>110691</v>
      </c>
      <c r="DA30" s="6">
        <v>3751</v>
      </c>
      <c r="DB30" s="6">
        <v>70475</v>
      </c>
      <c r="DC30" s="6"/>
      <c r="DD30" s="189">
        <f t="shared" si="175"/>
        <v>58.160902890337987</v>
      </c>
      <c r="DE30" s="190">
        <f t="shared" si="176"/>
        <v>26.444856806767181</v>
      </c>
      <c r="DF30" s="190">
        <f t="shared" si="177"/>
        <v>9.2149659218337518</v>
      </c>
      <c r="DG30" s="190">
        <f t="shared" si="178"/>
        <v>5.8670056584657626</v>
      </c>
      <c r="DH30" s="190">
        <f t="shared" si="179"/>
        <v>0.31226872259531857</v>
      </c>
      <c r="DI30" s="190"/>
      <c r="DJ30" s="191">
        <f t="shared" si="20"/>
        <v>41.839097109662013</v>
      </c>
      <c r="DK30" s="382">
        <v>1209322</v>
      </c>
      <c r="DL30" s="6">
        <v>697491</v>
      </c>
      <c r="DM30" s="6">
        <v>316923</v>
      </c>
      <c r="DN30" s="6">
        <v>116887</v>
      </c>
      <c r="DO30" s="6">
        <v>3998</v>
      </c>
      <c r="DP30" s="6">
        <v>74023</v>
      </c>
      <c r="DQ30" s="6"/>
      <c r="DR30" s="189">
        <f t="shared" si="180"/>
        <v>57.676202037174548</v>
      </c>
      <c r="DS30" s="190">
        <f t="shared" si="181"/>
        <v>26.206667868441986</v>
      </c>
      <c r="DT30" s="190">
        <f t="shared" si="182"/>
        <v>9.6654985190048635</v>
      </c>
      <c r="DU30" s="190">
        <f t="shared" si="183"/>
        <v>6.1210331078075146</v>
      </c>
      <c r="DV30" s="190">
        <f t="shared" si="184"/>
        <v>0.3305984675710853</v>
      </c>
      <c r="DW30" s="190"/>
      <c r="DX30" s="191">
        <f t="shared" si="185"/>
        <v>42.323797962825452</v>
      </c>
      <c r="DY30" s="382">
        <v>1251440</v>
      </c>
      <c r="DZ30" s="6">
        <v>677123</v>
      </c>
      <c r="EA30" s="6">
        <v>301427</v>
      </c>
      <c r="EB30" s="6">
        <v>142536</v>
      </c>
      <c r="EC30" s="6">
        <v>4251</v>
      </c>
      <c r="ED30" s="6">
        <v>74933</v>
      </c>
      <c r="EE30" s="6">
        <v>51170</v>
      </c>
      <c r="EF30" s="189">
        <f t="shared" si="186"/>
        <v>54.107508150610492</v>
      </c>
      <c r="EG30" s="190">
        <f t="shared" si="187"/>
        <v>24.086412452854312</v>
      </c>
      <c r="EH30" s="190">
        <f t="shared" si="188"/>
        <v>11.389758997634726</v>
      </c>
      <c r="EI30" s="190">
        <f t="shared" si="189"/>
        <v>5.9877421210765194</v>
      </c>
      <c r="EJ30" s="190">
        <f t="shared" si="190"/>
        <v>0.33968867864220414</v>
      </c>
      <c r="EK30" s="190"/>
      <c r="EL30" s="191">
        <f t="shared" si="191"/>
        <v>41.80360225020776</v>
      </c>
      <c r="EM30" s="11">
        <v>1257883</v>
      </c>
      <c r="EN30" s="444">
        <f t="shared" si="200"/>
        <v>673362.99999999988</v>
      </c>
      <c r="EO30" s="444">
        <f t="shared" si="201"/>
        <v>298931.00000000006</v>
      </c>
      <c r="EP30" s="444">
        <f t="shared" si="202"/>
        <v>149272</v>
      </c>
      <c r="EQ30" s="444">
        <f t="shared" si="203"/>
        <v>75840</v>
      </c>
      <c r="ER30" s="444">
        <f t="shared" si="204"/>
        <v>1762</v>
      </c>
      <c r="ES30" s="444">
        <f t="shared" si="205"/>
        <v>4131.9999999999991</v>
      </c>
      <c r="ET30" s="444">
        <f t="shared" si="206"/>
        <v>54583.000000000007</v>
      </c>
      <c r="EU30" s="148">
        <v>53.531449268334171</v>
      </c>
      <c r="EV30" s="148">
        <v>23.764610858084577</v>
      </c>
      <c r="EW30" s="148">
        <v>11.866922440322352</v>
      </c>
      <c r="EX30" s="148">
        <v>6.0291775944185586</v>
      </c>
      <c r="EY30" s="148">
        <v>0.14007662079859573</v>
      </c>
      <c r="EZ30" s="148">
        <v>0.32848842062417566</v>
      </c>
      <c r="FA30" s="148">
        <v>4.3392747974175663</v>
      </c>
      <c r="FB30" s="191">
        <f t="shared" si="207"/>
        <v>46.468550731665822</v>
      </c>
      <c r="FC30">
        <v>1265419</v>
      </c>
      <c r="FD30">
        <v>669428</v>
      </c>
      <c r="FE30" s="11">
        <v>296985</v>
      </c>
      <c r="FF30">
        <v>157746</v>
      </c>
      <c r="FG30">
        <v>77992</v>
      </c>
      <c r="FH30">
        <v>1830</v>
      </c>
      <c r="FI30" s="11">
        <v>4044</v>
      </c>
      <c r="FJ30">
        <v>57394</v>
      </c>
      <c r="FK30" s="189">
        <f t="shared" si="208"/>
        <v>52.901687109170958</v>
      </c>
      <c r="FL30" s="190">
        <f t="shared" si="209"/>
        <v>23.469301472476705</v>
      </c>
      <c r="FM30" s="190">
        <f t="shared" si="210"/>
        <v>12.465910500790647</v>
      </c>
      <c r="FN30" s="190">
        <f t="shared" si="211"/>
        <v>6.1633340419260341</v>
      </c>
      <c r="FO30" s="190">
        <f t="shared" si="212"/>
        <v>0.14461613109965948</v>
      </c>
      <c r="FP30" s="190">
        <f t="shared" si="213"/>
        <v>0.31957794216777213</v>
      </c>
      <c r="FQ30" s="190">
        <f t="shared" si="214"/>
        <v>4.535572802368228</v>
      </c>
      <c r="FR30" s="199">
        <f t="shared" si="37"/>
        <v>47.09831289082905</v>
      </c>
      <c r="FS30" s="474">
        <v>1273825</v>
      </c>
      <c r="FT30" s="474">
        <v>664517</v>
      </c>
      <c r="FU30" s="474">
        <v>296347</v>
      </c>
      <c r="FV30" s="474">
        <v>166303</v>
      </c>
      <c r="FW30" s="474">
        <v>80696</v>
      </c>
      <c r="FX30" s="474">
        <v>1821</v>
      </c>
      <c r="FY30" s="474">
        <v>4051</v>
      </c>
      <c r="FZ30" s="480">
        <v>60090</v>
      </c>
      <c r="GA30" s="189">
        <f t="shared" si="39"/>
        <v>52.167055914273938</v>
      </c>
      <c r="GB30" s="190">
        <f t="shared" si="40"/>
        <v>23.264341648185582</v>
      </c>
      <c r="GC30" s="190">
        <f t="shared" si="41"/>
        <v>13.05540399976449</v>
      </c>
      <c r="GD30" s="190">
        <f t="shared" si="42"/>
        <v>6.3349361175985717</v>
      </c>
      <c r="GE30" s="190">
        <f t="shared" si="43"/>
        <v>0.14295527250603499</v>
      </c>
      <c r="GF30" s="190">
        <f t="shared" si="44"/>
        <v>0.31801856612957036</v>
      </c>
      <c r="GG30" s="190">
        <f t="shared" si="45"/>
        <v>4.7172884815418126</v>
      </c>
      <c r="GH30" s="199">
        <f t="shared" si="46"/>
        <v>47.832944085726069</v>
      </c>
      <c r="GI30" s="474">
        <v>1280381</v>
      </c>
      <c r="GJ30" s="474">
        <v>656502</v>
      </c>
      <c r="GK30" s="474">
        <v>294955</v>
      </c>
      <c r="GL30" s="474">
        <v>177287</v>
      </c>
      <c r="GM30" s="474">
        <v>82767</v>
      </c>
      <c r="GN30" s="474">
        <v>1920</v>
      </c>
      <c r="GO30" s="474">
        <v>3931</v>
      </c>
      <c r="GP30" s="480">
        <v>63019</v>
      </c>
      <c r="GQ30" s="189">
        <f t="shared" si="192"/>
        <v>51.273956736315206</v>
      </c>
      <c r="GR30" s="190">
        <f t="shared" si="193"/>
        <v>23.036502416077713</v>
      </c>
      <c r="GS30" s="190">
        <f t="shared" si="194"/>
        <v>13.84642539993955</v>
      </c>
      <c r="GT30" s="190">
        <f t="shared" si="195"/>
        <v>6.4642477512552903</v>
      </c>
      <c r="GU30" s="190">
        <f t="shared" si="196"/>
        <v>0.14995536484843183</v>
      </c>
      <c r="GV30" s="190">
        <f t="shared" si="197"/>
        <v>0.30701798917665912</v>
      </c>
      <c r="GW30" s="190">
        <f t="shared" si="198"/>
        <v>4.9218943423871488</v>
      </c>
      <c r="GX30" s="199">
        <f t="shared" si="55"/>
        <v>48.726043263684794</v>
      </c>
    </row>
    <row r="31" spans="1:206" s="11" customFormat="1">
      <c r="A31" s="110" t="s">
        <v>99</v>
      </c>
      <c r="B31" s="243">
        <v>4.9000000000000004</v>
      </c>
      <c r="C31" s="243">
        <v>4.5999999999999996</v>
      </c>
      <c r="D31" s="243">
        <v>5</v>
      </c>
      <c r="E31" s="243">
        <f>100-95.7</f>
        <v>4.2999999999999972</v>
      </c>
      <c r="F31" s="243">
        <v>4.9000000000000004</v>
      </c>
      <c r="G31" s="243">
        <v>5</v>
      </c>
      <c r="H31" s="384">
        <v>95.874011028882506</v>
      </c>
      <c r="I31" s="46">
        <v>3.651811657005867</v>
      </c>
      <c r="J31" s="46">
        <v>0.10635203699405663</v>
      </c>
      <c r="K31" s="46">
        <v>0.34520343499452083</v>
      </c>
      <c r="L31" s="46">
        <v>0.05</v>
      </c>
      <c r="M31" s="263">
        <f t="shared" si="153"/>
        <v>4.1533671289944438</v>
      </c>
      <c r="N31" s="248">
        <f>100-95.9</f>
        <v>4.0999999999999943</v>
      </c>
      <c r="O31" s="254">
        <f>100-95.5</f>
        <v>4.5</v>
      </c>
      <c r="P31" s="254">
        <f>100-95.6</f>
        <v>4.4000000000000057</v>
      </c>
      <c r="Q31" s="254">
        <f>100-95.5</f>
        <v>4.5</v>
      </c>
      <c r="R31" s="135">
        <v>4.6045190640158893</v>
      </c>
      <c r="S31" s="53">
        <v>95.370614823320594</v>
      </c>
      <c r="T31" s="46">
        <v>3.9515495430732579</v>
      </c>
      <c r="U31" s="46">
        <v>0.20452759850246358</v>
      </c>
      <c r="V31" s="46">
        <v>0.39346911251562583</v>
      </c>
      <c r="W31" s="46">
        <v>7.9838922588053432E-2</v>
      </c>
      <c r="X31" s="262">
        <f t="shared" si="154"/>
        <v>4.629385176679401</v>
      </c>
      <c r="Y31" s="53">
        <v>95.3</v>
      </c>
      <c r="Z31" s="46">
        <v>3.9</v>
      </c>
      <c r="AA31" s="46">
        <v>0.2</v>
      </c>
      <c r="AB31" s="46">
        <v>0.4</v>
      </c>
      <c r="AC31" s="46">
        <v>0.1</v>
      </c>
      <c r="AD31" s="262">
        <f t="shared" si="155"/>
        <v>4.5999999999999996</v>
      </c>
      <c r="AE31" s="53">
        <v>95.2</v>
      </c>
      <c r="AF31" s="46">
        <v>4</v>
      </c>
      <c r="AG31" s="46">
        <v>0.3</v>
      </c>
      <c r="AH31" s="46">
        <v>0.4</v>
      </c>
      <c r="AI31" s="46">
        <v>0.1</v>
      </c>
      <c r="AJ31" s="262">
        <f t="shared" si="156"/>
        <v>4.8</v>
      </c>
      <c r="AK31" s="246">
        <f>100-95.2</f>
        <v>4.7999999999999972</v>
      </c>
      <c r="AL31" s="246">
        <f>100-95.1</f>
        <v>4.9000000000000057</v>
      </c>
      <c r="AM31" s="246">
        <f>100-94.9</f>
        <v>5.0999999999999943</v>
      </c>
      <c r="AN31" s="256">
        <f>100-94.8</f>
        <v>5.2000000000000028</v>
      </c>
      <c r="AO31" s="78">
        <v>94.685141793572598</v>
      </c>
      <c r="AP31" s="79">
        <v>4.3084573292313708</v>
      </c>
      <c r="AQ31" s="79">
        <v>0.36875757332374193</v>
      </c>
      <c r="AR31" s="79">
        <v>0.53427943862246696</v>
      </c>
      <c r="AS31" s="79">
        <v>0.10336386524983675</v>
      </c>
      <c r="AT31" s="262">
        <f t="shared" si="157"/>
        <v>5.3148582064274166</v>
      </c>
      <c r="AU31" s="79">
        <v>94.547961185640801</v>
      </c>
      <c r="AV31" s="79">
        <v>4.3784576771479573</v>
      </c>
      <c r="AW31" s="79">
        <v>0.41465613235060178</v>
      </c>
      <c r="AX31" s="79">
        <v>0.55393534475140072</v>
      </c>
      <c r="AY31" s="79">
        <v>0.10498966010923166</v>
      </c>
      <c r="AZ31" s="262">
        <f t="shared" si="158"/>
        <v>5.4520388143591916</v>
      </c>
      <c r="BA31" s="79">
        <v>94.351312598467004</v>
      </c>
      <c r="BB31" s="79">
        <v>4.5150554955656652</v>
      </c>
      <c r="BC31" s="79">
        <v>0.46379069232267084</v>
      </c>
      <c r="BD31" s="79">
        <v>0.56858614646580863</v>
      </c>
      <c r="BE31" s="79">
        <v>0.10125506717884264</v>
      </c>
      <c r="BF31" s="262">
        <f t="shared" si="159"/>
        <v>5.648687401532988</v>
      </c>
      <c r="BG31" s="79">
        <v>94.11020038049179</v>
      </c>
      <c r="BH31" s="79">
        <v>4.6313318990807746</v>
      </c>
      <c r="BI31" s="79">
        <v>0.54620130505129527</v>
      </c>
      <c r="BJ31" s="79">
        <v>0.59562967835997371</v>
      </c>
      <c r="BK31" s="79">
        <v>0.11663673701616201</v>
      </c>
      <c r="BL31" s="201">
        <f t="shared" si="160"/>
        <v>5.8897996195082047</v>
      </c>
      <c r="BM31" s="79">
        <v>93.872108921247005</v>
      </c>
      <c r="BN31" s="79">
        <v>4.7899360651699752</v>
      </c>
      <c r="BO31" s="79">
        <v>0.62114240225039186</v>
      </c>
      <c r="BP31" s="79">
        <v>0.60686326656647471</v>
      </c>
      <c r="BQ31" s="79">
        <v>0.10994934476616131</v>
      </c>
      <c r="BR31" s="194">
        <f t="shared" si="161"/>
        <v>6.1278910787530032</v>
      </c>
      <c r="BS31" s="78">
        <v>93.558850127818957</v>
      </c>
      <c r="BT31" s="79">
        <v>4.9543198535956652</v>
      </c>
      <c r="BU31" s="79">
        <v>0.72810521743464862</v>
      </c>
      <c r="BV31" s="79">
        <v>0.64158709135317193</v>
      </c>
      <c r="BW31" s="79">
        <v>0.11713770979755471</v>
      </c>
      <c r="BX31" s="194">
        <f t="shared" si="162"/>
        <v>6.4411498721810396</v>
      </c>
      <c r="BY31" s="73">
        <v>281939</v>
      </c>
      <c r="BZ31" s="12">
        <v>263137</v>
      </c>
      <c r="CA31" s="12">
        <v>14296</v>
      </c>
      <c r="CB31" s="12">
        <v>2353</v>
      </c>
      <c r="CC31" s="12">
        <v>1836</v>
      </c>
      <c r="CD31" s="80">
        <v>317</v>
      </c>
      <c r="CE31" s="192">
        <f t="shared" si="163"/>
        <v>93.331181567644066</v>
      </c>
      <c r="CF31" s="193">
        <f t="shared" si="164"/>
        <v>5.0706003780959712</v>
      </c>
      <c r="CG31" s="193">
        <f t="shared" si="165"/>
        <v>0.83457769233770429</v>
      </c>
      <c r="CH31" s="193">
        <f t="shared" si="166"/>
        <v>0.65120469321378027</v>
      </c>
      <c r="CI31" s="193">
        <f t="shared" si="167"/>
        <v>0.11243566870847949</v>
      </c>
      <c r="CJ31" s="194">
        <f t="shared" si="168"/>
        <v>6.668818432355935</v>
      </c>
      <c r="CK31" s="73">
        <v>282535</v>
      </c>
      <c r="CL31" s="12">
        <v>262885</v>
      </c>
      <c r="CM31" s="12">
        <v>14781</v>
      </c>
      <c r="CN31" s="12">
        <v>2525</v>
      </c>
      <c r="CO31" s="12">
        <v>2020</v>
      </c>
      <c r="CP31" s="80">
        <v>324</v>
      </c>
      <c r="CQ31" s="192">
        <f t="shared" si="169"/>
        <v>93.045109455465692</v>
      </c>
      <c r="CR31" s="193">
        <f t="shared" si="170"/>
        <v>5.2315642309802328</v>
      </c>
      <c r="CS31" s="193">
        <f t="shared" si="171"/>
        <v>0.89369458651140565</v>
      </c>
      <c r="CT31" s="193">
        <f t="shared" si="172"/>
        <v>0.71495566920912446</v>
      </c>
      <c r="CU31" s="193">
        <f t="shared" si="173"/>
        <v>0.11467605783354275</v>
      </c>
      <c r="CV31" s="194">
        <f t="shared" si="174"/>
        <v>6.9548905445343054</v>
      </c>
      <c r="CW31" s="73">
        <f t="shared" si="199"/>
        <v>282729</v>
      </c>
      <c r="CX31" s="12">
        <v>262397</v>
      </c>
      <c r="CY31" s="12">
        <v>15320</v>
      </c>
      <c r="CZ31" s="12">
        <v>2644</v>
      </c>
      <c r="DA31" s="12">
        <v>339</v>
      </c>
      <c r="DB31" s="12">
        <v>2029</v>
      </c>
      <c r="DC31" s="12"/>
      <c r="DD31" s="192">
        <f t="shared" si="175"/>
        <v>92.808661297567639</v>
      </c>
      <c r="DE31" s="193">
        <f t="shared" si="176"/>
        <v>5.4186164135974737</v>
      </c>
      <c r="DF31" s="193">
        <f t="shared" si="177"/>
        <v>0.93517113561042553</v>
      </c>
      <c r="DG31" s="193">
        <f t="shared" si="178"/>
        <v>0.71764834877214578</v>
      </c>
      <c r="DH31" s="193">
        <f t="shared" si="179"/>
        <v>0.11990280445232007</v>
      </c>
      <c r="DI31" s="193"/>
      <c r="DJ31" s="194">
        <f t="shared" si="20"/>
        <v>7.1913387024323656</v>
      </c>
      <c r="DK31" s="383">
        <v>282662</v>
      </c>
      <c r="DL31" s="12">
        <v>261120</v>
      </c>
      <c r="DM31" s="12">
        <v>14997</v>
      </c>
      <c r="DN31" s="12">
        <v>2935</v>
      </c>
      <c r="DO31" s="12">
        <v>324</v>
      </c>
      <c r="DP31" s="12">
        <v>2023</v>
      </c>
      <c r="DQ31" s="12">
        <v>1263</v>
      </c>
      <c r="DR31" s="192">
        <f t="shared" si="180"/>
        <v>92.378883613644575</v>
      </c>
      <c r="DS31" s="193">
        <f t="shared" si="181"/>
        <v>5.3056300457790577</v>
      </c>
      <c r="DT31" s="193">
        <f t="shared" si="182"/>
        <v>1.0383426141469316</v>
      </c>
      <c r="DU31" s="193">
        <f t="shared" si="183"/>
        <v>0.71569577799633488</v>
      </c>
      <c r="DV31" s="193">
        <f t="shared" si="184"/>
        <v>0.11462453389560676</v>
      </c>
      <c r="DW31" s="193"/>
      <c r="DX31" s="194">
        <f t="shared" si="185"/>
        <v>7.1742929718179314</v>
      </c>
      <c r="DY31" s="383">
        <v>282879</v>
      </c>
      <c r="DZ31" s="12">
        <v>260278</v>
      </c>
      <c r="EA31" s="12">
        <v>14786</v>
      </c>
      <c r="EB31" s="12">
        <v>3139</v>
      </c>
      <c r="EC31" s="12">
        <v>338</v>
      </c>
      <c r="ED31" s="12">
        <v>2063</v>
      </c>
      <c r="EE31" s="12">
        <v>2275</v>
      </c>
      <c r="EF31" s="192">
        <f t="shared" si="186"/>
        <v>92.010364855644994</v>
      </c>
      <c r="EG31" s="193">
        <f t="shared" si="187"/>
        <v>5.2269698351592027</v>
      </c>
      <c r="EH31" s="193">
        <f t="shared" si="188"/>
        <v>1.1096617281593897</v>
      </c>
      <c r="EI31" s="193">
        <f t="shared" si="189"/>
        <v>0.72928708034177159</v>
      </c>
      <c r="EJ31" s="193">
        <f t="shared" si="190"/>
        <v>0.11948571650776481</v>
      </c>
      <c r="EK31" s="193"/>
      <c r="EL31" s="194">
        <f t="shared" si="191"/>
        <v>7.1854043601681292</v>
      </c>
      <c r="EM31" s="14">
        <v>282870</v>
      </c>
      <c r="EN31" s="445">
        <f t="shared" si="200"/>
        <v>259435</v>
      </c>
      <c r="EO31" s="445">
        <f t="shared" si="201"/>
        <v>14266</v>
      </c>
      <c r="EP31" s="445">
        <f t="shared" si="202"/>
        <v>3368</v>
      </c>
      <c r="EQ31" s="445">
        <f t="shared" si="203"/>
        <v>2000</v>
      </c>
      <c r="ER31" s="445">
        <f t="shared" si="204"/>
        <v>0</v>
      </c>
      <c r="ES31" s="445">
        <f t="shared" si="205"/>
        <v>327</v>
      </c>
      <c r="ET31" s="445">
        <f t="shared" si="206"/>
        <v>3374</v>
      </c>
      <c r="EU31" s="79">
        <v>91.715275568282252</v>
      </c>
      <c r="EV31" s="79">
        <v>5.0433061123484286</v>
      </c>
      <c r="EW31" s="79">
        <v>1.1906529501184289</v>
      </c>
      <c r="EX31" s="79">
        <v>0.70703856895393646</v>
      </c>
      <c r="EY31" s="446">
        <v>0</v>
      </c>
      <c r="EZ31" s="79">
        <v>0.11560080602396861</v>
      </c>
      <c r="FA31" s="79">
        <v>1.1927740658252908</v>
      </c>
      <c r="FB31" s="191">
        <f>SUM(EV31:FA31)</f>
        <v>8.2493725032700524</v>
      </c>
      <c r="FC31">
        <v>283044</v>
      </c>
      <c r="FD31">
        <v>258780</v>
      </c>
      <c r="FE31" s="11">
        <v>13741</v>
      </c>
      <c r="FF31">
        <v>3621</v>
      </c>
      <c r="FG31">
        <v>1974</v>
      </c>
      <c r="FH31">
        <v>108</v>
      </c>
      <c r="FI31" s="11">
        <v>336</v>
      </c>
      <c r="FJ31">
        <v>4484</v>
      </c>
      <c r="FK31" s="189">
        <f t="shared" si="208"/>
        <v>91.427481239665923</v>
      </c>
      <c r="FL31" s="190">
        <f t="shared" si="209"/>
        <v>4.8547222339989542</v>
      </c>
      <c r="FM31" s="190">
        <f t="shared" si="210"/>
        <v>1.2793063975918939</v>
      </c>
      <c r="FN31" s="190">
        <f t="shared" si="211"/>
        <v>0.69741806927544836</v>
      </c>
      <c r="FO31" s="190">
        <f t="shared" si="212"/>
        <v>3.8156611692881676E-2</v>
      </c>
      <c r="FP31" s="190">
        <f t="shared" si="213"/>
        <v>0.11870945860007631</v>
      </c>
      <c r="FQ31" s="190">
        <f t="shared" si="214"/>
        <v>1.5842059891748277</v>
      </c>
      <c r="FR31" s="199">
        <f t="shared" si="37"/>
        <v>8.5725187603340824</v>
      </c>
      <c r="FS31" s="474">
        <v>280958</v>
      </c>
      <c r="FT31" s="474">
        <v>256010</v>
      </c>
      <c r="FU31" s="474">
        <v>13177</v>
      </c>
      <c r="FV31" s="474">
        <v>3891</v>
      </c>
      <c r="FW31" s="474">
        <v>1966</v>
      </c>
      <c r="FX31" s="474">
        <v>92</v>
      </c>
      <c r="FY31" s="474">
        <v>326</v>
      </c>
      <c r="FZ31" s="480">
        <v>5496</v>
      </c>
      <c r="GA31" s="189">
        <f t="shared" si="39"/>
        <v>91.120380982210875</v>
      </c>
      <c r="GB31" s="190">
        <f t="shared" si="40"/>
        <v>4.6900248435709253</v>
      </c>
      <c r="GC31" s="190">
        <f t="shared" si="41"/>
        <v>1.3849045052997244</v>
      </c>
      <c r="GD31" s="190">
        <f t="shared" si="42"/>
        <v>0.69974871689006901</v>
      </c>
      <c r="GE31" s="190">
        <f t="shared" si="43"/>
        <v>3.2745107809708213E-2</v>
      </c>
      <c r="GF31" s="190">
        <f t="shared" si="44"/>
        <v>0.11603157767353127</v>
      </c>
      <c r="GG31" s="190">
        <f t="shared" si="45"/>
        <v>1.9561642665451775</v>
      </c>
      <c r="GH31" s="199">
        <f t="shared" si="46"/>
        <v>8.8796190177891354</v>
      </c>
      <c r="GI31" s="474">
        <v>280310</v>
      </c>
      <c r="GJ31" s="474">
        <v>254397</v>
      </c>
      <c r="GK31" s="474">
        <v>12976</v>
      </c>
      <c r="GL31" s="474">
        <v>4217</v>
      </c>
      <c r="GM31" s="474">
        <v>1892</v>
      </c>
      <c r="GN31" s="474">
        <v>117</v>
      </c>
      <c r="GO31" s="474">
        <v>311</v>
      </c>
      <c r="GP31" s="480">
        <v>6400</v>
      </c>
      <c r="GQ31" s="189">
        <f t="shared" si="192"/>
        <v>90.755592023117259</v>
      </c>
      <c r="GR31" s="190">
        <f t="shared" si="193"/>
        <v>4.6291605722236095</v>
      </c>
      <c r="GS31" s="190">
        <f t="shared" si="194"/>
        <v>1.5044058363954194</v>
      </c>
      <c r="GT31" s="190">
        <f t="shared" si="195"/>
        <v>0.67496700082052019</v>
      </c>
      <c r="GU31" s="190">
        <f t="shared" si="196"/>
        <v>4.1739502693446541E-2</v>
      </c>
      <c r="GV31" s="190">
        <f t="shared" si="197"/>
        <v>0.11094859262958867</v>
      </c>
      <c r="GW31" s="190">
        <f t="shared" si="198"/>
        <v>2.2831864721201525</v>
      </c>
      <c r="GX31" s="199">
        <f t="shared" si="55"/>
        <v>9.2444079768827372</v>
      </c>
    </row>
    <row r="32" spans="1:206" s="11" customFormat="1">
      <c r="A32" s="113"/>
      <c r="C32" s="1"/>
      <c r="D32" s="1"/>
      <c r="E32" s="1"/>
      <c r="F32" s="1"/>
      <c r="G32" s="1"/>
      <c r="H32" s="52"/>
      <c r="I32" s="45"/>
      <c r="J32" s="45"/>
      <c r="K32" s="45"/>
      <c r="L32" s="43"/>
      <c r="M32" s="264"/>
      <c r="N32" s="66"/>
      <c r="O32" s="1"/>
      <c r="P32" s="1"/>
      <c r="Q32" s="1"/>
      <c r="R32" s="134"/>
      <c r="S32" s="52"/>
      <c r="T32" s="45"/>
      <c r="U32" s="45"/>
      <c r="V32" s="45"/>
      <c r="W32" s="45"/>
      <c r="X32" s="261"/>
      <c r="Y32" s="52"/>
      <c r="Z32" s="45"/>
      <c r="AA32" s="45"/>
      <c r="AB32" s="45"/>
      <c r="AC32" s="45"/>
      <c r="AD32" s="261"/>
      <c r="AE32" s="52"/>
      <c r="AF32" s="45"/>
      <c r="AG32" s="45"/>
      <c r="AH32" s="45"/>
      <c r="AI32" s="45"/>
      <c r="AJ32" s="261"/>
      <c r="AK32" s="258"/>
      <c r="AL32" s="258"/>
      <c r="AM32" s="258"/>
      <c r="AN32" s="258"/>
      <c r="AO32" s="77"/>
      <c r="AP32" s="68"/>
      <c r="AQ32" s="68"/>
      <c r="AR32" s="68"/>
      <c r="AS32" s="68"/>
      <c r="AT32" s="261"/>
      <c r="AU32" s="68"/>
      <c r="AV32" s="68"/>
      <c r="AW32" s="68"/>
      <c r="AX32" s="68"/>
      <c r="AY32" s="68"/>
      <c r="AZ32" s="261"/>
      <c r="BA32" s="68"/>
      <c r="BB32" s="68"/>
      <c r="BC32" s="68"/>
      <c r="BD32" s="68"/>
      <c r="BE32" s="68"/>
      <c r="BF32" s="261"/>
      <c r="BG32" s="68"/>
      <c r="BH32" s="68"/>
      <c r="BI32" s="68"/>
      <c r="BJ32" s="68"/>
      <c r="BK32" s="68"/>
      <c r="BL32" s="199"/>
      <c r="BM32" s="68"/>
      <c r="BN32" s="68"/>
      <c r="BO32" s="68"/>
      <c r="BP32" s="68"/>
      <c r="BQ32" s="68"/>
      <c r="BR32" s="191"/>
      <c r="BS32" s="77"/>
      <c r="BT32" s="68"/>
      <c r="BU32" s="68"/>
      <c r="BV32" s="68"/>
      <c r="BW32" s="68"/>
      <c r="BX32" s="191"/>
      <c r="BY32" s="38"/>
      <c r="BZ32" s="6"/>
      <c r="CA32" s="6"/>
      <c r="CB32" s="6"/>
      <c r="CC32" s="6"/>
      <c r="CD32" s="6"/>
      <c r="CE32" s="189"/>
      <c r="CF32" s="190"/>
      <c r="CG32" s="190"/>
      <c r="CH32" s="190"/>
      <c r="CI32" s="190"/>
      <c r="CJ32" s="191"/>
      <c r="CK32" s="38"/>
      <c r="CL32" s="6"/>
      <c r="CM32" s="6"/>
      <c r="CN32" s="6"/>
      <c r="CO32" s="6"/>
      <c r="CP32" s="6"/>
      <c r="CQ32" s="189"/>
      <c r="CR32" s="190"/>
      <c r="CS32" s="190"/>
      <c r="CT32" s="190"/>
      <c r="CU32" s="190"/>
      <c r="CV32" s="191"/>
      <c r="CW32" s="38"/>
      <c r="CX32" s="6"/>
      <c r="CY32" s="6"/>
      <c r="CZ32" s="6"/>
      <c r="DA32" s="6"/>
      <c r="DB32" s="6"/>
      <c r="DC32" s="6"/>
      <c r="DD32" s="189"/>
      <c r="DE32" s="190"/>
      <c r="DF32" s="190"/>
      <c r="DG32" s="190"/>
      <c r="DH32" s="190"/>
      <c r="DI32" s="190"/>
      <c r="DJ32" s="191"/>
      <c r="DK32" s="382"/>
      <c r="DL32" s="6"/>
      <c r="DM32" s="6"/>
      <c r="DN32" s="6"/>
      <c r="DO32" s="6"/>
      <c r="DP32" s="6"/>
      <c r="DQ32" s="6"/>
      <c r="DR32" s="189"/>
      <c r="DS32" s="190"/>
      <c r="DT32" s="190"/>
      <c r="DU32" s="190"/>
      <c r="DV32" s="190"/>
      <c r="DW32" s="190"/>
      <c r="DX32" s="191"/>
      <c r="DY32" s="382"/>
      <c r="DZ32" s="6"/>
      <c r="EA32" s="6"/>
      <c r="EB32" s="6"/>
      <c r="EC32" s="6"/>
      <c r="ED32" s="6">
        <v>0</v>
      </c>
      <c r="EE32" s="6"/>
      <c r="EF32" s="189"/>
      <c r="EG32" s="190"/>
      <c r="EH32" s="190"/>
      <c r="EI32" s="190"/>
      <c r="EJ32" s="190"/>
      <c r="EK32" s="190"/>
      <c r="EL32" s="191"/>
      <c r="EN32" s="444"/>
      <c r="EO32" s="444"/>
      <c r="EP32" s="444"/>
      <c r="EQ32" s="444"/>
      <c r="ER32" s="444"/>
      <c r="ES32" s="444"/>
      <c r="ET32" s="444"/>
      <c r="EU32" s="148"/>
      <c r="EV32" s="148"/>
      <c r="EW32" s="148"/>
      <c r="EX32" s="148"/>
      <c r="EY32" s="148"/>
      <c r="EZ32" s="148"/>
      <c r="FA32" s="148"/>
      <c r="FB32" s="191"/>
      <c r="FC32"/>
      <c r="FD32"/>
      <c r="FF32"/>
      <c r="FG32"/>
      <c r="FH32"/>
      <c r="FJ32"/>
      <c r="FK32" s="189"/>
      <c r="FL32" s="190"/>
      <c r="FM32" s="190"/>
      <c r="FN32" s="190"/>
      <c r="FO32" s="190"/>
      <c r="FP32" s="190"/>
      <c r="FQ32" s="190"/>
      <c r="FR32" s="199"/>
      <c r="FS32" s="474"/>
      <c r="FT32" s="474"/>
      <c r="FU32" s="474"/>
      <c r="FV32" s="474"/>
      <c r="FW32" s="474"/>
      <c r="FX32" s="474"/>
      <c r="FY32" s="474"/>
      <c r="FZ32" s="480"/>
      <c r="GA32" s="189"/>
      <c r="GB32" s="190"/>
      <c r="GC32" s="190"/>
      <c r="GD32" s="190"/>
      <c r="GE32" s="190"/>
      <c r="GF32" s="190"/>
      <c r="GG32" s="190"/>
      <c r="GH32" s="199"/>
      <c r="GI32" s="474"/>
      <c r="GJ32" s="474"/>
      <c r="GK32" s="474"/>
      <c r="GL32" s="474"/>
      <c r="GM32" s="474"/>
      <c r="GN32" s="474"/>
      <c r="GO32" s="474"/>
      <c r="GP32" s="480"/>
      <c r="GQ32" s="189"/>
      <c r="GR32" s="190"/>
      <c r="GS32" s="190"/>
      <c r="GT32" s="190"/>
      <c r="GU32" s="190"/>
      <c r="GV32" s="190"/>
      <c r="GW32" s="190"/>
      <c r="GX32" s="199"/>
    </row>
    <row r="33" spans="1:206" s="11" customFormat="1">
      <c r="A33" s="113" t="s">
        <v>129</v>
      </c>
      <c r="C33" s="1"/>
      <c r="D33" s="1"/>
      <c r="E33" s="1"/>
      <c r="F33" s="1"/>
      <c r="G33" s="1"/>
      <c r="H33" s="52">
        <v>65.676212883336035</v>
      </c>
      <c r="I33" s="45">
        <v>4.2988398507220511</v>
      </c>
      <c r="J33" s="45">
        <v>1.6601087132889827</v>
      </c>
      <c r="K33" s="45">
        <v>3.2674833684893723</v>
      </c>
      <c r="L33" s="43">
        <v>25.097355184163558</v>
      </c>
      <c r="M33" s="264">
        <f t="shared" ref="M33:M45" si="215">SUM(I33:L33)</f>
        <v>34.323787116663965</v>
      </c>
      <c r="N33" s="66"/>
      <c r="O33" s="1"/>
      <c r="P33" s="1"/>
      <c r="Q33" s="1"/>
      <c r="R33" s="134">
        <v>33.92686570819761</v>
      </c>
      <c r="S33" s="52">
        <v>65.207069584272872</v>
      </c>
      <c r="T33" s="45">
        <v>4.8853495093213075</v>
      </c>
      <c r="U33" s="45">
        <v>2.4367199161558739</v>
      </c>
      <c r="V33" s="45">
        <v>4.0842252358116049</v>
      </c>
      <c r="W33" s="45">
        <v>23.386635754438341</v>
      </c>
      <c r="X33" s="261">
        <f t="shared" ref="X33:X45" si="216">SUM(T33:W33)</f>
        <v>34.792930415727128</v>
      </c>
      <c r="Y33" s="52">
        <v>64.7</v>
      </c>
      <c r="Z33" s="45">
        <v>4.8</v>
      </c>
      <c r="AA33" s="45">
        <v>2.6</v>
      </c>
      <c r="AB33" s="45">
        <v>4.0999999999999996</v>
      </c>
      <c r="AC33" s="45">
        <v>23.8</v>
      </c>
      <c r="AD33" s="261">
        <f t="shared" ref="AD33:AD45" si="217">SUM(Z33:AC33)</f>
        <v>35.299999999999997</v>
      </c>
      <c r="AE33" s="52">
        <v>63.7</v>
      </c>
      <c r="AF33" s="45">
        <v>4.5999999999999996</v>
      </c>
      <c r="AG33" s="45">
        <v>2.7</v>
      </c>
      <c r="AH33" s="45">
        <v>4.4000000000000004</v>
      </c>
      <c r="AI33" s="45">
        <v>24.5</v>
      </c>
      <c r="AJ33" s="261">
        <f t="shared" ref="AJ33:AJ45" si="218">SUM(AF33:AI33)</f>
        <v>36.200000000000003</v>
      </c>
      <c r="AK33" s="258">
        <f>100-63.1</f>
        <v>36.9</v>
      </c>
      <c r="AL33" s="258">
        <f>100-62.8</f>
        <v>37.200000000000003</v>
      </c>
      <c r="AM33" s="258">
        <f>100-62.5</f>
        <v>37.5</v>
      </c>
      <c r="AN33" s="258">
        <f>100-62.2</f>
        <v>37.799999999999997</v>
      </c>
      <c r="AO33" s="77">
        <v>61.526290530609799</v>
      </c>
      <c r="AP33" s="68">
        <v>4.5577251867182582</v>
      </c>
      <c r="AQ33" s="68">
        <v>3.3691772398692224</v>
      </c>
      <c r="AR33" s="68">
        <v>5.5018146915024442</v>
      </c>
      <c r="AS33" s="68">
        <v>25.04499235130028</v>
      </c>
      <c r="AT33" s="261">
        <f t="shared" ref="AT33:AT45" si="219">SUM(AP33:AS33)</f>
        <v>38.473709469390201</v>
      </c>
      <c r="AU33" s="68">
        <v>60.444484139388798</v>
      </c>
      <c r="AV33" s="68">
        <v>4.6547284121526076</v>
      </c>
      <c r="AW33" s="68">
        <v>3.5814763542178358</v>
      </c>
      <c r="AX33" s="68">
        <v>5.8574852260378982</v>
      </c>
      <c r="AY33" s="68">
        <v>25.461825868202858</v>
      </c>
      <c r="AZ33" s="261">
        <f t="shared" ref="AZ33:AZ45" si="220">SUM(AV33:AY33)</f>
        <v>39.555515860611202</v>
      </c>
      <c r="BA33" s="68">
        <v>59.431097615432705</v>
      </c>
      <c r="BB33" s="68">
        <v>4.7244797713673305</v>
      </c>
      <c r="BC33" s="68">
        <v>3.7190021136613973</v>
      </c>
      <c r="BD33" s="68">
        <v>6.2687922360155994</v>
      </c>
      <c r="BE33" s="68">
        <v>25.856628263522968</v>
      </c>
      <c r="BF33" s="261">
        <f t="shared" ref="BF33:BF45" si="221">SUM(BB33:BE33)</f>
        <v>40.568902384567295</v>
      </c>
      <c r="BG33" s="68">
        <v>58.895865843369442</v>
      </c>
      <c r="BH33" s="68">
        <v>4.6732321384572879</v>
      </c>
      <c r="BI33" s="68">
        <v>3.8825382840674072</v>
      </c>
      <c r="BJ33" s="68">
        <v>6.509971403612254</v>
      </c>
      <c r="BK33" s="68">
        <v>26.038392330493604</v>
      </c>
      <c r="BL33" s="199">
        <f t="shared" ref="BL33:BL45" si="222">SUM(BH33:BK33)</f>
        <v>41.10413415663055</v>
      </c>
      <c r="BM33" s="68">
        <v>58.295104158832821</v>
      </c>
      <c r="BN33" s="68">
        <v>4.6408964428066479</v>
      </c>
      <c r="BO33" s="68">
        <v>4.078363540648267</v>
      </c>
      <c r="BP33" s="68">
        <v>6.6706775964503269</v>
      </c>
      <c r="BQ33" s="68">
        <v>26.314958261261939</v>
      </c>
      <c r="BR33" s="191">
        <f t="shared" ref="BR33:BR45" si="223">SUM(BN33:BQ33)</f>
        <v>41.704895841167179</v>
      </c>
      <c r="BS33" s="77">
        <v>57.657853670247881</v>
      </c>
      <c r="BT33" s="68">
        <v>4.6148190384730805</v>
      </c>
      <c r="BU33" s="68">
        <v>4.2374407298481485</v>
      </c>
      <c r="BV33" s="68">
        <v>6.9361082768141165</v>
      </c>
      <c r="BW33" s="68">
        <v>26.553778284616769</v>
      </c>
      <c r="BX33" s="191">
        <f t="shared" ref="BX33:BX45" si="224">SUM(BT33:BW33)</f>
        <v>42.342146329752111</v>
      </c>
      <c r="BY33" s="38">
        <v>132608</v>
      </c>
      <c r="BZ33" s="6">
        <v>76155</v>
      </c>
      <c r="CA33" s="6">
        <v>6070</v>
      </c>
      <c r="CB33" s="6">
        <v>5830</v>
      </c>
      <c r="CC33" s="6">
        <v>9233</v>
      </c>
      <c r="CD33" s="6">
        <v>35320</v>
      </c>
      <c r="CE33" s="189">
        <f t="shared" ref="CE33:CE45" si="225">(BZ33/$BY33)*100</f>
        <v>57.428661920849422</v>
      </c>
      <c r="CF33" s="190">
        <f t="shared" ref="CF33:CF45" si="226">(CA33/$BY33)*100</f>
        <v>4.5774010617760617</v>
      </c>
      <c r="CG33" s="190">
        <f t="shared" ref="CG33:CG45" si="227">(CB33/$BY33)*100</f>
        <v>4.3964165057915059</v>
      </c>
      <c r="CH33" s="190">
        <f t="shared" ref="CH33:CH45" si="228">(CC33/$BY33)*100</f>
        <v>6.9626266891891886</v>
      </c>
      <c r="CI33" s="190">
        <f t="shared" ref="CI33:CI45" si="229">(CD33/$BY33)*100</f>
        <v>26.634893822393824</v>
      </c>
      <c r="CJ33" s="191">
        <f t="shared" ref="CJ33:CJ45" si="230">SUM(CF33:CI33)</f>
        <v>42.571338079150578</v>
      </c>
      <c r="CK33" s="38">
        <v>123277</v>
      </c>
      <c r="CL33" s="6">
        <v>70332</v>
      </c>
      <c r="CM33" s="6">
        <v>4932</v>
      </c>
      <c r="CN33" s="6">
        <v>7504</v>
      </c>
      <c r="CO33" s="6">
        <v>9265</v>
      </c>
      <c r="CP33" s="6">
        <v>31244</v>
      </c>
      <c r="CQ33" s="189">
        <f t="shared" ref="CQ33:CQ45" si="231">(CL33/CK33)*100</f>
        <v>57.052004834640691</v>
      </c>
      <c r="CR33" s="190">
        <f t="shared" ref="CR33:CR45" si="232">(CM33/CK33)*100</f>
        <v>4.0007462868174919</v>
      </c>
      <c r="CS33" s="190">
        <f t="shared" ref="CS33:CS45" si="233">(CN33/CK33)*100</f>
        <v>6.0871046505025266</v>
      </c>
      <c r="CT33" s="190">
        <f t="shared" ref="CT33:CT45" si="234">(CO33/CK33)*100</f>
        <v>7.5155949609416197</v>
      </c>
      <c r="CU33" s="190">
        <f t="shared" ref="CU33:CU45" si="235">(CP33/CK33)*100</f>
        <v>25.344549267097676</v>
      </c>
      <c r="CV33" s="191">
        <f t="shared" ref="CV33:CV45" si="236">SUM(CR33:CU33)</f>
        <v>42.947995165359316</v>
      </c>
      <c r="CW33" s="38">
        <f t="shared" ref="CW33:CW45" si="237">SUM(CX33:DC33)</f>
        <v>130662</v>
      </c>
      <c r="CX33" s="6">
        <v>69586</v>
      </c>
      <c r="CY33" s="6">
        <v>4600</v>
      </c>
      <c r="CZ33" s="6">
        <v>7641</v>
      </c>
      <c r="DA33" s="6">
        <v>30248</v>
      </c>
      <c r="DB33" s="6">
        <v>9466</v>
      </c>
      <c r="DC33" s="6">
        <v>9121</v>
      </c>
      <c r="DD33" s="189">
        <f t="shared" ref="DD33:DD45" si="238">(CX33/CW33)*100</f>
        <v>53.256493854372358</v>
      </c>
      <c r="DE33" s="190">
        <f t="shared" ref="DE33:DE45" si="239">(CY33/CW33)*100</f>
        <v>3.5205338966187569</v>
      </c>
      <c r="DF33" s="190">
        <f t="shared" ref="DF33:DF45" si="240">(CZ33/CW33)*100</f>
        <v>5.84791293566607</v>
      </c>
      <c r="DG33" s="190">
        <f t="shared" ref="DG33:DG45" si="241">(DB33/CW33)*100</f>
        <v>7.2446464924767726</v>
      </c>
      <c r="DH33" s="190">
        <f t="shared" ref="DH33:DH45" si="242">(DA33/CW33)*100</f>
        <v>23.149806370635687</v>
      </c>
      <c r="DI33" s="190">
        <f>(DC33/CW33)*100</f>
        <v>6.9806064502303657</v>
      </c>
      <c r="DJ33" s="191">
        <f t="shared" si="20"/>
        <v>46.743506145627656</v>
      </c>
      <c r="DK33" s="382">
        <v>131661</v>
      </c>
      <c r="DL33" s="6">
        <v>70055</v>
      </c>
      <c r="DM33" s="6">
        <v>4959</v>
      </c>
      <c r="DN33" s="6">
        <v>7684</v>
      </c>
      <c r="DO33" s="6">
        <v>30312</v>
      </c>
      <c r="DP33" s="6">
        <v>10490</v>
      </c>
      <c r="DQ33" s="6">
        <v>8161</v>
      </c>
      <c r="DR33" s="189">
        <f t="shared" ref="DR33:DR45" si="243">(DL33/DK33)*100</f>
        <v>53.20861910512604</v>
      </c>
      <c r="DS33" s="190">
        <f t="shared" ref="DS33:DS45" si="244">(DM33/DK33)*100</f>
        <v>3.7664912160776538</v>
      </c>
      <c r="DT33" s="190">
        <f t="shared" ref="DT33:DT45" si="245">(DN33/DK33)*100</f>
        <v>5.8362005453399259</v>
      </c>
      <c r="DU33" s="190">
        <f t="shared" ref="DU33:DU45" si="246">(DP33/DK33)*100</f>
        <v>7.9674315097105444</v>
      </c>
      <c r="DV33" s="190">
        <f t="shared" ref="DV33:DV45" si="247">(DO33/DK33)*100</f>
        <v>23.02276300499009</v>
      </c>
      <c r="DW33" s="190">
        <f>(DQ33/DK33)*100</f>
        <v>6.1984946187557437</v>
      </c>
      <c r="DX33" s="191">
        <f t="shared" ref="DX33:DX45" si="248">SUM(DS33:DW33)</f>
        <v>46.79138089487396</v>
      </c>
      <c r="DY33" s="382">
        <v>132104</v>
      </c>
      <c r="DZ33" s="6">
        <v>68967</v>
      </c>
      <c r="EA33" s="6">
        <v>4788</v>
      </c>
      <c r="EB33" s="6">
        <v>7802</v>
      </c>
      <c r="EC33" s="6">
        <v>30433</v>
      </c>
      <c r="ED33" s="6">
        <v>10556</v>
      </c>
      <c r="EE33" s="6">
        <v>9558</v>
      </c>
      <c r="EF33" s="189">
        <f t="shared" ref="EF33:EF45" si="249">(DZ33/DY33)*100</f>
        <v>52.20659480409374</v>
      </c>
      <c r="EG33" s="190">
        <f t="shared" ref="EG33:EG45" si="250">(EA33/DY33)*100</f>
        <v>3.6244171259008056</v>
      </c>
      <c r="EH33" s="190">
        <f t="shared" ref="EH33:EH45" si="251">(EB33/DY33)*100</f>
        <v>5.9059528856052808</v>
      </c>
      <c r="EI33" s="190">
        <f t="shared" ref="EI33:EI45" si="252">(ED33/DY33)*100</f>
        <v>7.9906740144128863</v>
      </c>
      <c r="EJ33" s="190">
        <f t="shared" ref="EJ33:EJ45" si="253">(EC33/DY33)*100</f>
        <v>23.037152546478531</v>
      </c>
      <c r="EK33" s="190">
        <f>(EE33/DY33)*100</f>
        <v>7.2352086235087505</v>
      </c>
      <c r="EL33" s="191">
        <f t="shared" ref="EL33:EL45" si="254">SUM(EG33:EK33)</f>
        <v>47.79340519590626</v>
      </c>
      <c r="EM33" s="11">
        <v>131167</v>
      </c>
      <c r="EN33" s="444">
        <f t="shared" si="200"/>
        <v>66704</v>
      </c>
      <c r="EO33" s="444">
        <f t="shared" si="201"/>
        <v>4729.9999999999991</v>
      </c>
      <c r="EP33" s="444">
        <f t="shared" si="202"/>
        <v>8147</v>
      </c>
      <c r="EQ33" s="444">
        <f t="shared" si="203"/>
        <v>8065</v>
      </c>
      <c r="ER33" s="444">
        <f t="shared" si="204"/>
        <v>2904</v>
      </c>
      <c r="ES33" s="444">
        <f t="shared" si="205"/>
        <v>30770</v>
      </c>
      <c r="ET33" s="444">
        <f t="shared" si="206"/>
        <v>9847</v>
      </c>
      <c r="EU33" s="148">
        <v>50.854254499988564</v>
      </c>
      <c r="EV33" s="148">
        <v>3.606089946404202</v>
      </c>
      <c r="EW33" s="148">
        <v>6.2111659182568788</v>
      </c>
      <c r="EX33" s="148">
        <v>6.1486501940274616</v>
      </c>
      <c r="EY33" s="148">
        <v>2.2139715019783939</v>
      </c>
      <c r="EZ33" s="148">
        <v>23.458644323648478</v>
      </c>
      <c r="FA33" s="148">
        <v>7.507223615696021</v>
      </c>
      <c r="FB33" s="191">
        <f t="shared" ref="FB33:FB69" si="255">SUM(EV33:FA33)</f>
        <v>49.145745500011436</v>
      </c>
      <c r="FC33">
        <v>131489</v>
      </c>
      <c r="FD33">
        <v>65863</v>
      </c>
      <c r="FE33" s="11">
        <v>4671</v>
      </c>
      <c r="FF33">
        <v>8402</v>
      </c>
      <c r="FG33">
        <v>8104</v>
      </c>
      <c r="FH33">
        <v>3095</v>
      </c>
      <c r="FI33" s="11">
        <v>30914</v>
      </c>
      <c r="FJ33">
        <v>10440</v>
      </c>
      <c r="FK33" s="189">
        <f t="shared" ref="FK33:FK69" si="256">(FD33/FC33)*100</f>
        <v>50.090121607130634</v>
      </c>
      <c r="FL33" s="190">
        <f t="shared" ref="FL33:FL69" si="257">(FE33/FC33)*100</f>
        <v>3.5523884127189347</v>
      </c>
      <c r="FM33" s="190">
        <f t="shared" ref="FM33:FM69" si="258">(FF33/FC33)*100</f>
        <v>6.3898881275239754</v>
      </c>
      <c r="FN33" s="190">
        <f t="shared" ref="FN33:FN69" si="259">(FG33/FC33)*100</f>
        <v>6.1632531998874436</v>
      </c>
      <c r="FO33" s="190">
        <f t="shared" ref="FO33:FO69" si="260">(FH33/FC33)*100</f>
        <v>2.3538090638760658</v>
      </c>
      <c r="FP33" s="190">
        <f t="shared" ref="FP33:FP69" si="261">(FI33/FC33)*100</f>
        <v>23.510711922670339</v>
      </c>
      <c r="FQ33" s="190">
        <f t="shared" ref="FQ33:FQ69" si="262">(FJ33/FC33)*100</f>
        <v>7.9398276661926088</v>
      </c>
      <c r="FR33" s="199">
        <f t="shared" si="37"/>
        <v>49.909878392869366</v>
      </c>
      <c r="FS33" s="474">
        <v>130944</v>
      </c>
      <c r="FT33" s="474">
        <v>64424</v>
      </c>
      <c r="FU33" s="474">
        <v>4463</v>
      </c>
      <c r="FV33" s="474">
        <v>8602</v>
      </c>
      <c r="FW33" s="474">
        <v>8106</v>
      </c>
      <c r="FX33" s="474">
        <v>3183</v>
      </c>
      <c r="FY33" s="474">
        <v>31311</v>
      </c>
      <c r="FZ33" s="480">
        <v>10855</v>
      </c>
      <c r="GA33" s="189">
        <f t="shared" si="39"/>
        <v>49.199657869012711</v>
      </c>
      <c r="GB33" s="190">
        <f t="shared" si="40"/>
        <v>3.4083272238514173</v>
      </c>
      <c r="GC33" s="190">
        <f t="shared" si="41"/>
        <v>6.569220430107527</v>
      </c>
      <c r="GD33" s="190">
        <f t="shared" si="42"/>
        <v>6.1904325513196481</v>
      </c>
      <c r="GE33" s="190">
        <f t="shared" si="43"/>
        <v>2.4308101173020527</v>
      </c>
      <c r="GF33" s="190">
        <f t="shared" si="44"/>
        <v>23.911748533724339</v>
      </c>
      <c r="GG33" s="190">
        <f t="shared" si="45"/>
        <v>8.289803274682308</v>
      </c>
      <c r="GH33" s="199">
        <f t="shared" si="46"/>
        <v>50.800342130987289</v>
      </c>
      <c r="GI33" s="474">
        <v>131176</v>
      </c>
      <c r="GJ33" s="474">
        <v>63632</v>
      </c>
      <c r="GK33" s="474">
        <v>4351</v>
      </c>
      <c r="GL33" s="474">
        <v>8699</v>
      </c>
      <c r="GM33" s="474">
        <v>8105</v>
      </c>
      <c r="GN33" s="474">
        <v>3379</v>
      </c>
      <c r="GO33" s="474">
        <v>30966</v>
      </c>
      <c r="GP33" s="480">
        <v>12044</v>
      </c>
      <c r="GQ33" s="189">
        <f t="shared" ref="GQ33:GQ45" si="263">(GJ33/GI33)*100</f>
        <v>48.508873574434347</v>
      </c>
      <c r="GR33" s="190">
        <f t="shared" ref="GR33:GR45" si="264">(GK33/GI33)*100</f>
        <v>3.3169177288528391</v>
      </c>
      <c r="GS33" s="190">
        <f t="shared" ref="GS33:GS45" si="265">(GL33/GI33)*100</f>
        <v>6.6315484539854852</v>
      </c>
      <c r="GT33" s="190">
        <f t="shared" ref="GT33:GT45" si="266">(GM33/GI33)*100</f>
        <v>6.1787217173873268</v>
      </c>
      <c r="GU33" s="190">
        <f t="shared" ref="GU33:GU45" si="267">(GN33/GI33)*100</f>
        <v>2.5759285235103979</v>
      </c>
      <c r="GV33" s="190">
        <f t="shared" ref="GV33:GV45" si="268">(GO33/GI33)*100</f>
        <v>23.606452399829237</v>
      </c>
      <c r="GW33" s="190">
        <f t="shared" ref="GW33:GW45" si="269">(GP33/GI33)*100</f>
        <v>9.1815576020003657</v>
      </c>
      <c r="GX33" s="199">
        <f t="shared" si="55"/>
        <v>51.491126425565653</v>
      </c>
    </row>
    <row r="34" spans="1:206" s="11" customFormat="1">
      <c r="A34" s="113" t="s">
        <v>130</v>
      </c>
      <c r="C34" s="1"/>
      <c r="D34" s="1"/>
      <c r="E34" s="1"/>
      <c r="F34" s="1"/>
      <c r="G34" s="1"/>
      <c r="H34" s="52">
        <v>62.171252832080029</v>
      </c>
      <c r="I34" s="45">
        <v>4.0168228537137969</v>
      </c>
      <c r="J34" s="45">
        <v>26.376829877442749</v>
      </c>
      <c r="K34" s="45">
        <v>1.3396228666701899</v>
      </c>
      <c r="L34" s="43">
        <v>6.0954715700932347</v>
      </c>
      <c r="M34" s="264">
        <f t="shared" si="215"/>
        <v>37.828747167919971</v>
      </c>
      <c r="N34" s="66"/>
      <c r="O34" s="1"/>
      <c r="P34" s="1"/>
      <c r="Q34" s="1"/>
      <c r="R34" s="134">
        <v>39.257019913077954</v>
      </c>
      <c r="S34" s="52">
        <v>59.638763949127004</v>
      </c>
      <c r="T34" s="45">
        <v>4.1891429030534795</v>
      </c>
      <c r="U34" s="45">
        <v>27.643550735566695</v>
      </c>
      <c r="V34" s="45">
        <v>1.6030660241058956</v>
      </c>
      <c r="W34" s="45">
        <v>6.9254763881469241</v>
      </c>
      <c r="X34" s="261">
        <f t="shared" si="216"/>
        <v>40.361236050872996</v>
      </c>
      <c r="Y34" s="52">
        <v>58.4</v>
      </c>
      <c r="Z34" s="45">
        <v>4.3</v>
      </c>
      <c r="AA34" s="45">
        <v>28.7</v>
      </c>
      <c r="AB34" s="45">
        <v>1.7</v>
      </c>
      <c r="AC34" s="45">
        <v>7</v>
      </c>
      <c r="AD34" s="261">
        <f t="shared" si="217"/>
        <v>41.7</v>
      </c>
      <c r="AE34" s="52">
        <v>56.9</v>
      </c>
      <c r="AF34" s="45">
        <v>4.3</v>
      </c>
      <c r="AG34" s="45">
        <v>30</v>
      </c>
      <c r="AH34" s="45">
        <v>1.7</v>
      </c>
      <c r="AI34" s="45">
        <v>7.2</v>
      </c>
      <c r="AJ34" s="261">
        <f t="shared" si="218"/>
        <v>43.2</v>
      </c>
      <c r="AK34" s="258">
        <f>100-56.6</f>
        <v>43.4</v>
      </c>
      <c r="AL34" s="258">
        <f>100-56</f>
        <v>44</v>
      </c>
      <c r="AM34" s="258">
        <f>100-55</f>
        <v>45</v>
      </c>
      <c r="AN34" s="258">
        <f>100-54</f>
        <v>46</v>
      </c>
      <c r="AO34" s="77">
        <v>52.786158305381363</v>
      </c>
      <c r="AP34" s="68">
        <v>4.6124170555636574</v>
      </c>
      <c r="AQ34" s="68">
        <v>33.918691665451362</v>
      </c>
      <c r="AR34" s="68">
        <v>2.0564067740994605</v>
      </c>
      <c r="AS34" s="68">
        <v>6.626326199504156</v>
      </c>
      <c r="AT34" s="261">
        <f t="shared" si="219"/>
        <v>47.21384169461863</v>
      </c>
      <c r="AU34" s="68">
        <v>51.313517968292523</v>
      </c>
      <c r="AV34" s="68">
        <v>4.7226138064152341</v>
      </c>
      <c r="AW34" s="68">
        <v>35.314255351449823</v>
      </c>
      <c r="AX34" s="68">
        <v>2.0994816630158968</v>
      </c>
      <c r="AY34" s="68">
        <v>6.5501312108265193</v>
      </c>
      <c r="AZ34" s="261">
        <f t="shared" si="220"/>
        <v>48.68648203170747</v>
      </c>
      <c r="BA34" s="68">
        <v>49.964436339982193</v>
      </c>
      <c r="BB34" s="68">
        <v>4.7748079189127228</v>
      </c>
      <c r="BC34" s="68">
        <v>36.531396793405527</v>
      </c>
      <c r="BD34" s="68">
        <v>2.0876454937590312</v>
      </c>
      <c r="BE34" s="68">
        <v>6.6417134539405289</v>
      </c>
      <c r="BF34" s="261">
        <f t="shared" si="221"/>
        <v>50.035563660017814</v>
      </c>
      <c r="BG34" s="68">
        <v>49.172091203357873</v>
      </c>
      <c r="BH34" s="68">
        <v>4.838607682487738</v>
      </c>
      <c r="BI34" s="68">
        <v>37.174379587142361</v>
      </c>
      <c r="BJ34" s="68">
        <v>2.2041009102155189</v>
      </c>
      <c r="BK34" s="68">
        <v>6.6108206167964996</v>
      </c>
      <c r="BL34" s="199">
        <f t="shared" si="222"/>
        <v>50.82790879664212</v>
      </c>
      <c r="BM34" s="68">
        <v>48.319272154264645</v>
      </c>
      <c r="BN34" s="68">
        <v>4.9964631390072638</v>
      </c>
      <c r="BO34" s="68">
        <v>38.220144196576626</v>
      </c>
      <c r="BP34" s="68">
        <v>2.3091197337673419</v>
      </c>
      <c r="BQ34" s="68">
        <v>6.1550007763841199</v>
      </c>
      <c r="BR34" s="191">
        <f t="shared" si="223"/>
        <v>51.680727845735348</v>
      </c>
      <c r="BS34" s="77">
        <v>47.172928236362601</v>
      </c>
      <c r="BT34" s="68">
        <v>5.1955586986753213</v>
      </c>
      <c r="BU34" s="68">
        <v>38.987111381565605</v>
      </c>
      <c r="BV34" s="68">
        <v>2.4771255804264043</v>
      </c>
      <c r="BW34" s="68">
        <v>6.1672761029700656</v>
      </c>
      <c r="BX34" s="191">
        <f t="shared" si="224"/>
        <v>52.827071763637392</v>
      </c>
      <c r="BY34" s="38">
        <v>1065082</v>
      </c>
      <c r="BZ34" s="6">
        <v>483126</v>
      </c>
      <c r="CA34" s="6">
        <v>57169</v>
      </c>
      <c r="CB34" s="6">
        <v>437048</v>
      </c>
      <c r="CC34" s="6">
        <v>28024</v>
      </c>
      <c r="CD34" s="6">
        <v>59715</v>
      </c>
      <c r="CE34" s="189">
        <f t="shared" si="225"/>
        <v>45.360451120195435</v>
      </c>
      <c r="CF34" s="190">
        <f t="shared" si="226"/>
        <v>5.3675679431255059</v>
      </c>
      <c r="CG34" s="190">
        <f t="shared" si="227"/>
        <v>41.034211450385982</v>
      </c>
      <c r="CH34" s="190">
        <f t="shared" si="228"/>
        <v>2.6311589154637858</v>
      </c>
      <c r="CI34" s="190">
        <f t="shared" si="229"/>
        <v>5.6066105708292877</v>
      </c>
      <c r="CJ34" s="191">
        <f t="shared" si="230"/>
        <v>54.639548879804565</v>
      </c>
      <c r="CK34" s="38">
        <v>1087447</v>
      </c>
      <c r="CL34" s="6">
        <v>484351</v>
      </c>
      <c r="CM34" s="6">
        <v>60565</v>
      </c>
      <c r="CN34" s="6">
        <v>452874</v>
      </c>
      <c r="CO34" s="6">
        <v>30518</v>
      </c>
      <c r="CP34" s="6">
        <v>59139</v>
      </c>
      <c r="CQ34" s="189">
        <f t="shared" si="231"/>
        <v>44.540193683002485</v>
      </c>
      <c r="CR34" s="190">
        <f t="shared" si="232"/>
        <v>5.5694668337859223</v>
      </c>
      <c r="CS34" s="190">
        <f t="shared" si="233"/>
        <v>41.645615832311826</v>
      </c>
      <c r="CT34" s="190">
        <f t="shared" si="234"/>
        <v>2.8063896447367087</v>
      </c>
      <c r="CU34" s="190">
        <f t="shared" si="235"/>
        <v>5.4383340061630587</v>
      </c>
      <c r="CV34" s="191">
        <f t="shared" si="236"/>
        <v>55.459806316997522</v>
      </c>
      <c r="CW34" s="38">
        <f t="shared" si="237"/>
        <v>1087817</v>
      </c>
      <c r="CX34" s="6">
        <v>482564</v>
      </c>
      <c r="CY34" s="6">
        <v>63060</v>
      </c>
      <c r="CZ34" s="6">
        <v>450284</v>
      </c>
      <c r="DA34" s="6">
        <v>59366</v>
      </c>
      <c r="DB34" s="6">
        <v>32543</v>
      </c>
      <c r="DC34" s="6"/>
      <c r="DD34" s="189">
        <f t="shared" si="238"/>
        <v>44.360770239847326</v>
      </c>
      <c r="DE34" s="190">
        <f t="shared" si="239"/>
        <v>5.7969309176083845</v>
      </c>
      <c r="DF34" s="190">
        <f t="shared" si="240"/>
        <v>41.393359360995461</v>
      </c>
      <c r="DG34" s="190">
        <f t="shared" si="241"/>
        <v>2.9915877394819166</v>
      </c>
      <c r="DH34" s="190">
        <f t="shared" si="242"/>
        <v>5.4573517420669102</v>
      </c>
      <c r="DI34" s="190"/>
      <c r="DJ34" s="191">
        <f t="shared" si="20"/>
        <v>55.639229760152674</v>
      </c>
      <c r="DK34" s="382">
        <v>1077831</v>
      </c>
      <c r="DL34" s="6">
        <v>475006</v>
      </c>
      <c r="DM34" s="6">
        <v>64371</v>
      </c>
      <c r="DN34" s="6">
        <v>446146</v>
      </c>
      <c r="DO34" s="6">
        <v>58777</v>
      </c>
      <c r="DP34" s="6">
        <v>33531</v>
      </c>
      <c r="DQ34" s="6"/>
      <c r="DR34" s="189">
        <f t="shared" si="243"/>
        <v>44.07054538234658</v>
      </c>
      <c r="DS34" s="190">
        <f t="shared" si="244"/>
        <v>5.9722720908936555</v>
      </c>
      <c r="DT34" s="190">
        <f t="shared" si="245"/>
        <v>41.392945647323188</v>
      </c>
      <c r="DU34" s="190">
        <f t="shared" si="246"/>
        <v>3.1109700871472428</v>
      </c>
      <c r="DV34" s="190">
        <f t="shared" si="247"/>
        <v>5.4532667922893285</v>
      </c>
      <c r="DW34" s="190"/>
      <c r="DX34" s="191">
        <f t="shared" si="248"/>
        <v>55.929454617653413</v>
      </c>
      <c r="DY34" s="382">
        <v>1071751</v>
      </c>
      <c r="DZ34" s="6">
        <v>459348</v>
      </c>
      <c r="EA34" s="6">
        <v>59549</v>
      </c>
      <c r="EB34" s="6">
        <v>452283</v>
      </c>
      <c r="EC34" s="6">
        <v>55312</v>
      </c>
      <c r="ED34" s="6">
        <v>32427</v>
      </c>
      <c r="EE34" s="6">
        <v>12832</v>
      </c>
      <c r="EF34" s="189">
        <f t="shared" si="249"/>
        <v>42.859582123086426</v>
      </c>
      <c r="EG34" s="190">
        <f t="shared" si="250"/>
        <v>5.5562346104645579</v>
      </c>
      <c r="EH34" s="190">
        <f t="shared" si="251"/>
        <v>42.200380498828558</v>
      </c>
      <c r="EI34" s="190">
        <f t="shared" si="252"/>
        <v>3.0256094932498314</v>
      </c>
      <c r="EJ34" s="190">
        <f t="shared" si="253"/>
        <v>5.1609002464191773</v>
      </c>
      <c r="EK34" s="190"/>
      <c r="EL34" s="191">
        <f t="shared" si="254"/>
        <v>55.943124848962121</v>
      </c>
      <c r="EM34" s="11">
        <v>1080319</v>
      </c>
      <c r="EN34" s="444">
        <f t="shared" si="200"/>
        <v>455010</v>
      </c>
      <c r="EO34" s="444">
        <f t="shared" si="201"/>
        <v>58029</v>
      </c>
      <c r="EP34" s="444">
        <f t="shared" si="202"/>
        <v>462624</v>
      </c>
      <c r="EQ34" s="444">
        <f t="shared" si="203"/>
        <v>30079</v>
      </c>
      <c r="ER34" s="444">
        <f t="shared" si="204"/>
        <v>2880</v>
      </c>
      <c r="ES34" s="444">
        <f t="shared" si="205"/>
        <v>54596</v>
      </c>
      <c r="ET34" s="444">
        <f t="shared" si="206"/>
        <v>17101</v>
      </c>
      <c r="EU34" s="148">
        <v>42.118115112295534</v>
      </c>
      <c r="EV34" s="148">
        <v>5.3714689827726811</v>
      </c>
      <c r="EW34" s="148">
        <v>42.822906937673039</v>
      </c>
      <c r="EX34" s="148">
        <v>2.7842702016719136</v>
      </c>
      <c r="EY34" s="148">
        <v>0.26658792449267299</v>
      </c>
      <c r="EZ34" s="148">
        <v>5.0536924741673523</v>
      </c>
      <c r="FA34" s="148">
        <v>1.5829583669268059</v>
      </c>
      <c r="FB34" s="191">
        <f t="shared" si="255"/>
        <v>57.881884887704473</v>
      </c>
      <c r="FC34">
        <v>1089384</v>
      </c>
      <c r="FD34">
        <v>452811</v>
      </c>
      <c r="FE34" s="11">
        <v>57348</v>
      </c>
      <c r="FF34">
        <v>471424</v>
      </c>
      <c r="FG34">
        <v>30455</v>
      </c>
      <c r="FH34">
        <v>2977</v>
      </c>
      <c r="FI34" s="11">
        <v>53388</v>
      </c>
      <c r="FJ34">
        <v>20981</v>
      </c>
      <c r="FK34" s="189">
        <f t="shared" si="256"/>
        <v>41.565783965984451</v>
      </c>
      <c r="FL34" s="190">
        <f t="shared" si="257"/>
        <v>5.2642594346896967</v>
      </c>
      <c r="FM34" s="190">
        <f t="shared" si="258"/>
        <v>43.274364227857212</v>
      </c>
      <c r="FN34" s="190">
        <f t="shared" si="259"/>
        <v>2.7956166053476093</v>
      </c>
      <c r="FO34" s="190">
        <f t="shared" si="260"/>
        <v>0.27327370330388551</v>
      </c>
      <c r="FP34" s="190">
        <f t="shared" si="261"/>
        <v>4.9007512502478461</v>
      </c>
      <c r="FQ34" s="190">
        <f t="shared" si="262"/>
        <v>1.9259508125693052</v>
      </c>
      <c r="FR34" s="199">
        <f t="shared" si="37"/>
        <v>58.434216034015556</v>
      </c>
      <c r="FS34" s="474">
        <v>1102445</v>
      </c>
      <c r="FT34" s="474">
        <v>448503</v>
      </c>
      <c r="FU34" s="474">
        <v>57269</v>
      </c>
      <c r="FV34" s="474">
        <v>485696</v>
      </c>
      <c r="FW34" s="474">
        <v>30512</v>
      </c>
      <c r="FX34" s="474">
        <v>3247</v>
      </c>
      <c r="FY34" s="474">
        <v>52618</v>
      </c>
      <c r="FZ34" s="480">
        <v>24600</v>
      </c>
      <c r="GA34" s="189">
        <f t="shared" si="39"/>
        <v>40.68257373383706</v>
      </c>
      <c r="GB34" s="190">
        <f t="shared" si="40"/>
        <v>5.1947262675235502</v>
      </c>
      <c r="GC34" s="190">
        <f t="shared" si="41"/>
        <v>44.056256774714385</v>
      </c>
      <c r="GD34" s="190">
        <f t="shared" si="42"/>
        <v>2.7676664141975338</v>
      </c>
      <c r="GE34" s="190">
        <f t="shared" si="43"/>
        <v>0.29452716462045725</v>
      </c>
      <c r="GF34" s="190">
        <f t="shared" si="44"/>
        <v>4.7728458109021314</v>
      </c>
      <c r="GG34" s="190">
        <f t="shared" si="45"/>
        <v>2.231403834204881</v>
      </c>
      <c r="GH34" s="199">
        <f t="shared" si="46"/>
        <v>59.31742626616294</v>
      </c>
      <c r="GI34" s="474">
        <v>1111695</v>
      </c>
      <c r="GJ34" s="474">
        <v>445012</v>
      </c>
      <c r="GK34" s="474">
        <v>58241</v>
      </c>
      <c r="GL34" s="474">
        <v>494938</v>
      </c>
      <c r="GM34" s="474">
        <v>30839</v>
      </c>
      <c r="GN34" s="474">
        <v>3163</v>
      </c>
      <c r="GO34" s="474">
        <v>52372</v>
      </c>
      <c r="GP34" s="480">
        <v>27130</v>
      </c>
      <c r="GQ34" s="189">
        <f t="shared" si="263"/>
        <v>40.030044211766722</v>
      </c>
      <c r="GR34" s="190">
        <f t="shared" si="264"/>
        <v>5.2389369386387452</v>
      </c>
      <c r="GS34" s="190">
        <f t="shared" si="265"/>
        <v>44.521024201781962</v>
      </c>
      <c r="GT34" s="190">
        <f t="shared" si="266"/>
        <v>2.7740522355502182</v>
      </c>
      <c r="GU34" s="190">
        <f t="shared" si="267"/>
        <v>0.2845204844854029</v>
      </c>
      <c r="GV34" s="190">
        <f t="shared" si="268"/>
        <v>4.7110043672050335</v>
      </c>
      <c r="GW34" s="190">
        <f t="shared" si="269"/>
        <v>2.4404175605719192</v>
      </c>
      <c r="GX34" s="199">
        <f t="shared" si="55"/>
        <v>59.969955788233278</v>
      </c>
    </row>
    <row r="35" spans="1:206" s="11" customFormat="1">
      <c r="A35" s="113" t="s">
        <v>131</v>
      </c>
      <c r="C35" s="1"/>
      <c r="D35" s="1"/>
      <c r="E35" s="1"/>
      <c r="F35" s="1"/>
      <c r="G35" s="1"/>
      <c r="H35" s="52">
        <v>53.684960177427619</v>
      </c>
      <c r="I35" s="45">
        <v>9.024255494496753</v>
      </c>
      <c r="J35" s="45">
        <v>27.4667760740003</v>
      </c>
      <c r="K35" s="45">
        <v>9.1161154934148776</v>
      </c>
      <c r="L35" s="43">
        <v>0.70789276066045326</v>
      </c>
      <c r="M35" s="264">
        <f t="shared" si="215"/>
        <v>46.315039822572388</v>
      </c>
      <c r="N35" s="66"/>
      <c r="O35" s="1"/>
      <c r="P35" s="1"/>
      <c r="Q35" s="1"/>
      <c r="R35" s="134">
        <v>56.584645568891808</v>
      </c>
      <c r="S35" s="52">
        <v>42.292288786027392</v>
      </c>
      <c r="T35" s="45">
        <v>8.6563512797978923</v>
      </c>
      <c r="U35" s="45">
        <v>37.05098478777554</v>
      </c>
      <c r="V35" s="45">
        <v>11.175299875058784</v>
      </c>
      <c r="W35" s="45">
        <v>0.82507527134039094</v>
      </c>
      <c r="X35" s="261">
        <f t="shared" si="216"/>
        <v>57.707711213972608</v>
      </c>
      <c r="Y35" s="52">
        <v>41.4</v>
      </c>
      <c r="Z35" s="45">
        <v>8.6999999999999993</v>
      </c>
      <c r="AA35" s="45">
        <v>37.9</v>
      </c>
      <c r="AB35" s="45">
        <v>11.2</v>
      </c>
      <c r="AC35" s="45">
        <v>0.9</v>
      </c>
      <c r="AD35" s="261">
        <f t="shared" si="217"/>
        <v>58.699999999999996</v>
      </c>
      <c r="AE35" s="52">
        <v>40.4</v>
      </c>
      <c r="AF35" s="45">
        <v>8.8000000000000007</v>
      </c>
      <c r="AG35" s="45">
        <v>38.700000000000003</v>
      </c>
      <c r="AH35" s="45">
        <v>11.2</v>
      </c>
      <c r="AI35" s="45">
        <v>0.9</v>
      </c>
      <c r="AJ35" s="261">
        <f t="shared" si="218"/>
        <v>59.6</v>
      </c>
      <c r="AK35" s="258">
        <f>100-39.5</f>
        <v>60.5</v>
      </c>
      <c r="AL35" s="258">
        <f>100-38.8</f>
        <v>61.2</v>
      </c>
      <c r="AM35" s="258">
        <f>100-37.9</f>
        <v>62.1</v>
      </c>
      <c r="AN35" s="258">
        <f>100-37</f>
        <v>63</v>
      </c>
      <c r="AO35" s="77">
        <v>36.103357295173474</v>
      </c>
      <c r="AP35" s="68">
        <v>8.4907997039734191</v>
      </c>
      <c r="AQ35" s="68">
        <v>43.444494018627331</v>
      </c>
      <c r="AR35" s="68">
        <v>11.098170845637298</v>
      </c>
      <c r="AS35" s="68">
        <v>0.8631781365884732</v>
      </c>
      <c r="AT35" s="261">
        <f t="shared" si="219"/>
        <v>63.896642704826519</v>
      </c>
      <c r="AU35" s="68">
        <v>35.004259118795446</v>
      </c>
      <c r="AV35" s="68">
        <v>8.3986581033521048</v>
      </c>
      <c r="AW35" s="68">
        <v>44.491984457940973</v>
      </c>
      <c r="AX35" s="68">
        <v>11.232253194175378</v>
      </c>
      <c r="AY35" s="68">
        <v>0.87284512573609574</v>
      </c>
      <c r="AZ35" s="261">
        <f t="shared" si="220"/>
        <v>64.99574088120454</v>
      </c>
      <c r="BA35" s="68">
        <v>33.990787485958499</v>
      </c>
      <c r="BB35" s="68">
        <v>8.3249138142519588</v>
      </c>
      <c r="BC35" s="68">
        <v>45.505816731010086</v>
      </c>
      <c r="BD35" s="68">
        <v>11.30858694108381</v>
      </c>
      <c r="BE35" s="68">
        <v>0.86989502769564497</v>
      </c>
      <c r="BF35" s="261">
        <f t="shared" si="221"/>
        <v>66.009212514041494</v>
      </c>
      <c r="BG35" s="68">
        <v>32.937139005120486</v>
      </c>
      <c r="BH35" s="68">
        <v>8.2202207996147241</v>
      </c>
      <c r="BI35" s="68">
        <v>46.651725210263116</v>
      </c>
      <c r="BJ35" s="68">
        <v>11.342554886030081</v>
      </c>
      <c r="BK35" s="68">
        <v>0.84836009897158915</v>
      </c>
      <c r="BL35" s="199">
        <f t="shared" si="222"/>
        <v>67.0628609948795</v>
      </c>
      <c r="BM35" s="68">
        <v>31.893927529903483</v>
      </c>
      <c r="BN35" s="68">
        <v>8.1330285351548266</v>
      </c>
      <c r="BO35" s="68">
        <v>47.659250100554104</v>
      </c>
      <c r="BP35" s="68">
        <v>11.479665537488454</v>
      </c>
      <c r="BQ35" s="68">
        <v>0.83412829689913504</v>
      </c>
      <c r="BR35" s="191">
        <f t="shared" si="223"/>
        <v>68.106072470096521</v>
      </c>
      <c r="BS35" s="77">
        <v>30.955340702048002</v>
      </c>
      <c r="BT35" s="68">
        <v>7.9989404927322916</v>
      </c>
      <c r="BU35" s="68">
        <v>48.539541308986003</v>
      </c>
      <c r="BV35" s="68">
        <v>11.68588356861958</v>
      </c>
      <c r="BW35" s="68">
        <v>0.82029392761412723</v>
      </c>
      <c r="BX35" s="191">
        <f t="shared" si="224"/>
        <v>69.044659297951995</v>
      </c>
      <c r="BY35" s="38">
        <v>6116143</v>
      </c>
      <c r="BZ35" s="6">
        <v>1848588</v>
      </c>
      <c r="CA35" s="6">
        <v>477597</v>
      </c>
      <c r="CB35" s="6">
        <v>3027217</v>
      </c>
      <c r="CC35" s="6">
        <v>714432</v>
      </c>
      <c r="CD35" s="6">
        <v>48309</v>
      </c>
      <c r="CE35" s="189">
        <f t="shared" si="225"/>
        <v>30.224734771570905</v>
      </c>
      <c r="CF35" s="190">
        <f t="shared" si="226"/>
        <v>7.8087938754865611</v>
      </c>
      <c r="CG35" s="190">
        <f t="shared" si="227"/>
        <v>49.495523567712532</v>
      </c>
      <c r="CH35" s="190">
        <f t="shared" si="228"/>
        <v>11.681087247306023</v>
      </c>
      <c r="CI35" s="190">
        <f t="shared" si="229"/>
        <v>0.78986053792398248</v>
      </c>
      <c r="CJ35" s="191">
        <f t="shared" si="230"/>
        <v>69.775265228429106</v>
      </c>
      <c r="CK35" s="38">
        <v>6084144</v>
      </c>
      <c r="CL35" s="6">
        <v>1790513</v>
      </c>
      <c r="CM35" s="6">
        <v>466141</v>
      </c>
      <c r="CN35" s="6">
        <v>3056616</v>
      </c>
      <c r="CO35" s="6">
        <v>723331</v>
      </c>
      <c r="CP35" s="6">
        <v>47543</v>
      </c>
      <c r="CQ35" s="189">
        <f t="shared" si="231"/>
        <v>29.429168671878902</v>
      </c>
      <c r="CR35" s="190">
        <f t="shared" si="232"/>
        <v>7.6615707977983423</v>
      </c>
      <c r="CS35" s="190">
        <f t="shared" si="233"/>
        <v>50.239047596506595</v>
      </c>
      <c r="CT35" s="190">
        <f t="shared" si="234"/>
        <v>11.888788299553726</v>
      </c>
      <c r="CU35" s="190">
        <f t="shared" si="235"/>
        <v>0.7814246342624368</v>
      </c>
      <c r="CV35" s="191">
        <f t="shared" si="236"/>
        <v>70.570831328121102</v>
      </c>
      <c r="CW35" s="38">
        <f t="shared" si="237"/>
        <v>6252031</v>
      </c>
      <c r="CX35" s="6">
        <v>1741664</v>
      </c>
      <c r="CY35" s="6">
        <v>454781</v>
      </c>
      <c r="CZ35" s="6">
        <v>3064614</v>
      </c>
      <c r="DA35" s="6">
        <v>46446</v>
      </c>
      <c r="DB35" s="6">
        <v>734025</v>
      </c>
      <c r="DC35" s="6">
        <v>210501</v>
      </c>
      <c r="DD35" s="189">
        <f t="shared" si="238"/>
        <v>27.857571403596687</v>
      </c>
      <c r="DE35" s="190">
        <f t="shared" si="239"/>
        <v>7.2741321980009381</v>
      </c>
      <c r="DF35" s="190">
        <f t="shared" si="240"/>
        <v>49.017895144793748</v>
      </c>
      <c r="DG35" s="190">
        <f t="shared" si="241"/>
        <v>11.74058477957003</v>
      </c>
      <c r="DH35" s="190">
        <f t="shared" si="242"/>
        <v>0.74289458897436689</v>
      </c>
      <c r="DI35" s="190">
        <f>(DC35/CW35)*100</f>
        <v>3.3669218850642295</v>
      </c>
      <c r="DJ35" s="191">
        <f t="shared" si="20"/>
        <v>72.142428596403306</v>
      </c>
      <c r="DK35" s="382">
        <v>6191666</v>
      </c>
      <c r="DL35" s="6">
        <v>1673567</v>
      </c>
      <c r="DM35" s="6">
        <v>424518</v>
      </c>
      <c r="DN35" s="6">
        <v>3119111</v>
      </c>
      <c r="DO35" s="6">
        <v>44927</v>
      </c>
      <c r="DP35" s="6">
        <v>720332</v>
      </c>
      <c r="DQ35" s="6">
        <v>209211</v>
      </c>
      <c r="DR35" s="189">
        <f t="shared" si="243"/>
        <v>27.029348805313465</v>
      </c>
      <c r="DS35" s="190">
        <f t="shared" si="244"/>
        <v>6.8562806843909208</v>
      </c>
      <c r="DT35" s="190">
        <f t="shared" si="245"/>
        <v>50.375956971839244</v>
      </c>
      <c r="DU35" s="190">
        <f t="shared" si="246"/>
        <v>11.63389627282867</v>
      </c>
      <c r="DV35" s="190">
        <f t="shared" si="247"/>
        <v>0.72560438499105084</v>
      </c>
      <c r="DW35" s="190">
        <f>(DQ35/DK35)*100</f>
        <v>3.3789128806366495</v>
      </c>
      <c r="DX35" s="191">
        <f t="shared" si="248"/>
        <v>72.970651194686525</v>
      </c>
      <c r="DY35" s="382">
        <v>6217174</v>
      </c>
      <c r="DZ35" s="6">
        <v>1655539</v>
      </c>
      <c r="EA35" s="6">
        <v>416299</v>
      </c>
      <c r="EB35" s="6">
        <v>3197490</v>
      </c>
      <c r="EC35" s="6">
        <v>43546</v>
      </c>
      <c r="ED35" s="6">
        <v>724420</v>
      </c>
      <c r="EE35" s="6">
        <v>179880</v>
      </c>
      <c r="EF35" s="189">
        <f t="shared" si="249"/>
        <v>26.628481042994771</v>
      </c>
      <c r="EG35" s="190">
        <f t="shared" si="250"/>
        <v>6.695952212371731</v>
      </c>
      <c r="EH35" s="190">
        <f t="shared" si="251"/>
        <v>51.429958370153386</v>
      </c>
      <c r="EI35" s="190">
        <f t="shared" si="252"/>
        <v>11.651917736257664</v>
      </c>
      <c r="EJ35" s="190">
        <f t="shared" si="253"/>
        <v>0.70041469001832668</v>
      </c>
      <c r="EK35" s="190">
        <f>(EE35/DY35)*100</f>
        <v>2.8932759482041197</v>
      </c>
      <c r="EL35" s="191">
        <f t="shared" si="254"/>
        <v>73.371518957005222</v>
      </c>
      <c r="EM35" s="11">
        <v>6287834</v>
      </c>
      <c r="EN35" s="444">
        <f t="shared" si="200"/>
        <v>1637101.3168306032</v>
      </c>
      <c r="EO35" s="444">
        <f t="shared" si="201"/>
        <v>409203.74091484607</v>
      </c>
      <c r="EP35" s="444">
        <f t="shared" si="202"/>
        <v>3277677.3219649699</v>
      </c>
      <c r="EQ35" s="444">
        <f t="shared" si="203"/>
        <v>701527.83108536515</v>
      </c>
      <c r="ER35" s="444">
        <f t="shared" si="204"/>
        <v>35649.452043737219</v>
      </c>
      <c r="ES35" s="444">
        <f t="shared" si="205"/>
        <v>42989.402234622488</v>
      </c>
      <c r="ET35" s="444">
        <f t="shared" si="206"/>
        <v>183684.93492585697</v>
      </c>
      <c r="EU35" s="148">
        <v>26.036013622983734</v>
      </c>
      <c r="EV35" s="148">
        <v>6.5078648850279137</v>
      </c>
      <c r="EW35" s="148">
        <v>52.127287742726182</v>
      </c>
      <c r="EX35" s="148">
        <v>11.156907626463502</v>
      </c>
      <c r="EY35" s="148">
        <v>0.5669591793253006</v>
      </c>
      <c r="EZ35" s="148">
        <v>0.68369174877425976</v>
      </c>
      <c r="FA35" s="148">
        <v>2.921275194699112</v>
      </c>
      <c r="FB35" s="191">
        <f t="shared" si="255"/>
        <v>73.963986377016269</v>
      </c>
      <c r="FC35">
        <v>6299451</v>
      </c>
      <c r="FD35">
        <v>1589297</v>
      </c>
      <c r="FE35" s="11">
        <v>394562</v>
      </c>
      <c r="FF35">
        <v>3281066</v>
      </c>
      <c r="FG35">
        <v>691712</v>
      </c>
      <c r="FH35">
        <v>33975</v>
      </c>
      <c r="FI35" s="11">
        <v>40641</v>
      </c>
      <c r="FJ35">
        <v>193838</v>
      </c>
      <c r="FK35" s="189">
        <f t="shared" si="256"/>
        <v>25.229135046847734</v>
      </c>
      <c r="FL35" s="190">
        <f t="shared" si="257"/>
        <v>6.2634347024843908</v>
      </c>
      <c r="FM35" s="190">
        <f t="shared" si="258"/>
        <v>52.084951529903158</v>
      </c>
      <c r="FN35" s="190">
        <f t="shared" si="259"/>
        <v>10.980512428781493</v>
      </c>
      <c r="FO35" s="190">
        <f t="shared" si="260"/>
        <v>0.53933271327929999</v>
      </c>
      <c r="FP35" s="190">
        <f t="shared" si="261"/>
        <v>0.64515145843661614</v>
      </c>
      <c r="FQ35" s="190">
        <f t="shared" si="262"/>
        <v>3.0770617947500507</v>
      </c>
      <c r="FR35" s="199">
        <f t="shared" si="37"/>
        <v>73.590444627634994</v>
      </c>
      <c r="FS35" s="474">
        <v>6236672</v>
      </c>
      <c r="FT35" s="474">
        <v>1559113</v>
      </c>
      <c r="FU35" s="474">
        <v>384291</v>
      </c>
      <c r="FV35" s="474">
        <v>3321274</v>
      </c>
      <c r="FW35" s="474">
        <v>694285</v>
      </c>
      <c r="FX35" s="474">
        <v>32821</v>
      </c>
      <c r="FY35" s="474">
        <v>38616</v>
      </c>
      <c r="FZ35" s="480">
        <v>206272</v>
      </c>
      <c r="GA35" s="189">
        <f t="shared" si="39"/>
        <v>24.999118119407274</v>
      </c>
      <c r="GB35" s="190">
        <f t="shared" si="40"/>
        <v>6.1617959065347669</v>
      </c>
      <c r="GC35" s="190">
        <f t="shared" si="41"/>
        <v>53.253946976849186</v>
      </c>
      <c r="GD35" s="190">
        <f t="shared" si="42"/>
        <v>11.13229940583696</v>
      </c>
      <c r="GE35" s="190">
        <f t="shared" si="43"/>
        <v>0.52625823516131687</v>
      </c>
      <c r="GF35" s="190">
        <f t="shared" si="44"/>
        <v>0.61917638124948693</v>
      </c>
      <c r="GG35" s="190">
        <f t="shared" si="45"/>
        <v>3.3074049749610048</v>
      </c>
      <c r="GH35" s="199">
        <f t="shared" si="46"/>
        <v>75.000881880592729</v>
      </c>
      <c r="GI35" s="474">
        <v>6312161</v>
      </c>
      <c r="GJ35" s="511" t="s">
        <v>318</v>
      </c>
      <c r="GK35" s="511" t="s">
        <v>318</v>
      </c>
      <c r="GL35" s="511" t="s">
        <v>318</v>
      </c>
      <c r="GM35" s="511" t="s">
        <v>318</v>
      </c>
      <c r="GN35" s="511" t="s">
        <v>318</v>
      </c>
      <c r="GO35" s="511" t="s">
        <v>318</v>
      </c>
      <c r="GP35" s="512" t="s">
        <v>318</v>
      </c>
      <c r="GQ35" s="509" t="s">
        <v>318</v>
      </c>
      <c r="GR35" s="509" t="s">
        <v>318</v>
      </c>
      <c r="GS35" s="509" t="s">
        <v>318</v>
      </c>
      <c r="GT35" s="509" t="s">
        <v>318</v>
      </c>
      <c r="GU35" s="509" t="s">
        <v>318</v>
      </c>
      <c r="GV35" s="509" t="s">
        <v>318</v>
      </c>
      <c r="GW35" s="509" t="s">
        <v>318</v>
      </c>
      <c r="GX35" s="510" t="s">
        <v>318</v>
      </c>
    </row>
    <row r="36" spans="1:206" s="11" customFormat="1">
      <c r="A36" s="113" t="s">
        <v>132</v>
      </c>
      <c r="C36" s="1"/>
      <c r="D36" s="1"/>
      <c r="E36" s="1"/>
      <c r="F36" s="1"/>
      <c r="G36" s="1"/>
      <c r="H36" s="52">
        <v>78.699149103706503</v>
      </c>
      <c r="I36" s="45">
        <v>4.5008316125248076</v>
      </c>
      <c r="J36" s="45">
        <v>13.708509766425351</v>
      </c>
      <c r="K36" s="45">
        <v>2.0435973870493425</v>
      </c>
      <c r="L36" s="43">
        <v>1.0479121302939971</v>
      </c>
      <c r="M36" s="264">
        <f t="shared" si="215"/>
        <v>21.300850896293497</v>
      </c>
      <c r="N36" s="66"/>
      <c r="O36" s="1"/>
      <c r="P36" s="1"/>
      <c r="Q36" s="1"/>
      <c r="R36" s="134">
        <v>25.507357562006732</v>
      </c>
      <c r="S36" s="52">
        <v>74.083850881992504</v>
      </c>
      <c r="T36" s="45">
        <v>5.3652277694052755</v>
      </c>
      <c r="U36" s="45">
        <v>17.114462245345262</v>
      </c>
      <c r="V36" s="45">
        <v>2.4386380871017592</v>
      </c>
      <c r="W36" s="45">
        <v>0.99782101615519747</v>
      </c>
      <c r="X36" s="261">
        <f t="shared" si="216"/>
        <v>25.916149118007493</v>
      </c>
      <c r="Y36" s="52">
        <v>73.5</v>
      </c>
      <c r="Z36" s="45">
        <v>5.4</v>
      </c>
      <c r="AA36" s="45">
        <v>17.600000000000001</v>
      </c>
      <c r="AB36" s="45">
        <v>2.5</v>
      </c>
      <c r="AC36" s="45">
        <v>1</v>
      </c>
      <c r="AD36" s="261">
        <f t="shared" si="217"/>
        <v>26.5</v>
      </c>
      <c r="AE36" s="52">
        <v>72.5</v>
      </c>
      <c r="AF36" s="45">
        <v>5.5</v>
      </c>
      <c r="AG36" s="45">
        <v>18.399999999999999</v>
      </c>
      <c r="AH36" s="45">
        <v>2.5</v>
      </c>
      <c r="AI36" s="45">
        <v>1.1000000000000001</v>
      </c>
      <c r="AJ36" s="261">
        <f t="shared" si="218"/>
        <v>27.5</v>
      </c>
      <c r="AK36" s="258">
        <f>100-72</f>
        <v>28</v>
      </c>
      <c r="AL36" s="258">
        <f>100-71.3</f>
        <v>28.700000000000003</v>
      </c>
      <c r="AM36" s="258">
        <f>100-70.6</f>
        <v>29.400000000000006</v>
      </c>
      <c r="AN36" s="258">
        <f>100-69.5</f>
        <v>30.5</v>
      </c>
      <c r="AO36" s="77">
        <v>68.226713852711086</v>
      </c>
      <c r="AP36" s="68">
        <v>5.6544579217896835</v>
      </c>
      <c r="AQ36" s="68">
        <v>22.028742263715515</v>
      </c>
      <c r="AR36" s="68">
        <v>2.889133039248704</v>
      </c>
      <c r="AS36" s="68">
        <v>1.2009529225350168</v>
      </c>
      <c r="AT36" s="261">
        <f t="shared" si="219"/>
        <v>31.773286147288921</v>
      </c>
      <c r="AU36" s="68">
        <v>66.833705003739169</v>
      </c>
      <c r="AV36" s="68">
        <v>5.7079142216143746</v>
      </c>
      <c r="AW36" s="68">
        <v>23.302723861240054</v>
      </c>
      <c r="AX36" s="68">
        <v>2.9820318131901447</v>
      </c>
      <c r="AY36" s="68">
        <v>1.173625100216265</v>
      </c>
      <c r="AZ36" s="261">
        <f t="shared" si="220"/>
        <v>33.166294996260838</v>
      </c>
      <c r="BA36" s="68">
        <v>65.735733419164688</v>
      </c>
      <c r="BB36" s="68">
        <v>5.7236567348795386</v>
      </c>
      <c r="BC36" s="68">
        <v>24.316430408771822</v>
      </c>
      <c r="BD36" s="68">
        <v>3.0338014156853252</v>
      </c>
      <c r="BE36" s="68">
        <v>1.1903780214986261</v>
      </c>
      <c r="BF36" s="261">
        <f t="shared" si="221"/>
        <v>34.264266580835312</v>
      </c>
      <c r="BG36" s="68">
        <v>64.546605153571363</v>
      </c>
      <c r="BH36" s="68">
        <v>5.8214164922738707</v>
      </c>
      <c r="BI36" s="68">
        <v>25.334913437757628</v>
      </c>
      <c r="BJ36" s="68">
        <v>3.1110617878960833</v>
      </c>
      <c r="BK36" s="68">
        <v>1.1860031285010675</v>
      </c>
      <c r="BL36" s="199">
        <f t="shared" si="222"/>
        <v>35.453394846428651</v>
      </c>
      <c r="BM36" s="68">
        <v>63.535802688334883</v>
      </c>
      <c r="BN36" s="68">
        <v>5.8816464223422145</v>
      </c>
      <c r="BO36" s="68">
        <v>26.218706591329234</v>
      </c>
      <c r="BP36" s="68">
        <v>3.1849561866168128</v>
      </c>
      <c r="BQ36" s="68">
        <v>1.1788881113768577</v>
      </c>
      <c r="BR36" s="191">
        <f t="shared" si="223"/>
        <v>36.464197311665124</v>
      </c>
      <c r="BS36" s="77">
        <v>62.525999389607421</v>
      </c>
      <c r="BT36" s="68">
        <v>5.955687550812617</v>
      </c>
      <c r="BU36" s="68">
        <v>27.079245883055965</v>
      </c>
      <c r="BV36" s="68">
        <v>3.2627791327809028</v>
      </c>
      <c r="BW36" s="68">
        <v>1.1762880437430914</v>
      </c>
      <c r="BX36" s="191">
        <f t="shared" si="224"/>
        <v>37.474000610392572</v>
      </c>
      <c r="BY36" s="38">
        <v>794026</v>
      </c>
      <c r="BZ36" s="6">
        <v>491474</v>
      </c>
      <c r="CA36" s="6">
        <v>47354</v>
      </c>
      <c r="CB36" s="6">
        <v>219433</v>
      </c>
      <c r="CC36" s="6">
        <v>26482</v>
      </c>
      <c r="CD36" s="6">
        <v>9283</v>
      </c>
      <c r="CE36" s="189">
        <f t="shared" si="225"/>
        <v>61.89646182870586</v>
      </c>
      <c r="CF36" s="190">
        <f t="shared" si="226"/>
        <v>5.9637845612108418</v>
      </c>
      <c r="CG36" s="190">
        <f t="shared" si="227"/>
        <v>27.635493044308372</v>
      </c>
      <c r="CH36" s="190">
        <f t="shared" si="228"/>
        <v>3.3351552719936124</v>
      </c>
      <c r="CI36" s="190">
        <f t="shared" si="229"/>
        <v>1.169105293781312</v>
      </c>
      <c r="CJ36" s="191">
        <f t="shared" si="230"/>
        <v>38.10353817129414</v>
      </c>
      <c r="CK36" s="38">
        <v>801867</v>
      </c>
      <c r="CL36" s="6">
        <v>492993</v>
      </c>
      <c r="CM36" s="6">
        <v>47836</v>
      </c>
      <c r="CN36" s="6">
        <v>224004</v>
      </c>
      <c r="CO36" s="6">
        <v>27639</v>
      </c>
      <c r="CP36" s="6">
        <v>9395</v>
      </c>
      <c r="CQ36" s="189">
        <f t="shared" si="231"/>
        <v>61.480644545791264</v>
      </c>
      <c r="CR36" s="190">
        <f t="shared" si="232"/>
        <v>5.9655778327328592</v>
      </c>
      <c r="CS36" s="190">
        <f t="shared" si="233"/>
        <v>27.935305979669945</v>
      </c>
      <c r="CT36" s="190">
        <f t="shared" si="234"/>
        <v>3.4468309582511814</v>
      </c>
      <c r="CU36" s="190">
        <f t="shared" si="235"/>
        <v>1.1716406835547541</v>
      </c>
      <c r="CV36" s="191">
        <f t="shared" si="236"/>
        <v>38.519355454208743</v>
      </c>
      <c r="CW36" s="38">
        <f t="shared" si="237"/>
        <v>818443</v>
      </c>
      <c r="CX36" s="6">
        <v>498713</v>
      </c>
      <c r="CY36" s="6">
        <v>48757</v>
      </c>
      <c r="CZ36" s="6">
        <v>232226</v>
      </c>
      <c r="DA36" s="6">
        <v>9494</v>
      </c>
      <c r="DB36" s="6">
        <v>29253</v>
      </c>
      <c r="DC36" s="6"/>
      <c r="DD36" s="189">
        <f t="shared" si="238"/>
        <v>60.934359509458815</v>
      </c>
      <c r="DE36" s="190">
        <f t="shared" si="239"/>
        <v>5.9572871904335427</v>
      </c>
      <c r="DF36" s="190">
        <f t="shared" si="240"/>
        <v>28.374120128096887</v>
      </c>
      <c r="DG36" s="190">
        <f t="shared" si="241"/>
        <v>3.5742256943977773</v>
      </c>
      <c r="DH36" s="190">
        <f t="shared" si="242"/>
        <v>1.1600074776129798</v>
      </c>
      <c r="DI36" s="190"/>
      <c r="DJ36" s="191">
        <f t="shared" si="20"/>
        <v>39.065640490541185</v>
      </c>
      <c r="DK36" s="382">
        <v>832368</v>
      </c>
      <c r="DL36" s="6">
        <v>504734</v>
      </c>
      <c r="DM36" s="6">
        <v>49413</v>
      </c>
      <c r="DN36" s="6">
        <v>237797</v>
      </c>
      <c r="DO36" s="6">
        <v>9604</v>
      </c>
      <c r="DP36" s="6">
        <v>30820</v>
      </c>
      <c r="DQ36" s="6"/>
      <c r="DR36" s="189">
        <f t="shared" si="243"/>
        <v>60.638323433865793</v>
      </c>
      <c r="DS36" s="190">
        <f t="shared" si="244"/>
        <v>5.9364367683524595</v>
      </c>
      <c r="DT36" s="190">
        <f t="shared" si="245"/>
        <v>28.568734021490492</v>
      </c>
      <c r="DU36" s="190">
        <f t="shared" si="246"/>
        <v>3.7026891951636776</v>
      </c>
      <c r="DV36" s="190">
        <f t="shared" si="247"/>
        <v>1.1538165811275782</v>
      </c>
      <c r="DW36" s="190"/>
      <c r="DX36" s="191">
        <f t="shared" si="248"/>
        <v>39.361676566134207</v>
      </c>
      <c r="DY36" s="382">
        <v>843316</v>
      </c>
      <c r="DZ36" s="6">
        <v>479327</v>
      </c>
      <c r="EA36" s="6">
        <v>40537</v>
      </c>
      <c r="EB36" s="6">
        <v>266098</v>
      </c>
      <c r="EC36" s="6">
        <v>7452</v>
      </c>
      <c r="ED36" s="6">
        <v>26337</v>
      </c>
      <c r="EE36" s="6">
        <v>23565</v>
      </c>
      <c r="EF36" s="189">
        <f t="shared" si="249"/>
        <v>56.838361895185194</v>
      </c>
      <c r="EG36" s="190">
        <f t="shared" si="250"/>
        <v>4.8068576903556908</v>
      </c>
      <c r="EH36" s="190">
        <f t="shared" si="251"/>
        <v>31.553771065650359</v>
      </c>
      <c r="EI36" s="190">
        <f t="shared" si="252"/>
        <v>3.1230286156079097</v>
      </c>
      <c r="EJ36" s="190">
        <f t="shared" si="253"/>
        <v>0.88365452570566672</v>
      </c>
      <c r="EK36" s="190"/>
      <c r="EL36" s="191">
        <f t="shared" si="254"/>
        <v>40.367311897319624</v>
      </c>
      <c r="EM36" s="11">
        <v>854265</v>
      </c>
      <c r="EN36" s="444">
        <f t="shared" si="200"/>
        <v>479288</v>
      </c>
      <c r="EO36" s="444">
        <f t="shared" si="201"/>
        <v>40931.999999999993</v>
      </c>
      <c r="EP36" s="444">
        <f t="shared" si="202"/>
        <v>272490</v>
      </c>
      <c r="EQ36" s="444">
        <f t="shared" si="203"/>
        <v>26522</v>
      </c>
      <c r="ER36" s="444">
        <f t="shared" si="204"/>
        <v>1817</v>
      </c>
      <c r="ES36" s="444">
        <f t="shared" si="205"/>
        <v>7143</v>
      </c>
      <c r="ET36" s="444">
        <f t="shared" si="206"/>
        <v>26073</v>
      </c>
      <c r="EU36" s="148">
        <v>56.105306901254295</v>
      </c>
      <c r="EV36" s="148">
        <v>4.7914874190093233</v>
      </c>
      <c r="EW36" s="148">
        <v>31.897596179171568</v>
      </c>
      <c r="EX36" s="148">
        <v>3.104657219949313</v>
      </c>
      <c r="EY36" s="148">
        <v>0.21269746507231363</v>
      </c>
      <c r="EZ36" s="148">
        <v>0.83615739846534742</v>
      </c>
      <c r="FA36" s="148">
        <v>3.0520974170778388</v>
      </c>
      <c r="FB36" s="191">
        <f t="shared" si="255"/>
        <v>43.894693098745705</v>
      </c>
      <c r="FC36">
        <v>863561</v>
      </c>
      <c r="FD36">
        <v>480366</v>
      </c>
      <c r="FE36" s="11">
        <v>40496</v>
      </c>
      <c r="FF36">
        <v>278619</v>
      </c>
      <c r="FG36">
        <v>27266</v>
      </c>
      <c r="FH36">
        <v>1860</v>
      </c>
      <c r="FI36" s="11">
        <v>6716</v>
      </c>
      <c r="FJ36">
        <v>28238</v>
      </c>
      <c r="FK36" s="189">
        <f t="shared" si="256"/>
        <v>55.626180431955582</v>
      </c>
      <c r="FL36" s="190">
        <f t="shared" si="257"/>
        <v>4.6894197398909858</v>
      </c>
      <c r="FM36" s="190">
        <f t="shared" si="258"/>
        <v>32.263962823703245</v>
      </c>
      <c r="FN36" s="190">
        <f t="shared" si="259"/>
        <v>3.1573913134104012</v>
      </c>
      <c r="FO36" s="190">
        <f t="shared" si="260"/>
        <v>0.21538721642130665</v>
      </c>
      <c r="FP36" s="190">
        <f t="shared" si="261"/>
        <v>0.77770997069112668</v>
      </c>
      <c r="FQ36" s="190">
        <f t="shared" si="262"/>
        <v>3.2699485039273424</v>
      </c>
      <c r="FR36" s="199">
        <f t="shared" si="37"/>
        <v>44.373819568044411</v>
      </c>
      <c r="FS36" s="474">
        <v>876999</v>
      </c>
      <c r="FT36" s="474">
        <v>482405</v>
      </c>
      <c r="FU36" s="474">
        <v>41107</v>
      </c>
      <c r="FV36" s="474">
        <v>287402</v>
      </c>
      <c r="FW36" s="474">
        <v>26895</v>
      </c>
      <c r="FX36" s="474">
        <v>1991</v>
      </c>
      <c r="FY36" s="474">
        <v>6574</v>
      </c>
      <c r="FZ36" s="480">
        <v>30625</v>
      </c>
      <c r="GA36" s="189">
        <f t="shared" si="39"/>
        <v>55.006334100723031</v>
      </c>
      <c r="GB36" s="190">
        <f t="shared" si="40"/>
        <v>4.6872345350450795</v>
      </c>
      <c r="GC36" s="190">
        <f t="shared" si="41"/>
        <v>32.771074995524515</v>
      </c>
      <c r="GD36" s="190">
        <f t="shared" si="42"/>
        <v>3.0667081718451219</v>
      </c>
      <c r="GE36" s="190">
        <f t="shared" si="43"/>
        <v>0.22702420413250185</v>
      </c>
      <c r="GF36" s="190">
        <f t="shared" si="44"/>
        <v>0.7496017669347399</v>
      </c>
      <c r="GG36" s="190">
        <f t="shared" si="45"/>
        <v>3.492022225795012</v>
      </c>
      <c r="GH36" s="199">
        <f t="shared" si="46"/>
        <v>44.993665899276969</v>
      </c>
      <c r="GI36" s="474">
        <v>889006</v>
      </c>
      <c r="GJ36" s="474">
        <v>484305</v>
      </c>
      <c r="GK36" s="474">
        <v>41660</v>
      </c>
      <c r="GL36" s="474">
        <v>294435</v>
      </c>
      <c r="GM36" s="474">
        <v>27297</v>
      </c>
      <c r="GN36" s="474">
        <v>2065</v>
      </c>
      <c r="GO36" s="474">
        <v>6537</v>
      </c>
      <c r="GP36" s="480">
        <v>32707</v>
      </c>
      <c r="GQ36" s="189">
        <f t="shared" si="263"/>
        <v>54.477135137445643</v>
      </c>
      <c r="GR36" s="190">
        <f t="shared" si="264"/>
        <v>4.6861326020296827</v>
      </c>
      <c r="GS36" s="190">
        <f t="shared" si="265"/>
        <v>33.119573996126014</v>
      </c>
      <c r="GT36" s="190">
        <f t="shared" si="266"/>
        <v>3.0705079605761942</v>
      </c>
      <c r="GU36" s="190">
        <f t="shared" si="267"/>
        <v>0.23228189686008868</v>
      </c>
      <c r="GV36" s="190">
        <f t="shared" si="268"/>
        <v>0.73531562216677959</v>
      </c>
      <c r="GW36" s="190">
        <f t="shared" si="269"/>
        <v>3.6790527847956036</v>
      </c>
      <c r="GX36" s="199">
        <f t="shared" si="55"/>
        <v>45.522864862554357</v>
      </c>
    </row>
    <row r="37" spans="1:206" s="11" customFormat="1">
      <c r="A37" s="113" t="s">
        <v>134</v>
      </c>
      <c r="C37" s="1"/>
      <c r="D37" s="1"/>
      <c r="E37" s="1"/>
      <c r="F37" s="1"/>
      <c r="G37" s="1"/>
      <c r="H37" s="52">
        <v>23.491861013283049</v>
      </c>
      <c r="I37" s="45">
        <v>2.2872355175951857</v>
      </c>
      <c r="J37" s="45">
        <v>2.2328831701838552</v>
      </c>
      <c r="K37" s="45">
        <v>71.696847009234347</v>
      </c>
      <c r="L37" s="43">
        <v>0.29117328970355788</v>
      </c>
      <c r="M37" s="264">
        <f t="shared" si="215"/>
        <v>76.508138986716958</v>
      </c>
      <c r="N37" s="66"/>
      <c r="O37" s="1"/>
      <c r="P37" s="1"/>
      <c r="Q37" s="1"/>
      <c r="R37" s="134">
        <v>76.171423741230171</v>
      </c>
      <c r="S37" s="52">
        <v>23.66568752424763</v>
      </c>
      <c r="T37" s="45">
        <v>2.6226237321953114</v>
      </c>
      <c r="U37" s="45">
        <v>5.0335310092556673</v>
      </c>
      <c r="V37" s="45">
        <v>68.351715346671838</v>
      </c>
      <c r="W37" s="45">
        <v>0.32644238762955163</v>
      </c>
      <c r="X37" s="261">
        <f t="shared" si="216"/>
        <v>76.33431247575237</v>
      </c>
      <c r="Y37" s="52">
        <v>23.2</v>
      </c>
      <c r="Z37" s="45">
        <v>2.7</v>
      </c>
      <c r="AA37" s="45">
        <v>4.9000000000000004</v>
      </c>
      <c r="AB37" s="45">
        <v>68.8</v>
      </c>
      <c r="AC37" s="45">
        <v>0.4</v>
      </c>
      <c r="AD37" s="261">
        <f t="shared" si="217"/>
        <v>76.8</v>
      </c>
      <c r="AE37" s="52">
        <v>22.9</v>
      </c>
      <c r="AF37" s="45">
        <v>2.6</v>
      </c>
      <c r="AG37" s="45">
        <v>4.9000000000000004</v>
      </c>
      <c r="AH37" s="45">
        <v>69.3</v>
      </c>
      <c r="AI37" s="45">
        <v>0.4</v>
      </c>
      <c r="AJ37" s="261">
        <f t="shared" si="218"/>
        <v>77.2</v>
      </c>
      <c r="AK37" s="258">
        <f>100-25</f>
        <v>75</v>
      </c>
      <c r="AL37" s="258">
        <f>100-21.6</f>
        <v>78.400000000000006</v>
      </c>
      <c r="AM37" s="258">
        <f>100-20.8</f>
        <v>79.2</v>
      </c>
      <c r="AN37" s="258">
        <f>100-20.5</f>
        <v>79.5</v>
      </c>
      <c r="AO37" s="77">
        <v>20.401388587546105</v>
      </c>
      <c r="AP37" s="68">
        <v>2.3204599696246473</v>
      </c>
      <c r="AQ37" s="68">
        <v>4.5085701887611194</v>
      </c>
      <c r="AR37" s="68">
        <v>72.348665654154914</v>
      </c>
      <c r="AS37" s="68">
        <v>0.42091559991321326</v>
      </c>
      <c r="AT37" s="261">
        <f t="shared" si="219"/>
        <v>79.598611412453891</v>
      </c>
      <c r="AU37" s="68">
        <v>20.315260151940436</v>
      </c>
      <c r="AV37" s="68">
        <v>2.4216184582705669</v>
      </c>
      <c r="AW37" s="68">
        <v>4.5430407594854403</v>
      </c>
      <c r="AX37" s="68">
        <v>72.289835596545032</v>
      </c>
      <c r="AY37" s="68">
        <v>0.43024503375852091</v>
      </c>
      <c r="AZ37" s="261">
        <f t="shared" si="220"/>
        <v>79.684739848059564</v>
      </c>
      <c r="BA37" s="68">
        <v>20.389057221657083</v>
      </c>
      <c r="BB37" s="68">
        <v>2.3739453513863427</v>
      </c>
      <c r="BC37" s="68">
        <v>4.6167906043116158</v>
      </c>
      <c r="BD37" s="68">
        <v>72.165980340425079</v>
      </c>
      <c r="BE37" s="68">
        <v>0.45422648221988915</v>
      </c>
      <c r="BF37" s="261">
        <f t="shared" si="221"/>
        <v>79.610942778342931</v>
      </c>
      <c r="BG37" s="68">
        <v>20.189097484328112</v>
      </c>
      <c r="BH37" s="68">
        <v>2.3860486141746864</v>
      </c>
      <c r="BI37" s="68">
        <v>4.4981455157426922</v>
      </c>
      <c r="BJ37" s="68">
        <v>72.419652631406962</v>
      </c>
      <c r="BK37" s="68">
        <v>0.50705575434755379</v>
      </c>
      <c r="BL37" s="199">
        <f t="shared" si="222"/>
        <v>79.810902515671884</v>
      </c>
      <c r="BM37" s="68">
        <v>20.015830990528702</v>
      </c>
      <c r="BN37" s="68">
        <v>2.4084941452629858</v>
      </c>
      <c r="BO37" s="68">
        <v>4.4741654611458364</v>
      </c>
      <c r="BP37" s="68">
        <v>72.541419876081562</v>
      </c>
      <c r="BQ37" s="68">
        <v>0.56008952698092096</v>
      </c>
      <c r="BR37" s="191">
        <f t="shared" si="223"/>
        <v>79.984169009471302</v>
      </c>
      <c r="BS37" s="77">
        <v>19.754072356113731</v>
      </c>
      <c r="BT37" s="68">
        <v>2.3646468072071678</v>
      </c>
      <c r="BU37" s="68">
        <v>4.4650964347055542</v>
      </c>
      <c r="BV37" s="68">
        <v>72.822697983787151</v>
      </c>
      <c r="BW37" s="68">
        <v>0.59348641818639303</v>
      </c>
      <c r="BX37" s="191">
        <f t="shared" si="224"/>
        <v>80.245927643886262</v>
      </c>
      <c r="BY37" s="38">
        <v>180728</v>
      </c>
      <c r="BZ37" s="6">
        <v>35353</v>
      </c>
      <c r="CA37" s="6">
        <v>4262</v>
      </c>
      <c r="CB37" s="6">
        <v>8155</v>
      </c>
      <c r="CC37" s="6">
        <v>131860</v>
      </c>
      <c r="CD37" s="6">
        <v>1098</v>
      </c>
      <c r="CE37" s="189">
        <f t="shared" si="225"/>
        <v>19.561440396618121</v>
      </c>
      <c r="CF37" s="190">
        <f t="shared" si="226"/>
        <v>2.3582400070824665</v>
      </c>
      <c r="CG37" s="190">
        <f t="shared" si="227"/>
        <v>4.5123057854897963</v>
      </c>
      <c r="CH37" s="190">
        <f t="shared" si="228"/>
        <v>72.960470984020191</v>
      </c>
      <c r="CI37" s="190">
        <f t="shared" si="229"/>
        <v>0.60754282678942939</v>
      </c>
      <c r="CJ37" s="191">
        <f t="shared" si="230"/>
        <v>80.438559603381876</v>
      </c>
      <c r="CK37" s="38">
        <v>179897</v>
      </c>
      <c r="CL37" s="6">
        <v>34949</v>
      </c>
      <c r="CM37" s="6">
        <v>4184</v>
      </c>
      <c r="CN37" s="6">
        <v>8317</v>
      </c>
      <c r="CO37" s="6">
        <v>131303</v>
      </c>
      <c r="CP37" s="6">
        <v>1144</v>
      </c>
      <c r="CQ37" s="189">
        <f t="shared" si="231"/>
        <v>19.427227802575921</v>
      </c>
      <c r="CR37" s="190">
        <f t="shared" si="232"/>
        <v>2.3257753047577228</v>
      </c>
      <c r="CS37" s="190">
        <f t="shared" si="233"/>
        <v>4.6232010539364188</v>
      </c>
      <c r="CT37" s="190">
        <f t="shared" si="234"/>
        <v>72.987876395937676</v>
      </c>
      <c r="CU37" s="190">
        <f t="shared" si="235"/>
        <v>0.63591944279226442</v>
      </c>
      <c r="CV37" s="191">
        <f t="shared" si="236"/>
        <v>80.572772197424072</v>
      </c>
      <c r="CW37" s="38">
        <f t="shared" si="237"/>
        <v>179478</v>
      </c>
      <c r="CX37" s="6">
        <v>34918</v>
      </c>
      <c r="CY37" s="6">
        <v>4192</v>
      </c>
      <c r="CZ37" s="6">
        <v>8337</v>
      </c>
      <c r="DA37" s="6">
        <v>1108</v>
      </c>
      <c r="DB37" s="6">
        <v>130923</v>
      </c>
      <c r="DC37" s="6"/>
      <c r="DD37" s="189">
        <f t="shared" si="238"/>
        <v>19.455309285817759</v>
      </c>
      <c r="DE37" s="190">
        <f t="shared" si="239"/>
        <v>2.3356623095866902</v>
      </c>
      <c r="DF37" s="190">
        <f t="shared" si="240"/>
        <v>4.6451375656069267</v>
      </c>
      <c r="DG37" s="190">
        <f t="shared" si="241"/>
        <v>72.946544980443278</v>
      </c>
      <c r="DH37" s="190">
        <f t="shared" si="242"/>
        <v>0.61734585854533708</v>
      </c>
      <c r="DI37" s="190"/>
      <c r="DJ37" s="191">
        <f t="shared" si="20"/>
        <v>80.544690714182224</v>
      </c>
      <c r="DK37" s="382">
        <v>180196</v>
      </c>
      <c r="DL37" s="6">
        <v>35552</v>
      </c>
      <c r="DM37" s="6">
        <v>4170</v>
      </c>
      <c r="DN37" s="6">
        <v>8309</v>
      </c>
      <c r="DO37" s="6">
        <v>1082</v>
      </c>
      <c r="DP37" s="6">
        <v>131083</v>
      </c>
      <c r="DQ37" s="6"/>
      <c r="DR37" s="189">
        <f t="shared" si="243"/>
        <v>19.729627738684545</v>
      </c>
      <c r="DS37" s="190">
        <f t="shared" si="244"/>
        <v>2.3141468179093878</v>
      </c>
      <c r="DT37" s="190">
        <f t="shared" si="245"/>
        <v>4.6110901462851555</v>
      </c>
      <c r="DU37" s="190">
        <f t="shared" si="246"/>
        <v>72.744678017270076</v>
      </c>
      <c r="DV37" s="190">
        <f t="shared" si="247"/>
        <v>0.60045727985082908</v>
      </c>
      <c r="DW37" s="190"/>
      <c r="DX37" s="191">
        <f t="shared" si="248"/>
        <v>80.270372261315444</v>
      </c>
      <c r="DY37" s="382">
        <v>179601</v>
      </c>
      <c r="DZ37" s="6">
        <v>25962</v>
      </c>
      <c r="EA37" s="6">
        <v>4444</v>
      </c>
      <c r="EB37" s="6">
        <v>7996</v>
      </c>
      <c r="EC37" s="6">
        <v>1071</v>
      </c>
      <c r="ED37" s="6">
        <v>125079</v>
      </c>
      <c r="EE37" s="6">
        <v>15049</v>
      </c>
      <c r="EF37" s="189">
        <f t="shared" si="249"/>
        <v>14.455376083652096</v>
      </c>
      <c r="EG37" s="190">
        <f t="shared" si="250"/>
        <v>2.4743737507029473</v>
      </c>
      <c r="EH37" s="190">
        <f t="shared" si="251"/>
        <v>4.4520910239920708</v>
      </c>
      <c r="EI37" s="190">
        <f t="shared" si="252"/>
        <v>69.642708002739411</v>
      </c>
      <c r="EJ37" s="190">
        <f t="shared" si="253"/>
        <v>0.59632184676031874</v>
      </c>
      <c r="EK37" s="190"/>
      <c r="EL37" s="191">
        <f t="shared" si="254"/>
        <v>77.16549462419475</v>
      </c>
      <c r="EM37" s="11">
        <v>182706</v>
      </c>
      <c r="EN37" s="444">
        <f t="shared" si="200"/>
        <v>26081.000000000004</v>
      </c>
      <c r="EO37" s="444">
        <f t="shared" si="201"/>
        <v>4387</v>
      </c>
      <c r="EP37" s="444">
        <f t="shared" si="202"/>
        <v>11758</v>
      </c>
      <c r="EQ37" s="444">
        <f t="shared" si="203"/>
        <v>62521</v>
      </c>
      <c r="ER37" s="444">
        <f t="shared" si="204"/>
        <v>61959</v>
      </c>
      <c r="ES37" s="444">
        <f t="shared" si="205"/>
        <v>970</v>
      </c>
      <c r="ET37" s="444">
        <f t="shared" si="206"/>
        <v>15030</v>
      </c>
      <c r="EU37" s="148">
        <v>14.274845927336816</v>
      </c>
      <c r="EV37" s="148">
        <v>2.4011253051350256</v>
      </c>
      <c r="EW37" s="148">
        <v>6.4354755727781239</v>
      </c>
      <c r="EX37" s="148">
        <v>34.219456394426018</v>
      </c>
      <c r="EY37" s="148">
        <v>33.911858395454992</v>
      </c>
      <c r="EZ37" s="148">
        <v>0.53090757829518465</v>
      </c>
      <c r="FA37" s="148">
        <v>8.2263308265738395</v>
      </c>
      <c r="FB37" s="191">
        <f t="shared" si="255"/>
        <v>85.725154072663187</v>
      </c>
      <c r="FC37">
        <v>184760</v>
      </c>
      <c r="FD37">
        <v>25704</v>
      </c>
      <c r="FE37" s="11">
        <v>4074</v>
      </c>
      <c r="FF37">
        <v>15256</v>
      </c>
      <c r="FG37">
        <v>61002</v>
      </c>
      <c r="FH37">
        <v>60613</v>
      </c>
      <c r="FI37" s="11">
        <v>893</v>
      </c>
      <c r="FJ37">
        <v>17218</v>
      </c>
      <c r="FK37" s="189">
        <f t="shared" si="256"/>
        <v>13.912102186620482</v>
      </c>
      <c r="FL37" s="190">
        <f t="shared" si="257"/>
        <v>2.2050227321931155</v>
      </c>
      <c r="FM37" s="190">
        <f t="shared" si="258"/>
        <v>8.2571985278198738</v>
      </c>
      <c r="FN37" s="190">
        <f t="shared" si="259"/>
        <v>33.016886772028577</v>
      </c>
      <c r="FO37" s="190">
        <f t="shared" si="260"/>
        <v>32.806343364364579</v>
      </c>
      <c r="FP37" s="190">
        <f t="shared" si="261"/>
        <v>0.48332972504871186</v>
      </c>
      <c r="FQ37" s="190">
        <f t="shared" si="262"/>
        <v>9.3191166919246591</v>
      </c>
      <c r="FR37" s="199">
        <f t="shared" si="37"/>
        <v>86.087897813379513</v>
      </c>
      <c r="FS37" s="474">
        <v>186825</v>
      </c>
      <c r="FT37" s="474">
        <v>25456</v>
      </c>
      <c r="FU37" s="474">
        <v>3869</v>
      </c>
      <c r="FV37" s="474">
        <v>18660</v>
      </c>
      <c r="FW37" s="474">
        <v>59762</v>
      </c>
      <c r="FX37" s="474">
        <v>59741</v>
      </c>
      <c r="FY37" s="474">
        <v>751</v>
      </c>
      <c r="FZ37" s="480">
        <v>18586</v>
      </c>
      <c r="GA37" s="189">
        <f t="shared" si="39"/>
        <v>13.625585440920648</v>
      </c>
      <c r="GB37" s="190">
        <f t="shared" si="40"/>
        <v>2.0709219858156032</v>
      </c>
      <c r="GC37" s="190">
        <f t="shared" si="41"/>
        <v>9.9879566439181051</v>
      </c>
      <c r="GD37" s="190">
        <f t="shared" si="42"/>
        <v>31.988224274053255</v>
      </c>
      <c r="GE37" s="190">
        <f t="shared" si="43"/>
        <v>31.976983808376826</v>
      </c>
      <c r="GF37" s="190">
        <f t="shared" si="44"/>
        <v>0.40198046300013385</v>
      </c>
      <c r="GG37" s="190">
        <f t="shared" si="45"/>
        <v>9.9483473839154293</v>
      </c>
      <c r="GH37" s="199">
        <f t="shared" si="46"/>
        <v>86.374414559079355</v>
      </c>
      <c r="GI37" s="474">
        <v>182384</v>
      </c>
      <c r="GJ37" s="474">
        <v>24304</v>
      </c>
      <c r="GK37" s="474">
        <v>3606</v>
      </c>
      <c r="GL37" s="474">
        <v>19572</v>
      </c>
      <c r="GM37" s="474">
        <v>56853</v>
      </c>
      <c r="GN37" s="474">
        <v>57215</v>
      </c>
      <c r="GO37" s="474">
        <v>637</v>
      </c>
      <c r="GP37" s="480">
        <v>20197</v>
      </c>
      <c r="GQ37" s="189">
        <f t="shared" si="263"/>
        <v>13.325730327221684</v>
      </c>
      <c r="GR37" s="190">
        <f t="shared" si="264"/>
        <v>1.9771471181682605</v>
      </c>
      <c r="GS37" s="190">
        <f t="shared" si="265"/>
        <v>10.731204491622073</v>
      </c>
      <c r="GT37" s="190">
        <f t="shared" si="266"/>
        <v>31.172142293183612</v>
      </c>
      <c r="GU37" s="190">
        <f t="shared" si="267"/>
        <v>31.370624616194405</v>
      </c>
      <c r="GV37" s="190">
        <f t="shared" si="268"/>
        <v>0.34926309325379418</v>
      </c>
      <c r="GW37" s="190">
        <f t="shared" si="269"/>
        <v>11.073888060356172</v>
      </c>
      <c r="GX37" s="199">
        <f t="shared" si="55"/>
        <v>86.674269672778323</v>
      </c>
    </row>
    <row r="38" spans="1:206" s="11" customFormat="1">
      <c r="A38" s="113" t="s">
        <v>135</v>
      </c>
      <c r="C38" s="1"/>
      <c r="D38" s="1"/>
      <c r="E38" s="1"/>
      <c r="F38" s="1"/>
      <c r="G38" s="1"/>
      <c r="H38" s="52">
        <v>92.618231033796931</v>
      </c>
      <c r="I38" s="45">
        <v>0.26486468131345714</v>
      </c>
      <c r="J38" s="45">
        <v>4.93734931576624</v>
      </c>
      <c r="K38" s="45">
        <v>0.84116365823724304</v>
      </c>
      <c r="L38" s="43">
        <v>1.3383913108861325</v>
      </c>
      <c r="M38" s="264">
        <f t="shared" si="215"/>
        <v>7.3817689662030732</v>
      </c>
      <c r="N38" s="66"/>
      <c r="O38" s="1"/>
      <c r="P38" s="1"/>
      <c r="Q38" s="1"/>
      <c r="R38" s="134">
        <v>9.9867051124885649</v>
      </c>
      <c r="S38" s="52">
        <v>89.62048197859562</v>
      </c>
      <c r="T38" s="45">
        <v>0.53975520960916323</v>
      </c>
      <c r="U38" s="45">
        <v>7.4598562342149055</v>
      </c>
      <c r="V38" s="45">
        <v>1.1099191634216596</v>
      </c>
      <c r="W38" s="45">
        <v>1.2699874141586491</v>
      </c>
      <c r="X38" s="261">
        <f t="shared" si="216"/>
        <v>10.379518021404378</v>
      </c>
      <c r="Y38" s="52" t="s">
        <v>207</v>
      </c>
      <c r="Z38" s="45" t="s">
        <v>207</v>
      </c>
      <c r="AA38" s="45" t="s">
        <v>207</v>
      </c>
      <c r="AB38" s="45" t="s">
        <v>207</v>
      </c>
      <c r="AC38" s="45" t="s">
        <v>207</v>
      </c>
      <c r="AD38" s="261">
        <f t="shared" si="217"/>
        <v>0</v>
      </c>
      <c r="AE38" s="52">
        <v>88.4</v>
      </c>
      <c r="AF38" s="45">
        <v>0.6</v>
      </c>
      <c r="AG38" s="45">
        <v>8.4</v>
      </c>
      <c r="AH38" s="45">
        <v>1.2</v>
      </c>
      <c r="AI38" s="45">
        <v>1.3</v>
      </c>
      <c r="AJ38" s="261">
        <f t="shared" si="218"/>
        <v>11.5</v>
      </c>
      <c r="AK38" s="258">
        <f>100-88</f>
        <v>12</v>
      </c>
      <c r="AL38" s="258">
        <f>100-87.6</f>
        <v>12.400000000000006</v>
      </c>
      <c r="AM38" s="258">
        <f>100-87.1</f>
        <v>12.900000000000006</v>
      </c>
      <c r="AN38" s="258">
        <f>100-86.7</f>
        <v>13.299999999999997</v>
      </c>
      <c r="AO38" s="77">
        <v>86.01561575289071</v>
      </c>
      <c r="AP38" s="68">
        <v>0.74568689313453795</v>
      </c>
      <c r="AQ38" s="68">
        <v>10.661241015636159</v>
      </c>
      <c r="AR38" s="68">
        <v>1.2264855576733915</v>
      </c>
      <c r="AS38" s="68">
        <v>1.3509707806652</v>
      </c>
      <c r="AT38" s="261">
        <f t="shared" si="219"/>
        <v>13.98438424710929</v>
      </c>
      <c r="AU38" s="68">
        <v>85.373254205524077</v>
      </c>
      <c r="AV38" s="68">
        <v>0.7739705745149501</v>
      </c>
      <c r="AW38" s="68">
        <v>11.20918704694529</v>
      </c>
      <c r="AX38" s="68">
        <v>1.3301098080893716</v>
      </c>
      <c r="AY38" s="68">
        <v>1.3134783649263146</v>
      </c>
      <c r="AZ38" s="261">
        <f t="shared" si="220"/>
        <v>14.626745794475926</v>
      </c>
      <c r="BA38" s="68">
        <v>85.892602056213903</v>
      </c>
      <c r="BB38" s="68">
        <v>0.80115888376959143</v>
      </c>
      <c r="BC38" s="68">
        <v>10.850854073194776</v>
      </c>
      <c r="BD38" s="68">
        <v>1.2377522483552301</v>
      </c>
      <c r="BE38" s="68">
        <v>1.2176327384664909</v>
      </c>
      <c r="BF38" s="261">
        <f t="shared" si="221"/>
        <v>14.10739794378609</v>
      </c>
      <c r="BG38" s="68">
        <v>84.06583160408988</v>
      </c>
      <c r="BH38" s="68">
        <v>0.86574590238734794</v>
      </c>
      <c r="BI38" s="68">
        <v>12.001809258164474</v>
      </c>
      <c r="BJ38" s="68">
        <v>1.4720060943432909</v>
      </c>
      <c r="BK38" s="68">
        <v>1.5946071410150098</v>
      </c>
      <c r="BL38" s="199">
        <f t="shared" si="222"/>
        <v>15.934168395910122</v>
      </c>
      <c r="BM38" s="68">
        <v>83.451523718779768</v>
      </c>
      <c r="BN38" s="68">
        <v>0.96765123943705966</v>
      </c>
      <c r="BO38" s="68">
        <v>12.411552459349275</v>
      </c>
      <c r="BP38" s="68">
        <v>1.5440246169225724</v>
      </c>
      <c r="BQ38" s="68">
        <v>1.6252479655113166</v>
      </c>
      <c r="BR38" s="191">
        <f t="shared" si="223"/>
        <v>16.548476281220225</v>
      </c>
      <c r="BS38" s="77">
        <v>82.998450275209748</v>
      </c>
      <c r="BT38" s="68">
        <v>1.0073211136642974</v>
      </c>
      <c r="BU38" s="68">
        <v>12.824926903375042</v>
      </c>
      <c r="BV38" s="68">
        <v>1.5764441831881577</v>
      </c>
      <c r="BW38" s="68">
        <v>1.5928575245627563</v>
      </c>
      <c r="BX38" s="191">
        <f t="shared" si="224"/>
        <v>17.001549724790252</v>
      </c>
      <c r="BY38" s="38">
        <v>267380</v>
      </c>
      <c r="BZ38" s="6">
        <v>220076</v>
      </c>
      <c r="CA38" s="6">
        <v>2842</v>
      </c>
      <c r="CB38" s="6">
        <v>35905</v>
      </c>
      <c r="CC38" s="6">
        <v>4330</v>
      </c>
      <c r="CD38" s="6">
        <v>4227</v>
      </c>
      <c r="CE38" s="189">
        <f t="shared" si="225"/>
        <v>82.308325230009729</v>
      </c>
      <c r="CF38" s="190">
        <f t="shared" si="226"/>
        <v>1.0629067245119306</v>
      </c>
      <c r="CG38" s="190">
        <f t="shared" si="227"/>
        <v>13.428453885855337</v>
      </c>
      <c r="CH38" s="190">
        <f t="shared" si="228"/>
        <v>1.6194180566983321</v>
      </c>
      <c r="CI38" s="190">
        <f t="shared" si="229"/>
        <v>1.5808961029246764</v>
      </c>
      <c r="CJ38" s="191">
        <f t="shared" si="230"/>
        <v>17.691674769990275</v>
      </c>
      <c r="CK38" s="38">
        <v>272058</v>
      </c>
      <c r="CL38" s="6">
        <v>221940</v>
      </c>
      <c r="CM38" s="6">
        <v>3144</v>
      </c>
      <c r="CN38" s="6">
        <v>38026</v>
      </c>
      <c r="CO38" s="6">
        <v>4597</v>
      </c>
      <c r="CP38" s="6">
        <v>4351</v>
      </c>
      <c r="CQ38" s="189">
        <f t="shared" si="231"/>
        <v>81.578192885340627</v>
      </c>
      <c r="CR38" s="190">
        <f t="shared" si="232"/>
        <v>1.1556359305736277</v>
      </c>
      <c r="CS38" s="190">
        <f t="shared" si="233"/>
        <v>13.977166633585487</v>
      </c>
      <c r="CT38" s="190">
        <f t="shared" si="234"/>
        <v>1.6897132229157019</v>
      </c>
      <c r="CU38" s="190">
        <f t="shared" si="235"/>
        <v>1.5992913275845591</v>
      </c>
      <c r="CV38" s="191">
        <f t="shared" si="236"/>
        <v>18.421807114659376</v>
      </c>
      <c r="CW38" s="38">
        <f t="shared" si="237"/>
        <v>274718</v>
      </c>
      <c r="CX38" s="6">
        <v>223119</v>
      </c>
      <c r="CY38" s="6">
        <v>3508</v>
      </c>
      <c r="CZ38" s="6">
        <v>38729</v>
      </c>
      <c r="DA38" s="6">
        <v>4558</v>
      </c>
      <c r="DB38" s="6">
        <v>4804</v>
      </c>
      <c r="DC38" s="6"/>
      <c r="DD38" s="189">
        <f t="shared" si="238"/>
        <v>81.217466638516584</v>
      </c>
      <c r="DE38" s="190">
        <f t="shared" si="239"/>
        <v>1.2769458135251421</v>
      </c>
      <c r="DF38" s="190">
        <f t="shared" si="240"/>
        <v>14.097729307872072</v>
      </c>
      <c r="DG38" s="190">
        <f t="shared" si="241"/>
        <v>1.7487023056370534</v>
      </c>
      <c r="DH38" s="190">
        <f t="shared" si="242"/>
        <v>1.659155934449144</v>
      </c>
      <c r="DI38" s="190"/>
      <c r="DJ38" s="191">
        <f t="shared" si="20"/>
        <v>18.782533361483409</v>
      </c>
      <c r="DK38" s="382">
        <v>276299</v>
      </c>
      <c r="DL38" s="6">
        <v>222150</v>
      </c>
      <c r="DM38" s="6">
        <v>3238</v>
      </c>
      <c r="DN38" s="6">
        <v>41384</v>
      </c>
      <c r="DO38" s="6">
        <v>4575</v>
      </c>
      <c r="DP38" s="6">
        <v>4952</v>
      </c>
      <c r="DQ38" s="6"/>
      <c r="DR38" s="189">
        <f t="shared" si="243"/>
        <v>80.402028237525286</v>
      </c>
      <c r="DS38" s="190">
        <f t="shared" si="244"/>
        <v>1.1719188270677781</v>
      </c>
      <c r="DT38" s="190">
        <f t="shared" si="245"/>
        <v>14.977976757063905</v>
      </c>
      <c r="DU38" s="190">
        <f t="shared" si="246"/>
        <v>1.7922612821617161</v>
      </c>
      <c r="DV38" s="190">
        <f t="shared" si="247"/>
        <v>1.6558148961813106</v>
      </c>
      <c r="DW38" s="190"/>
      <c r="DX38" s="191">
        <f t="shared" si="248"/>
        <v>19.597971762474714</v>
      </c>
      <c r="DY38" s="382">
        <v>275859</v>
      </c>
      <c r="DZ38" s="6">
        <v>216683</v>
      </c>
      <c r="EA38" s="6">
        <v>2819</v>
      </c>
      <c r="EB38" s="6">
        <v>43795</v>
      </c>
      <c r="EC38" s="6">
        <v>3846</v>
      </c>
      <c r="ED38" s="6">
        <v>4553</v>
      </c>
      <c r="EE38" s="6">
        <v>4163</v>
      </c>
      <c r="EF38" s="189">
        <f t="shared" si="249"/>
        <v>78.54846135163254</v>
      </c>
      <c r="EG38" s="190">
        <f t="shared" si="250"/>
        <v>1.0218988686249133</v>
      </c>
      <c r="EH38" s="190">
        <f t="shared" si="251"/>
        <v>15.875864118988323</v>
      </c>
      <c r="EI38" s="190">
        <f t="shared" si="252"/>
        <v>1.6504808615995854</v>
      </c>
      <c r="EJ38" s="190">
        <f t="shared" si="253"/>
        <v>1.3941905103694279</v>
      </c>
      <c r="EK38" s="190"/>
      <c r="EL38" s="191">
        <f t="shared" si="254"/>
        <v>19.942434359582251</v>
      </c>
      <c r="EM38" s="11">
        <v>279873</v>
      </c>
      <c r="EN38" s="444">
        <f t="shared" si="200"/>
        <v>218400</v>
      </c>
      <c r="EO38" s="444">
        <f t="shared" si="201"/>
        <v>2845</v>
      </c>
      <c r="EP38" s="444">
        <f t="shared" si="202"/>
        <v>45486</v>
      </c>
      <c r="EQ38" s="444">
        <f t="shared" si="203"/>
        <v>3695</v>
      </c>
      <c r="ER38" s="444">
        <f t="shared" si="204"/>
        <v>963</v>
      </c>
      <c r="ES38" s="444">
        <f t="shared" si="205"/>
        <v>3766.9999999999995</v>
      </c>
      <c r="ET38" s="444">
        <f t="shared" si="206"/>
        <v>4717</v>
      </c>
      <c r="EU38" s="148">
        <v>78.035394625419386</v>
      </c>
      <c r="EV38" s="148">
        <v>1.0165324986690392</v>
      </c>
      <c r="EW38" s="148">
        <v>16.252371611409462</v>
      </c>
      <c r="EX38" s="148">
        <v>1.3202416810481896</v>
      </c>
      <c r="EY38" s="148">
        <v>0.34408463838955528</v>
      </c>
      <c r="EZ38" s="148">
        <v>1.3459676353203058</v>
      </c>
      <c r="FA38" s="148">
        <v>1.6854073097440625</v>
      </c>
      <c r="FB38" s="191">
        <f t="shared" si="255"/>
        <v>21.964605374580614</v>
      </c>
      <c r="FC38">
        <v>284834</v>
      </c>
      <c r="FD38">
        <v>221283</v>
      </c>
      <c r="FE38" s="11">
        <v>2878</v>
      </c>
      <c r="FF38">
        <v>47113</v>
      </c>
      <c r="FG38">
        <v>3730</v>
      </c>
      <c r="FH38">
        <v>938</v>
      </c>
      <c r="FI38" s="11">
        <v>3683</v>
      </c>
      <c r="FJ38">
        <v>5209</v>
      </c>
      <c r="FK38" s="189">
        <f t="shared" si="256"/>
        <v>77.688407985001788</v>
      </c>
      <c r="FL38" s="190">
        <f t="shared" si="257"/>
        <v>1.0104130827078228</v>
      </c>
      <c r="FM38" s="190">
        <f t="shared" si="258"/>
        <v>16.540511315362632</v>
      </c>
      <c r="FN38" s="190">
        <f t="shared" si="259"/>
        <v>1.3095346763377969</v>
      </c>
      <c r="FO38" s="190">
        <f t="shared" si="260"/>
        <v>0.3293146183391028</v>
      </c>
      <c r="FP38" s="190">
        <f t="shared" si="261"/>
        <v>1.2930338372525751</v>
      </c>
      <c r="FQ38" s="190">
        <f t="shared" si="262"/>
        <v>1.8287844849982797</v>
      </c>
      <c r="FR38" s="199">
        <f t="shared" si="37"/>
        <v>22.311592014998215</v>
      </c>
      <c r="FS38" s="474">
        <v>296476</v>
      </c>
      <c r="FT38" s="474">
        <v>227636</v>
      </c>
      <c r="FU38" s="474">
        <v>3161</v>
      </c>
      <c r="FV38" s="474">
        <v>51051</v>
      </c>
      <c r="FW38" s="474">
        <v>3893</v>
      </c>
      <c r="FX38" s="474">
        <v>1014</v>
      </c>
      <c r="FY38" s="474">
        <v>3871</v>
      </c>
      <c r="FZ38" s="480">
        <v>5850</v>
      </c>
      <c r="GA38" s="189">
        <f t="shared" si="39"/>
        <v>76.780582576667257</v>
      </c>
      <c r="GB38" s="190">
        <f t="shared" si="40"/>
        <v>1.0661908552462931</v>
      </c>
      <c r="GC38" s="190">
        <f t="shared" si="41"/>
        <v>17.219269013343407</v>
      </c>
      <c r="GD38" s="190">
        <f t="shared" si="42"/>
        <v>1.3130911102416385</v>
      </c>
      <c r="GE38" s="190">
        <f t="shared" si="43"/>
        <v>0.34201756634601116</v>
      </c>
      <c r="GF38" s="190">
        <f t="shared" si="44"/>
        <v>1.3056706107745653</v>
      </c>
      <c r="GG38" s="190">
        <f t="shared" si="45"/>
        <v>1.9731782673808336</v>
      </c>
      <c r="GH38" s="199">
        <f t="shared" si="46"/>
        <v>23.219417423332754</v>
      </c>
      <c r="GI38" s="474">
        <v>290885</v>
      </c>
      <c r="GJ38" s="474">
        <v>223282</v>
      </c>
      <c r="GK38" s="474">
        <v>2863</v>
      </c>
      <c r="GL38" s="474">
        <v>50356</v>
      </c>
      <c r="GM38" s="474">
        <v>3614</v>
      </c>
      <c r="GN38" s="474">
        <v>912</v>
      </c>
      <c r="GO38" s="474">
        <v>3567</v>
      </c>
      <c r="GP38" s="480">
        <v>6291</v>
      </c>
      <c r="GQ38" s="189">
        <f t="shared" si="263"/>
        <v>76.7595441497499</v>
      </c>
      <c r="GR38" s="190">
        <f t="shared" si="264"/>
        <v>0.98423775718926731</v>
      </c>
      <c r="GS38" s="190">
        <f t="shared" si="265"/>
        <v>17.311308592742837</v>
      </c>
      <c r="GT38" s="190">
        <f t="shared" si="266"/>
        <v>1.2424153875242794</v>
      </c>
      <c r="GU38" s="190">
        <f t="shared" si="267"/>
        <v>0.31352596386888287</v>
      </c>
      <c r="GV38" s="190">
        <f t="shared" si="268"/>
        <v>1.2262577994740189</v>
      </c>
      <c r="GW38" s="190">
        <f t="shared" si="269"/>
        <v>2.1627103494508138</v>
      </c>
      <c r="GX38" s="199">
        <f t="shared" si="55"/>
        <v>23.2404558502501</v>
      </c>
    </row>
    <row r="39" spans="1:206" s="11" customFormat="1">
      <c r="A39" s="113" t="s">
        <v>145</v>
      </c>
      <c r="C39" s="1"/>
      <c r="D39" s="1"/>
      <c r="E39" s="1"/>
      <c r="F39" s="1"/>
      <c r="G39" s="1"/>
      <c r="H39" s="52">
        <v>92.736934850189243</v>
      </c>
      <c r="I39" s="45">
        <v>0.28205540255235201</v>
      </c>
      <c r="J39" s="45">
        <v>0.92762425122325598</v>
      </c>
      <c r="K39" s="45">
        <v>0.52642953325095176</v>
      </c>
      <c r="L39" s="43">
        <v>5.5269559627842026</v>
      </c>
      <c r="M39" s="264">
        <f t="shared" si="215"/>
        <v>7.2630651498107621</v>
      </c>
      <c r="N39" s="66"/>
      <c r="O39" s="1"/>
      <c r="P39" s="1"/>
      <c r="Q39" s="1"/>
      <c r="R39" s="134">
        <v>11.987300873064981</v>
      </c>
      <c r="S39" s="52">
        <v>87.769386966363811</v>
      </c>
      <c r="T39" s="45">
        <v>0.48524928071456175</v>
      </c>
      <c r="U39" s="45">
        <v>1.3809053487844229</v>
      </c>
      <c r="V39" s="45">
        <v>0.78584618027225484</v>
      </c>
      <c r="W39" s="45">
        <v>9.5786122238649387</v>
      </c>
      <c r="X39" s="261">
        <f t="shared" si="216"/>
        <v>12.230613033636178</v>
      </c>
      <c r="Y39" s="52">
        <v>87.7</v>
      </c>
      <c r="Z39" s="45">
        <v>0.5</v>
      </c>
      <c r="AA39" s="45">
        <v>1.4</v>
      </c>
      <c r="AB39" s="45">
        <v>0.8</v>
      </c>
      <c r="AC39" s="45">
        <v>9.6</v>
      </c>
      <c r="AD39" s="261">
        <f t="shared" si="217"/>
        <v>12.3</v>
      </c>
      <c r="AE39" s="52">
        <v>87.5</v>
      </c>
      <c r="AF39" s="45">
        <v>0.5</v>
      </c>
      <c r="AG39" s="45">
        <v>1.4</v>
      </c>
      <c r="AH39" s="45">
        <v>0.8</v>
      </c>
      <c r="AI39" s="45">
        <v>9.8000000000000007</v>
      </c>
      <c r="AJ39" s="261">
        <f t="shared" si="218"/>
        <v>12.5</v>
      </c>
      <c r="AK39" s="258">
        <f>100-87.2</f>
        <v>12.799999999999997</v>
      </c>
      <c r="AL39" s="258">
        <f>100-87.1</f>
        <v>12.900000000000006</v>
      </c>
      <c r="AM39" s="258">
        <f>100-86.8</f>
        <v>13.200000000000003</v>
      </c>
      <c r="AN39" s="258">
        <f>100-86.5</f>
        <v>13.5</v>
      </c>
      <c r="AO39" s="77">
        <v>86.246327683615817</v>
      </c>
      <c r="AP39" s="68">
        <v>0.56626311541565777</v>
      </c>
      <c r="AQ39" s="68">
        <v>1.7162227602905569</v>
      </c>
      <c r="AR39" s="68">
        <v>0.95108958837772395</v>
      </c>
      <c r="AS39" s="68">
        <v>10.520096852300242</v>
      </c>
      <c r="AT39" s="261">
        <f t="shared" si="219"/>
        <v>13.753672316384179</v>
      </c>
      <c r="AU39" s="68">
        <v>85.864808123885311</v>
      </c>
      <c r="AV39" s="68">
        <v>0.63311549421837876</v>
      </c>
      <c r="AW39" s="68">
        <v>1.8657821477225611</v>
      </c>
      <c r="AX39" s="68">
        <v>1.0266737744081817</v>
      </c>
      <c r="AY39" s="68">
        <v>10.609620459765576</v>
      </c>
      <c r="AZ39" s="261">
        <f t="shared" si="220"/>
        <v>14.135191876114698</v>
      </c>
      <c r="BA39" s="68">
        <v>85.419513983799462</v>
      </c>
      <c r="BB39" s="68">
        <v>0.67668922297409906</v>
      </c>
      <c r="BC39" s="68">
        <v>1.9700656688556286</v>
      </c>
      <c r="BD39" s="68">
        <v>1.0507016900563353</v>
      </c>
      <c r="BE39" s="68">
        <v>10.883029434314476</v>
      </c>
      <c r="BF39" s="261">
        <f t="shared" si="221"/>
        <v>14.58048601620054</v>
      </c>
      <c r="BG39" s="68">
        <v>85.129013993367309</v>
      </c>
      <c r="BH39" s="68">
        <v>0.72797864595971851</v>
      </c>
      <c r="BI39" s="68">
        <v>2.0855240098142307</v>
      </c>
      <c r="BJ39" s="68">
        <v>1.0434360592089298</v>
      </c>
      <c r="BK39" s="68">
        <v>11.014047291649815</v>
      </c>
      <c r="BL39" s="199">
        <f t="shared" si="222"/>
        <v>14.870986006632695</v>
      </c>
      <c r="BM39" s="68">
        <v>84.542449132613058</v>
      </c>
      <c r="BN39" s="68">
        <v>0.80706179066834804</v>
      </c>
      <c r="BO39" s="68">
        <v>2.2950819672131146</v>
      </c>
      <c r="BP39" s="68">
        <v>1.0790361610033741</v>
      </c>
      <c r="BQ39" s="68">
        <v>11.276370948502096</v>
      </c>
      <c r="BR39" s="191">
        <f t="shared" si="223"/>
        <v>15.457550867386933</v>
      </c>
      <c r="BS39" s="77">
        <v>84.272707267425872</v>
      </c>
      <c r="BT39" s="68">
        <v>0.89811299994498539</v>
      </c>
      <c r="BU39" s="68">
        <v>2.3958849095010177</v>
      </c>
      <c r="BV39" s="68">
        <v>1.1401771469439401</v>
      </c>
      <c r="BW39" s="68">
        <v>11.293117676184188</v>
      </c>
      <c r="BX39" s="191">
        <f t="shared" si="224"/>
        <v>15.727292732574131</v>
      </c>
      <c r="BY39" s="38">
        <v>144418</v>
      </c>
      <c r="BZ39" s="6">
        <v>121169</v>
      </c>
      <c r="CA39" s="6">
        <v>1397</v>
      </c>
      <c r="CB39" s="6">
        <v>3635</v>
      </c>
      <c r="CC39" s="6">
        <v>1715</v>
      </c>
      <c r="CD39" s="6">
        <v>16502</v>
      </c>
      <c r="CE39" s="189">
        <f t="shared" si="225"/>
        <v>83.901591214391559</v>
      </c>
      <c r="CF39" s="190">
        <f t="shared" si="226"/>
        <v>0.96733094212632775</v>
      </c>
      <c r="CG39" s="190">
        <f t="shared" si="227"/>
        <v>2.5169992660194715</v>
      </c>
      <c r="CH39" s="190">
        <f t="shared" si="228"/>
        <v>1.187525100749214</v>
      </c>
      <c r="CI39" s="190">
        <f t="shared" si="229"/>
        <v>11.426553476713428</v>
      </c>
      <c r="CJ39" s="191">
        <f t="shared" si="230"/>
        <v>16.098408785608441</v>
      </c>
      <c r="CK39" s="38">
        <v>142823</v>
      </c>
      <c r="CL39" s="6">
        <v>119933</v>
      </c>
      <c r="CM39" s="6">
        <v>1365</v>
      </c>
      <c r="CN39" s="6">
        <v>3607</v>
      </c>
      <c r="CO39" s="6">
        <v>1658</v>
      </c>
      <c r="CP39" s="6">
        <v>16260</v>
      </c>
      <c r="CQ39" s="189">
        <f t="shared" si="231"/>
        <v>83.973169587531416</v>
      </c>
      <c r="CR39" s="190">
        <f t="shared" si="232"/>
        <v>0.955728419092163</v>
      </c>
      <c r="CS39" s="190">
        <f t="shared" si="233"/>
        <v>2.5255035953592908</v>
      </c>
      <c r="CT39" s="190">
        <f t="shared" si="234"/>
        <v>1.1608774497104808</v>
      </c>
      <c r="CU39" s="190">
        <f t="shared" si="235"/>
        <v>11.384720948306645</v>
      </c>
      <c r="CV39" s="191">
        <f t="shared" si="236"/>
        <v>16.026830412468581</v>
      </c>
      <c r="CW39" s="38">
        <f t="shared" si="237"/>
        <v>141899</v>
      </c>
      <c r="CX39" s="6">
        <v>118812</v>
      </c>
      <c r="CY39" s="6">
        <v>1458</v>
      </c>
      <c r="CZ39" s="6">
        <v>3757</v>
      </c>
      <c r="DA39" s="6">
        <v>16198</v>
      </c>
      <c r="DB39" s="6">
        <v>1674</v>
      </c>
      <c r="DC39" s="6"/>
      <c r="DD39" s="189">
        <f t="shared" si="238"/>
        <v>83.729976955440137</v>
      </c>
      <c r="DE39" s="190">
        <f t="shared" si="239"/>
        <v>1.0274913847172991</v>
      </c>
      <c r="DF39" s="190">
        <f t="shared" si="240"/>
        <v>2.6476578411405294</v>
      </c>
      <c r="DG39" s="190">
        <f t="shared" si="241"/>
        <v>1.1797123306013431</v>
      </c>
      <c r="DH39" s="190">
        <f t="shared" si="242"/>
        <v>11.415161488100692</v>
      </c>
      <c r="DI39" s="190"/>
      <c r="DJ39" s="191">
        <f t="shared" si="20"/>
        <v>16.270023044559863</v>
      </c>
      <c r="DK39" s="382">
        <v>141807</v>
      </c>
      <c r="DL39" s="6">
        <v>117784</v>
      </c>
      <c r="DM39" s="6">
        <v>1614</v>
      </c>
      <c r="DN39" s="6">
        <v>3916</v>
      </c>
      <c r="DO39" s="6">
        <v>16724</v>
      </c>
      <c r="DP39" s="6">
        <v>1769</v>
      </c>
      <c r="DQ39" s="6"/>
      <c r="DR39" s="189">
        <f t="shared" si="243"/>
        <v>83.059369424640522</v>
      </c>
      <c r="DS39" s="190">
        <f t="shared" si="244"/>
        <v>1.1381666631407477</v>
      </c>
      <c r="DT39" s="190">
        <f t="shared" si="245"/>
        <v>2.7614997849189393</v>
      </c>
      <c r="DU39" s="190">
        <f t="shared" si="246"/>
        <v>1.2474701530954042</v>
      </c>
      <c r="DV39" s="190">
        <f t="shared" si="247"/>
        <v>11.793493974204376</v>
      </c>
      <c r="DW39" s="190"/>
      <c r="DX39" s="191">
        <f t="shared" si="248"/>
        <v>16.940630575359467</v>
      </c>
      <c r="DY39" s="382">
        <v>141693</v>
      </c>
      <c r="DZ39" s="6">
        <v>115827</v>
      </c>
      <c r="EA39" s="6">
        <v>1378</v>
      </c>
      <c r="EB39" s="6">
        <v>4996</v>
      </c>
      <c r="EC39" s="6">
        <v>15734</v>
      </c>
      <c r="ED39" s="6">
        <v>1561</v>
      </c>
      <c r="EE39" s="6">
        <v>2197</v>
      </c>
      <c r="EF39" s="189">
        <f t="shared" si="249"/>
        <v>81.745040333679157</v>
      </c>
      <c r="EG39" s="190">
        <f t="shared" si="250"/>
        <v>0.97252510709773943</v>
      </c>
      <c r="EH39" s="190">
        <f t="shared" si="251"/>
        <v>3.525932826603996</v>
      </c>
      <c r="EI39" s="190">
        <f t="shared" si="252"/>
        <v>1.1016775705221853</v>
      </c>
      <c r="EJ39" s="190">
        <f t="shared" si="253"/>
        <v>11.104288849837324</v>
      </c>
      <c r="EK39" s="190"/>
      <c r="EL39" s="191">
        <f t="shared" si="254"/>
        <v>16.704424354061246</v>
      </c>
      <c r="EM39" s="11">
        <v>142349</v>
      </c>
      <c r="EN39" s="444">
        <f t="shared" si="200"/>
        <v>115184</v>
      </c>
      <c r="EO39" s="444">
        <f t="shared" si="201"/>
        <v>1436</v>
      </c>
      <c r="EP39" s="444">
        <f t="shared" si="202"/>
        <v>5248</v>
      </c>
      <c r="EQ39" s="444">
        <f t="shared" si="203"/>
        <v>1212</v>
      </c>
      <c r="ER39" s="444">
        <f t="shared" si="204"/>
        <v>369</v>
      </c>
      <c r="ES39" s="444">
        <f t="shared" si="205"/>
        <v>16530</v>
      </c>
      <c r="ET39" s="444">
        <f t="shared" si="206"/>
        <v>2370</v>
      </c>
      <c r="EU39" s="148">
        <v>80.91662041882978</v>
      </c>
      <c r="EV39" s="148">
        <v>1.0087882598402518</v>
      </c>
      <c r="EW39" s="148">
        <v>3.6867136404189704</v>
      </c>
      <c r="EX39" s="148">
        <v>0.85142853128578355</v>
      </c>
      <c r="EY39" s="148">
        <v>0.25922205284195887</v>
      </c>
      <c r="EZ39" s="148">
        <v>11.612304968773929</v>
      </c>
      <c r="FA39" s="148">
        <v>1.6649221280093291</v>
      </c>
      <c r="FB39" s="191">
        <f t="shared" si="255"/>
        <v>19.083379581170224</v>
      </c>
      <c r="FC39">
        <v>142908</v>
      </c>
      <c r="FD39">
        <v>115094</v>
      </c>
      <c r="FE39" s="11">
        <v>1399</v>
      </c>
      <c r="FF39">
        <v>5644</v>
      </c>
      <c r="FG39">
        <v>1193</v>
      </c>
      <c r="FH39">
        <v>336</v>
      </c>
      <c r="FI39" s="11">
        <v>16228</v>
      </c>
      <c r="FJ39">
        <v>3014</v>
      </c>
      <c r="FK39" s="189">
        <f t="shared" si="256"/>
        <v>80.537128782153559</v>
      </c>
      <c r="FL39" s="190">
        <f t="shared" si="257"/>
        <v>0.97895149326839637</v>
      </c>
      <c r="FM39" s="190">
        <f t="shared" si="258"/>
        <v>3.9493940157303999</v>
      </c>
      <c r="FN39" s="190">
        <f t="shared" si="259"/>
        <v>0.83480281019956903</v>
      </c>
      <c r="FO39" s="190">
        <f t="shared" si="260"/>
        <v>0.23511629859769922</v>
      </c>
      <c r="FP39" s="190">
        <f t="shared" si="261"/>
        <v>11.355557421557926</v>
      </c>
      <c r="FQ39" s="190">
        <f t="shared" si="262"/>
        <v>2.1090491784924565</v>
      </c>
      <c r="FR39" s="199">
        <f t="shared" si="37"/>
        <v>19.462871217846445</v>
      </c>
      <c r="FS39" s="474">
        <v>144129</v>
      </c>
      <c r="FT39" s="474">
        <v>115286</v>
      </c>
      <c r="FU39" s="474">
        <v>1351</v>
      </c>
      <c r="FV39" s="474">
        <v>5951</v>
      </c>
      <c r="FW39" s="474">
        <v>1185</v>
      </c>
      <c r="FX39" s="474">
        <v>322</v>
      </c>
      <c r="FY39" s="474">
        <v>16297</v>
      </c>
      <c r="FZ39" s="480">
        <v>3737</v>
      </c>
      <c r="GA39" s="189">
        <f t="shared" si="39"/>
        <v>79.988066246209982</v>
      </c>
      <c r="GB39" s="190">
        <f t="shared" si="40"/>
        <v>0.93735473083140808</v>
      </c>
      <c r="GC39" s="190">
        <f t="shared" si="41"/>
        <v>4.1289400467636632</v>
      </c>
      <c r="GD39" s="190">
        <f t="shared" si="42"/>
        <v>0.82218013029993975</v>
      </c>
      <c r="GE39" s="190">
        <f t="shared" si="43"/>
        <v>0.22341097211525787</v>
      </c>
      <c r="GF39" s="190">
        <f t="shared" si="44"/>
        <v>11.307231716032165</v>
      </c>
      <c r="GG39" s="190">
        <f t="shared" si="45"/>
        <v>2.5928161577475732</v>
      </c>
      <c r="GH39" s="199">
        <f t="shared" si="46"/>
        <v>20.011933753790007</v>
      </c>
      <c r="GI39" s="474">
        <v>144532</v>
      </c>
      <c r="GJ39" s="474">
        <v>114981</v>
      </c>
      <c r="GK39" s="474">
        <v>1391</v>
      </c>
      <c r="GL39" s="474">
        <v>6224</v>
      </c>
      <c r="GM39" s="474">
        <v>1149</v>
      </c>
      <c r="GN39" s="474">
        <v>337</v>
      </c>
      <c r="GO39" s="474">
        <v>16391</v>
      </c>
      <c r="GP39" s="480">
        <v>4059</v>
      </c>
      <c r="GQ39" s="189">
        <f t="shared" si="263"/>
        <v>79.554008800819204</v>
      </c>
      <c r="GR39" s="190">
        <f t="shared" si="264"/>
        <v>0.96241662745966283</v>
      </c>
      <c r="GS39" s="190">
        <f t="shared" si="265"/>
        <v>4.3063127888633659</v>
      </c>
      <c r="GT39" s="190">
        <f t="shared" si="266"/>
        <v>0.79497965848393437</v>
      </c>
      <c r="GU39" s="190">
        <f t="shared" si="267"/>
        <v>0.23316635762322532</v>
      </c>
      <c r="GV39" s="190">
        <f t="shared" si="268"/>
        <v>11.340741150748624</v>
      </c>
      <c r="GW39" s="190">
        <f t="shared" si="269"/>
        <v>2.8083746160019927</v>
      </c>
      <c r="GX39" s="199">
        <f t="shared" si="55"/>
        <v>20.445991199180803</v>
      </c>
    </row>
    <row r="40" spans="1:206" s="11" customFormat="1">
      <c r="A40" s="113" t="s">
        <v>147</v>
      </c>
      <c r="C40" s="1"/>
      <c r="D40" s="1"/>
      <c r="E40" s="1"/>
      <c r="F40" s="1"/>
      <c r="G40" s="1"/>
      <c r="H40" s="52">
        <v>77.398886804330616</v>
      </c>
      <c r="I40" s="45">
        <v>9.5625128553531251</v>
      </c>
      <c r="J40" s="45">
        <v>7.4776083121934196</v>
      </c>
      <c r="K40" s="45">
        <v>3.2467168207231407</v>
      </c>
      <c r="L40" s="43">
        <v>2.3142752073996973</v>
      </c>
      <c r="M40" s="264">
        <f t="shared" si="215"/>
        <v>22.601113195669381</v>
      </c>
      <c r="N40" s="66"/>
      <c r="O40" s="1"/>
      <c r="P40" s="1"/>
      <c r="Q40" s="1"/>
      <c r="R40" s="134">
        <v>28.098343304600533</v>
      </c>
      <c r="S40" s="52">
        <v>70.483884648006793</v>
      </c>
      <c r="T40" s="45">
        <v>9.2035623409669221</v>
      </c>
      <c r="U40" s="45">
        <v>14.315097540288379</v>
      </c>
      <c r="V40" s="45">
        <v>4.0245971162001695</v>
      </c>
      <c r="W40" s="45">
        <v>1.9728583545377438</v>
      </c>
      <c r="X40" s="261">
        <f t="shared" si="216"/>
        <v>29.516115351993218</v>
      </c>
      <c r="Y40" s="52">
        <v>69</v>
      </c>
      <c r="Z40" s="45">
        <v>9.3000000000000007</v>
      </c>
      <c r="AA40" s="45">
        <v>15.5</v>
      </c>
      <c r="AB40" s="45">
        <v>4.2</v>
      </c>
      <c r="AC40" s="45">
        <v>2</v>
      </c>
      <c r="AD40" s="261">
        <f t="shared" si="217"/>
        <v>31</v>
      </c>
      <c r="AE40" s="52">
        <v>66.5</v>
      </c>
      <c r="AF40" s="45">
        <v>9.8000000000000007</v>
      </c>
      <c r="AG40" s="45">
        <v>17.2</v>
      </c>
      <c r="AH40" s="45">
        <v>4.5</v>
      </c>
      <c r="AI40" s="45">
        <v>1.9</v>
      </c>
      <c r="AJ40" s="261">
        <f t="shared" si="218"/>
        <v>33.4</v>
      </c>
      <c r="AK40" s="258">
        <f>100-65.1</f>
        <v>34.900000000000006</v>
      </c>
      <c r="AL40" s="258">
        <f>100-63.2</f>
        <v>36.799999999999997</v>
      </c>
      <c r="AM40" s="258">
        <f>100-61.2</f>
        <v>38.799999999999997</v>
      </c>
      <c r="AN40" s="258">
        <f>100-58.9</f>
        <v>41.1</v>
      </c>
      <c r="AO40" s="77">
        <v>56.711848686218801</v>
      </c>
      <c r="AP40" s="68">
        <v>10.153039659990139</v>
      </c>
      <c r="AQ40" s="68">
        <v>25.740249371874047</v>
      </c>
      <c r="AR40" s="68">
        <v>5.6566557869772467</v>
      </c>
      <c r="AS40" s="68">
        <v>1.7382064949397704</v>
      </c>
      <c r="AT40" s="261">
        <f t="shared" si="219"/>
        <v>43.288151313781199</v>
      </c>
      <c r="AU40" s="68">
        <v>54.507110147023376</v>
      </c>
      <c r="AV40" s="68">
        <v>10.29584040984939</v>
      </c>
      <c r="AW40" s="68">
        <v>27.404193781634127</v>
      </c>
      <c r="AX40" s="68">
        <v>6.0670265180177907</v>
      </c>
      <c r="AY40" s="68">
        <v>1.7258291434753121</v>
      </c>
      <c r="AZ40" s="261">
        <f t="shared" si="220"/>
        <v>45.492889852976617</v>
      </c>
      <c r="BA40" s="68">
        <v>52.729378778775526</v>
      </c>
      <c r="BB40" s="68">
        <v>10.49423812848784</v>
      </c>
      <c r="BC40" s="68">
        <v>28.700020027172002</v>
      </c>
      <c r="BD40" s="68">
        <v>6.3651224093229191</v>
      </c>
      <c r="BE40" s="68">
        <v>1.7112406562417117</v>
      </c>
      <c r="BF40" s="261">
        <f t="shared" si="221"/>
        <v>47.270621221224474</v>
      </c>
      <c r="BG40" s="68">
        <v>50.773090884559203</v>
      </c>
      <c r="BH40" s="68">
        <v>10.654357409555242</v>
      </c>
      <c r="BI40" s="68">
        <v>30.153528402884266</v>
      </c>
      <c r="BJ40" s="68">
        <v>6.7067807296815527</v>
      </c>
      <c r="BK40" s="68">
        <v>1.7122425733197371</v>
      </c>
      <c r="BL40" s="199">
        <f t="shared" si="222"/>
        <v>49.226909115440797</v>
      </c>
      <c r="BM40" s="68" t="s">
        <v>207</v>
      </c>
      <c r="BN40" s="68" t="s">
        <v>207</v>
      </c>
      <c r="BO40" s="68" t="s">
        <v>207</v>
      </c>
      <c r="BP40" s="68" t="s">
        <v>207</v>
      </c>
      <c r="BQ40" s="68" t="s">
        <v>207</v>
      </c>
      <c r="BR40" s="191">
        <f t="shared" si="223"/>
        <v>0</v>
      </c>
      <c r="BS40" s="77">
        <v>46.395567356539239</v>
      </c>
      <c r="BT40" s="68">
        <v>11.086700857187891</v>
      </c>
      <c r="BU40" s="68">
        <v>33.621164175123361</v>
      </c>
      <c r="BV40" s="68">
        <v>7.2770038434025626</v>
      </c>
      <c r="BW40" s="68">
        <v>1.6195637677469417</v>
      </c>
      <c r="BX40" s="191">
        <f t="shared" si="224"/>
        <v>53.604432643460754</v>
      </c>
      <c r="BY40" s="38">
        <v>423184</v>
      </c>
      <c r="BZ40" s="6">
        <v>187761</v>
      </c>
      <c r="CA40" s="6">
        <v>46777</v>
      </c>
      <c r="CB40" s="6">
        <v>149722</v>
      </c>
      <c r="CC40" s="6">
        <v>32146</v>
      </c>
      <c r="CD40" s="6">
        <v>6778</v>
      </c>
      <c r="CE40" s="189">
        <f t="shared" si="225"/>
        <v>44.368643426972667</v>
      </c>
      <c r="CF40" s="190">
        <f t="shared" si="226"/>
        <v>11.053584256493629</v>
      </c>
      <c r="CG40" s="190">
        <f t="shared" si="227"/>
        <v>35.379882037128056</v>
      </c>
      <c r="CH40" s="190">
        <f t="shared" si="228"/>
        <v>7.5962229195810806</v>
      </c>
      <c r="CI40" s="190">
        <f t="shared" si="229"/>
        <v>1.6016673598245681</v>
      </c>
      <c r="CJ40" s="191">
        <f t="shared" si="230"/>
        <v>55.631356573027333</v>
      </c>
      <c r="CK40" s="38">
        <v>429362</v>
      </c>
      <c r="CL40" s="6">
        <v>185104</v>
      </c>
      <c r="CM40" s="6">
        <v>47369</v>
      </c>
      <c r="CN40" s="6">
        <v>156342</v>
      </c>
      <c r="CO40" s="6">
        <v>33902</v>
      </c>
      <c r="CP40" s="6">
        <v>6645</v>
      </c>
      <c r="CQ40" s="189">
        <f t="shared" si="231"/>
        <v>43.111407157596624</v>
      </c>
      <c r="CR40" s="190">
        <f t="shared" si="232"/>
        <v>11.032415537471877</v>
      </c>
      <c r="CS40" s="190">
        <f t="shared" si="233"/>
        <v>36.41263083365552</v>
      </c>
      <c r="CT40" s="190">
        <f t="shared" si="234"/>
        <v>7.8959013606234363</v>
      </c>
      <c r="CU40" s="190">
        <f t="shared" si="235"/>
        <v>1.5476451106525495</v>
      </c>
      <c r="CV40" s="191">
        <f t="shared" si="236"/>
        <v>56.888592842403384</v>
      </c>
      <c r="CW40" s="38">
        <f t="shared" si="237"/>
        <v>433371</v>
      </c>
      <c r="CX40" s="6">
        <v>183296</v>
      </c>
      <c r="CY40" s="6">
        <v>48689</v>
      </c>
      <c r="CZ40" s="6">
        <v>159837</v>
      </c>
      <c r="DA40" s="6">
        <v>6588</v>
      </c>
      <c r="DB40" s="6">
        <v>34961</v>
      </c>
      <c r="DC40" s="6"/>
      <c r="DD40" s="189">
        <f t="shared" si="238"/>
        <v>42.295400476727792</v>
      </c>
      <c r="DE40" s="190">
        <f t="shared" si="239"/>
        <v>11.23494650080416</v>
      </c>
      <c r="DF40" s="190">
        <f t="shared" si="240"/>
        <v>36.882255619319245</v>
      </c>
      <c r="DG40" s="190">
        <f t="shared" si="241"/>
        <v>8.0672218491777254</v>
      </c>
      <c r="DH40" s="190">
        <f t="shared" si="242"/>
        <v>1.520175553971078</v>
      </c>
      <c r="DI40" s="190"/>
      <c r="DJ40" s="191">
        <f t="shared" si="20"/>
        <v>57.704599523272215</v>
      </c>
      <c r="DK40" s="382">
        <v>428947</v>
      </c>
      <c r="DL40" s="6">
        <v>177477</v>
      </c>
      <c r="DM40" s="6">
        <v>48752</v>
      </c>
      <c r="DN40" s="6">
        <v>160962</v>
      </c>
      <c r="DO40" s="6">
        <v>6391</v>
      </c>
      <c r="DP40" s="6">
        <v>35365</v>
      </c>
      <c r="DQ40" s="6"/>
      <c r="DR40" s="189">
        <f t="shared" si="243"/>
        <v>41.375041671814934</v>
      </c>
      <c r="DS40" s="190">
        <f t="shared" si="244"/>
        <v>11.365506694300228</v>
      </c>
      <c r="DT40" s="190">
        <f t="shared" si="245"/>
        <v>37.52491566557174</v>
      </c>
      <c r="DU40" s="190">
        <f t="shared" si="246"/>
        <v>8.2446083082525359</v>
      </c>
      <c r="DV40" s="190">
        <f t="shared" si="247"/>
        <v>1.4899276600605669</v>
      </c>
      <c r="DW40" s="190"/>
      <c r="DX40" s="191">
        <f t="shared" si="248"/>
        <v>58.624958328185073</v>
      </c>
      <c r="DY40" s="382">
        <v>437149</v>
      </c>
      <c r="DZ40" s="6">
        <v>169220</v>
      </c>
      <c r="EA40" s="6">
        <v>43225</v>
      </c>
      <c r="EB40" s="6">
        <v>169236</v>
      </c>
      <c r="EC40" s="6">
        <v>5705</v>
      </c>
      <c r="ED40" s="6">
        <v>31209</v>
      </c>
      <c r="EE40" s="6">
        <v>18554</v>
      </c>
      <c r="EF40" s="189">
        <f t="shared" si="249"/>
        <v>38.709913553502354</v>
      </c>
      <c r="EG40" s="190">
        <f t="shared" si="250"/>
        <v>9.8879329473474726</v>
      </c>
      <c r="EH40" s="190">
        <f t="shared" si="251"/>
        <v>38.713573632788822</v>
      </c>
      <c r="EI40" s="190">
        <f t="shared" si="252"/>
        <v>7.1392134032103467</v>
      </c>
      <c r="EJ40" s="190">
        <f t="shared" si="253"/>
        <v>1.3050470205810834</v>
      </c>
      <c r="EK40" s="190"/>
      <c r="EL40" s="191">
        <f t="shared" si="254"/>
        <v>57.045767003927729</v>
      </c>
      <c r="EM40" s="11">
        <v>439634</v>
      </c>
      <c r="EN40" s="444">
        <f t="shared" si="200"/>
        <v>164626</v>
      </c>
      <c r="EO40" s="444">
        <f t="shared" si="201"/>
        <v>42336</v>
      </c>
      <c r="EP40" s="444">
        <f t="shared" si="202"/>
        <v>174121</v>
      </c>
      <c r="EQ40" s="444">
        <f t="shared" si="203"/>
        <v>24786</v>
      </c>
      <c r="ER40" s="444">
        <f t="shared" si="204"/>
        <v>5502</v>
      </c>
      <c r="ES40" s="444">
        <f t="shared" si="205"/>
        <v>5031</v>
      </c>
      <c r="ET40" s="444">
        <f t="shared" si="206"/>
        <v>23232</v>
      </c>
      <c r="EU40" s="148">
        <v>37.446148387067424</v>
      </c>
      <c r="EV40" s="148">
        <v>9.6298284482091923</v>
      </c>
      <c r="EW40" s="148">
        <v>39.605899452726582</v>
      </c>
      <c r="EX40" s="148">
        <v>5.6378715022041064</v>
      </c>
      <c r="EY40" s="148">
        <v>1.2514955622176629</v>
      </c>
      <c r="EZ40" s="148">
        <v>1.1443609911881247</v>
      </c>
      <c r="FA40" s="148">
        <v>5.2843956563869039</v>
      </c>
      <c r="FB40" s="191">
        <f t="shared" si="255"/>
        <v>62.553851612932569</v>
      </c>
      <c r="FC40">
        <v>445707</v>
      </c>
      <c r="FD40">
        <v>163930</v>
      </c>
      <c r="FE40" s="11">
        <v>43364</v>
      </c>
      <c r="FF40">
        <v>178167</v>
      </c>
      <c r="FG40">
        <v>25250</v>
      </c>
      <c r="FH40">
        <v>5746</v>
      </c>
      <c r="FI40" s="11">
        <v>4979</v>
      </c>
      <c r="FJ40">
        <v>24271</v>
      </c>
      <c r="FK40" s="189">
        <f t="shared" si="256"/>
        <v>36.779767874410766</v>
      </c>
      <c r="FL40" s="190">
        <f t="shared" si="257"/>
        <v>9.7292616001094885</v>
      </c>
      <c r="FM40" s="190">
        <f t="shared" si="258"/>
        <v>39.974018806076636</v>
      </c>
      <c r="FN40" s="190">
        <f t="shared" si="259"/>
        <v>5.665156706087183</v>
      </c>
      <c r="FO40" s="190">
        <f t="shared" si="260"/>
        <v>1.2891877399278</v>
      </c>
      <c r="FP40" s="190">
        <f t="shared" si="261"/>
        <v>1.1171015936478448</v>
      </c>
      <c r="FQ40" s="190">
        <f t="shared" si="262"/>
        <v>5.4455056797402781</v>
      </c>
      <c r="FR40" s="199">
        <f t="shared" si="37"/>
        <v>63.220232125589227</v>
      </c>
      <c r="FS40" s="474">
        <v>451831</v>
      </c>
      <c r="FT40" s="474">
        <v>162618</v>
      </c>
      <c r="FU40" s="474">
        <v>44798</v>
      </c>
      <c r="FV40" s="474">
        <v>183229</v>
      </c>
      <c r="FW40" s="474">
        <v>25265</v>
      </c>
      <c r="FX40" s="474">
        <v>5995</v>
      </c>
      <c r="FY40" s="474">
        <v>4784</v>
      </c>
      <c r="FZ40" s="480">
        <v>25142</v>
      </c>
      <c r="GA40" s="189">
        <f t="shared" si="39"/>
        <v>35.990890399286457</v>
      </c>
      <c r="GB40" s="190">
        <f t="shared" si="40"/>
        <v>9.9147690176194203</v>
      </c>
      <c r="GC40" s="190">
        <f t="shared" si="41"/>
        <v>40.552551728411729</v>
      </c>
      <c r="GD40" s="190">
        <f t="shared" si="42"/>
        <v>5.591692469086893</v>
      </c>
      <c r="GE40" s="190">
        <f t="shared" si="43"/>
        <v>1.3268235247249525</v>
      </c>
      <c r="GF40" s="190">
        <f t="shared" si="44"/>
        <v>1.0588029595136235</v>
      </c>
      <c r="GG40" s="190">
        <f t="shared" si="45"/>
        <v>5.5644699013569232</v>
      </c>
      <c r="GH40" s="199">
        <f t="shared" si="46"/>
        <v>64.009109600713543</v>
      </c>
      <c r="GI40" s="474">
        <v>459189</v>
      </c>
      <c r="GJ40" s="474">
        <v>161053</v>
      </c>
      <c r="GK40" s="474">
        <v>46667</v>
      </c>
      <c r="GL40" s="474">
        <v>188722</v>
      </c>
      <c r="GM40" s="474">
        <v>25276</v>
      </c>
      <c r="GN40" s="474">
        <v>6220</v>
      </c>
      <c r="GO40" s="474">
        <v>4654</v>
      </c>
      <c r="GP40" s="480">
        <v>26597</v>
      </c>
      <c r="GQ40" s="189">
        <f t="shared" si="263"/>
        <v>35.073357593496361</v>
      </c>
      <c r="GR40" s="190">
        <f t="shared" si="264"/>
        <v>10.162917665710633</v>
      </c>
      <c r="GS40" s="190">
        <f t="shared" si="265"/>
        <v>41.098981029597837</v>
      </c>
      <c r="GT40" s="190">
        <f t="shared" si="266"/>
        <v>5.504487259058906</v>
      </c>
      <c r="GU40" s="190">
        <f t="shared" si="267"/>
        <v>1.3545620648578254</v>
      </c>
      <c r="GV40" s="190">
        <f t="shared" si="268"/>
        <v>1.0135260208759356</v>
      </c>
      <c r="GW40" s="190">
        <f t="shared" si="269"/>
        <v>5.792168366402505</v>
      </c>
      <c r="GX40" s="199">
        <f t="shared" si="55"/>
        <v>64.926642406503646</v>
      </c>
    </row>
    <row r="41" spans="1:206" s="11" customFormat="1">
      <c r="A41" s="113" t="s">
        <v>150</v>
      </c>
      <c r="B41" s="17"/>
      <c r="C41" s="15"/>
      <c r="D41" s="15"/>
      <c r="E41" s="15"/>
      <c r="F41" s="15"/>
      <c r="G41" s="15"/>
      <c r="H41" s="52">
        <v>43.076331474716397</v>
      </c>
      <c r="I41" s="45">
        <v>2.3359144220517032</v>
      </c>
      <c r="J41" s="45">
        <v>45.064760273373999</v>
      </c>
      <c r="K41" s="45">
        <v>0.78236702731992103</v>
      </c>
      <c r="L41" s="43">
        <v>8.7406268025379728</v>
      </c>
      <c r="M41" s="264">
        <f t="shared" si="215"/>
        <v>56.923668525283595</v>
      </c>
      <c r="N41" s="54"/>
      <c r="O41" s="15"/>
      <c r="P41" s="15"/>
      <c r="Q41" s="15"/>
      <c r="R41" s="134">
        <v>59.130415474506272</v>
      </c>
      <c r="S41" s="52">
        <v>40.462008388263904</v>
      </c>
      <c r="T41" s="45">
        <v>2.3312149905188333</v>
      </c>
      <c r="U41" s="45">
        <v>46.027718012348871</v>
      </c>
      <c r="V41" s="45">
        <v>0.94905079352229238</v>
      </c>
      <c r="W41" s="45">
        <v>10.2300078153461</v>
      </c>
      <c r="X41" s="261">
        <f t="shared" si="216"/>
        <v>59.537991611736089</v>
      </c>
      <c r="Y41" s="52">
        <v>39.9</v>
      </c>
      <c r="Z41" s="45">
        <v>2.4</v>
      </c>
      <c r="AA41" s="45">
        <v>46.4</v>
      </c>
      <c r="AB41" s="45">
        <v>1</v>
      </c>
      <c r="AC41" s="45">
        <v>10.4</v>
      </c>
      <c r="AD41" s="261">
        <f t="shared" si="217"/>
        <v>60.199999999999996</v>
      </c>
      <c r="AE41" s="52">
        <v>39.5</v>
      </c>
      <c r="AF41" s="45">
        <v>2.4</v>
      </c>
      <c r="AG41" s="45">
        <v>46.8</v>
      </c>
      <c r="AH41" s="45">
        <v>1</v>
      </c>
      <c r="AI41" s="45">
        <v>10.4</v>
      </c>
      <c r="AJ41" s="261">
        <f t="shared" si="218"/>
        <v>60.599999999999994</v>
      </c>
      <c r="AK41" s="258">
        <f>100-38.8</f>
        <v>61.2</v>
      </c>
      <c r="AL41" s="258">
        <f>100-38</f>
        <v>62</v>
      </c>
      <c r="AM41" s="257">
        <f>100-37.2</f>
        <v>62.8</v>
      </c>
      <c r="AN41" s="258">
        <f>100-36.2</f>
        <v>63.8</v>
      </c>
      <c r="AO41" s="77">
        <v>35.253788564685017</v>
      </c>
      <c r="AP41" s="68">
        <v>2.3795995079705032</v>
      </c>
      <c r="AQ41" s="68">
        <v>50.173271808832801</v>
      </c>
      <c r="AR41" s="68">
        <v>1.0805292439105105</v>
      </c>
      <c r="AS41" s="68">
        <v>11.112810874601163</v>
      </c>
      <c r="AT41" s="261">
        <f t="shared" si="219"/>
        <v>64.746211435314976</v>
      </c>
      <c r="AU41" s="68">
        <v>34.284019234372067</v>
      </c>
      <c r="AV41" s="68">
        <v>2.3524636233060638</v>
      </c>
      <c r="AW41" s="68">
        <v>51.014175982014606</v>
      </c>
      <c r="AX41" s="68">
        <v>1.0656966214950354</v>
      </c>
      <c r="AY41" s="68">
        <v>11.283644538812215</v>
      </c>
      <c r="AZ41" s="261">
        <f t="shared" si="220"/>
        <v>65.715980765627918</v>
      </c>
      <c r="BA41" s="68">
        <v>33.62853413441421</v>
      </c>
      <c r="BB41" s="68">
        <v>2.3926253926816012</v>
      </c>
      <c r="BC41" s="68">
        <v>51.656288838786637</v>
      </c>
      <c r="BD41" s="68">
        <v>1.0998207560721223</v>
      </c>
      <c r="BE41" s="68">
        <v>11.22273087804543</v>
      </c>
      <c r="BF41" s="261">
        <f t="shared" si="221"/>
        <v>66.37146586558579</v>
      </c>
      <c r="BG41" s="68">
        <v>32.755845554778276</v>
      </c>
      <c r="BH41" s="68">
        <v>2.4245819739619767</v>
      </c>
      <c r="BI41" s="68">
        <v>52.45151145586351</v>
      </c>
      <c r="BJ41" s="68">
        <v>1.1864448750410133</v>
      </c>
      <c r="BK41" s="68">
        <v>11.181616140355221</v>
      </c>
      <c r="BL41" s="199">
        <f t="shared" si="222"/>
        <v>67.244154445221724</v>
      </c>
      <c r="BM41" s="68">
        <v>31.865183286211064</v>
      </c>
      <c r="BN41" s="68">
        <v>2.4611931236238971</v>
      </c>
      <c r="BO41" s="68">
        <v>53.327793144476267</v>
      </c>
      <c r="BP41" s="68">
        <v>1.2042244451122655</v>
      </c>
      <c r="BQ41" s="68">
        <v>11.141606000576507</v>
      </c>
      <c r="BR41" s="191">
        <f t="shared" si="223"/>
        <v>68.134816713788936</v>
      </c>
      <c r="BS41" s="77">
        <v>31.096713775944281</v>
      </c>
      <c r="BT41" s="68">
        <v>2.5235801418786994</v>
      </c>
      <c r="BU41" s="68">
        <v>54.02713935083456</v>
      </c>
      <c r="BV41" s="68">
        <v>1.2709711774463057</v>
      </c>
      <c r="BW41" s="68">
        <v>11.081595553896156</v>
      </c>
      <c r="BX41" s="191">
        <f t="shared" si="224"/>
        <v>68.903286224055719</v>
      </c>
      <c r="BY41" s="38">
        <v>328220</v>
      </c>
      <c r="BZ41" s="6">
        <v>100301</v>
      </c>
      <c r="CA41" s="6">
        <v>8567</v>
      </c>
      <c r="CB41" s="6">
        <v>179175</v>
      </c>
      <c r="CC41" s="6">
        <v>4246</v>
      </c>
      <c r="CD41" s="6">
        <v>35931</v>
      </c>
      <c r="CE41" s="189">
        <f t="shared" si="225"/>
        <v>30.559076229358357</v>
      </c>
      <c r="CF41" s="190">
        <f t="shared" si="226"/>
        <v>2.6101395405520686</v>
      </c>
      <c r="CG41" s="190">
        <f t="shared" si="227"/>
        <v>54.589909207239053</v>
      </c>
      <c r="CH41" s="190">
        <f t="shared" si="228"/>
        <v>1.2936445067332887</v>
      </c>
      <c r="CI41" s="190">
        <f t="shared" si="229"/>
        <v>10.947230516117239</v>
      </c>
      <c r="CJ41" s="191">
        <f t="shared" si="230"/>
        <v>69.440923770641646</v>
      </c>
      <c r="CK41" s="38">
        <v>328963</v>
      </c>
      <c r="CL41" s="6">
        <v>97215</v>
      </c>
      <c r="CM41" s="6">
        <v>8606</v>
      </c>
      <c r="CN41" s="6">
        <v>182745</v>
      </c>
      <c r="CO41" s="6">
        <v>4443</v>
      </c>
      <c r="CP41" s="6">
        <v>35954</v>
      </c>
      <c r="CQ41" s="189">
        <f t="shared" si="231"/>
        <v>29.551955691065562</v>
      </c>
      <c r="CR41" s="190">
        <f t="shared" si="232"/>
        <v>2.6160996829430667</v>
      </c>
      <c r="CS41" s="190">
        <f t="shared" si="233"/>
        <v>55.551840176554812</v>
      </c>
      <c r="CT41" s="190">
        <f t="shared" si="234"/>
        <v>1.3506078191164357</v>
      </c>
      <c r="CU41" s="190">
        <f t="shared" si="235"/>
        <v>10.929496630320127</v>
      </c>
      <c r="CV41" s="191">
        <f t="shared" si="236"/>
        <v>70.448044308934442</v>
      </c>
      <c r="CW41" s="38">
        <f t="shared" si="237"/>
        <v>330245</v>
      </c>
      <c r="CX41" s="6">
        <v>95423</v>
      </c>
      <c r="CY41" s="6">
        <v>8675</v>
      </c>
      <c r="CZ41" s="6">
        <v>185184</v>
      </c>
      <c r="DA41" s="6">
        <v>36457</v>
      </c>
      <c r="DB41" s="6">
        <v>4506</v>
      </c>
      <c r="DC41" s="6"/>
      <c r="DD41" s="189">
        <f t="shared" si="238"/>
        <v>28.894608548199063</v>
      </c>
      <c r="DE41" s="190">
        <f t="shared" si="239"/>
        <v>2.626837650834986</v>
      </c>
      <c r="DF41" s="190">
        <f t="shared" si="240"/>
        <v>56.074732395645654</v>
      </c>
      <c r="DG41" s="190">
        <f t="shared" si="241"/>
        <v>1.3644415509697345</v>
      </c>
      <c r="DH41" s="190">
        <f t="shared" si="242"/>
        <v>11.039379854350557</v>
      </c>
      <c r="DI41" s="190"/>
      <c r="DJ41" s="191">
        <f t="shared" si="20"/>
        <v>71.105391451800926</v>
      </c>
      <c r="DK41" s="382">
        <v>334419</v>
      </c>
      <c r="DL41" s="6">
        <v>85425</v>
      </c>
      <c r="DM41" s="6">
        <v>7026</v>
      </c>
      <c r="DN41" s="6">
        <v>200223</v>
      </c>
      <c r="DO41" s="6">
        <v>34907</v>
      </c>
      <c r="DP41" s="6">
        <v>4214</v>
      </c>
      <c r="DQ41" s="6">
        <v>2624</v>
      </c>
      <c r="DR41" s="189">
        <f t="shared" si="243"/>
        <v>25.544302207709492</v>
      </c>
      <c r="DS41" s="190">
        <f t="shared" si="244"/>
        <v>2.1009571824567383</v>
      </c>
      <c r="DT41" s="190">
        <f t="shared" si="245"/>
        <v>59.871897230719554</v>
      </c>
      <c r="DU41" s="190">
        <f t="shared" si="246"/>
        <v>1.2600958677587097</v>
      </c>
      <c r="DV41" s="190">
        <f t="shared" si="247"/>
        <v>10.438103098209133</v>
      </c>
      <c r="DW41" s="190"/>
      <c r="DX41" s="191">
        <f t="shared" si="248"/>
        <v>73.671053379144126</v>
      </c>
      <c r="DY41" s="382">
        <v>338122</v>
      </c>
      <c r="DZ41" s="6">
        <v>88009</v>
      </c>
      <c r="EA41" s="6">
        <v>7151</v>
      </c>
      <c r="EB41" s="6">
        <v>200774</v>
      </c>
      <c r="EC41" s="6">
        <v>34530</v>
      </c>
      <c r="ED41" s="6">
        <v>4397</v>
      </c>
      <c r="EE41" s="6">
        <v>3261</v>
      </c>
      <c r="EF41" s="189">
        <f t="shared" si="249"/>
        <v>26.028770680405302</v>
      </c>
      <c r="EG41" s="190">
        <f t="shared" si="250"/>
        <v>2.1149171009280674</v>
      </c>
      <c r="EH41" s="190">
        <f t="shared" si="251"/>
        <v>59.379159001780422</v>
      </c>
      <c r="EI41" s="190">
        <f t="shared" si="252"/>
        <v>1.3004181922501346</v>
      </c>
      <c r="EJ41" s="190">
        <f t="shared" si="253"/>
        <v>10.212290238434647</v>
      </c>
      <c r="EK41" s="190"/>
      <c r="EL41" s="191">
        <f t="shared" si="254"/>
        <v>73.006784533393272</v>
      </c>
      <c r="EM41" s="11">
        <v>337225</v>
      </c>
      <c r="EN41" s="444">
        <f t="shared" si="200"/>
        <v>87381</v>
      </c>
      <c r="EO41" s="444">
        <f t="shared" si="201"/>
        <v>6816</v>
      </c>
      <c r="EP41" s="444">
        <f t="shared" si="202"/>
        <v>200483</v>
      </c>
      <c r="EQ41" s="444">
        <f t="shared" si="203"/>
        <v>4110</v>
      </c>
      <c r="ER41" s="444">
        <f t="shared" si="204"/>
        <v>276</v>
      </c>
      <c r="ES41" s="444">
        <f t="shared" si="205"/>
        <v>34286.999999999993</v>
      </c>
      <c r="ET41" s="444">
        <f t="shared" si="206"/>
        <v>3872</v>
      </c>
      <c r="EU41" s="148">
        <v>25.91177996886352</v>
      </c>
      <c r="EV41" s="148">
        <v>2.0212024612647341</v>
      </c>
      <c r="EW41" s="148">
        <v>59.450811772555411</v>
      </c>
      <c r="EX41" s="148">
        <v>1.218770850322485</v>
      </c>
      <c r="EY41" s="148">
        <v>8.1844465861071983E-2</v>
      </c>
      <c r="EZ41" s="148">
        <v>10.167395655719474</v>
      </c>
      <c r="FA41" s="148">
        <v>1.1481948254132996</v>
      </c>
      <c r="FB41" s="191">
        <f t="shared" si="255"/>
        <v>74.088220031136473</v>
      </c>
      <c r="FC41">
        <v>338220</v>
      </c>
      <c r="FD41">
        <v>86359</v>
      </c>
      <c r="FE41" s="11">
        <v>6626</v>
      </c>
      <c r="FF41">
        <v>202620</v>
      </c>
      <c r="FG41">
        <v>4047</v>
      </c>
      <c r="FH41">
        <v>341</v>
      </c>
      <c r="FI41" s="11">
        <v>33867</v>
      </c>
      <c r="FJ41">
        <v>4360</v>
      </c>
      <c r="FK41" s="189">
        <f t="shared" si="256"/>
        <v>25.533380639820237</v>
      </c>
      <c r="FL41" s="190">
        <f t="shared" si="257"/>
        <v>1.9590798888297556</v>
      </c>
      <c r="FM41" s="190">
        <f t="shared" si="258"/>
        <v>59.907752350541067</v>
      </c>
      <c r="FN41" s="190">
        <f t="shared" si="259"/>
        <v>1.1965584530778783</v>
      </c>
      <c r="FO41" s="190">
        <f t="shared" si="260"/>
        <v>0.10082195020992253</v>
      </c>
      <c r="FP41" s="190">
        <f t="shared" si="261"/>
        <v>10.013304949441192</v>
      </c>
      <c r="FQ41" s="190">
        <f t="shared" si="262"/>
        <v>1.2891017680799481</v>
      </c>
      <c r="FR41" s="199">
        <f t="shared" si="37"/>
        <v>74.466619360179749</v>
      </c>
      <c r="FS41" s="474">
        <v>339244</v>
      </c>
      <c r="FT41" s="474">
        <v>83482</v>
      </c>
      <c r="FU41" s="474">
        <v>6401</v>
      </c>
      <c r="FV41" s="474">
        <v>205964</v>
      </c>
      <c r="FW41" s="474">
        <v>3933</v>
      </c>
      <c r="FX41" s="474">
        <v>399</v>
      </c>
      <c r="FY41" s="474">
        <v>34185</v>
      </c>
      <c r="FZ41" s="480">
        <v>4880</v>
      </c>
      <c r="GA41" s="189">
        <f t="shared" si="39"/>
        <v>24.608246571789035</v>
      </c>
      <c r="GB41" s="190">
        <f t="shared" si="40"/>
        <v>1.8868425086368514</v>
      </c>
      <c r="GC41" s="190">
        <f t="shared" si="41"/>
        <v>60.712643407105219</v>
      </c>
      <c r="GD41" s="190">
        <f t="shared" si="42"/>
        <v>1.1593425381141598</v>
      </c>
      <c r="GE41" s="190">
        <f t="shared" si="43"/>
        <v>0.11761446038839302</v>
      </c>
      <c r="GF41" s="190">
        <f t="shared" si="44"/>
        <v>10.076817865607056</v>
      </c>
      <c r="GG41" s="190">
        <f t="shared" si="45"/>
        <v>1.438492648359293</v>
      </c>
      <c r="GH41" s="199">
        <f t="shared" si="46"/>
        <v>75.391753428210976</v>
      </c>
      <c r="GI41" s="474">
        <v>340365</v>
      </c>
      <c r="GJ41" s="474">
        <v>81850</v>
      </c>
      <c r="GK41" s="474">
        <v>6487</v>
      </c>
      <c r="GL41" s="474">
        <v>207948</v>
      </c>
      <c r="GM41" s="474">
        <v>3899</v>
      </c>
      <c r="GN41" s="474">
        <v>454</v>
      </c>
      <c r="GO41" s="474">
        <v>34629</v>
      </c>
      <c r="GP41" s="480">
        <v>5098</v>
      </c>
      <c r="GQ41" s="189">
        <f t="shared" si="263"/>
        <v>24.047713484053883</v>
      </c>
      <c r="GR41" s="190">
        <f t="shared" si="264"/>
        <v>1.9058951419799333</v>
      </c>
      <c r="GS41" s="190">
        <f t="shared" si="265"/>
        <v>61.095588559340705</v>
      </c>
      <c r="GT41" s="190">
        <f t="shared" si="266"/>
        <v>1.1455349404315953</v>
      </c>
      <c r="GU41" s="190">
        <f t="shared" si="267"/>
        <v>0.13338621773684134</v>
      </c>
      <c r="GV41" s="190">
        <f t="shared" si="268"/>
        <v>10.174077828213829</v>
      </c>
      <c r="GW41" s="190">
        <f t="shared" si="269"/>
        <v>1.4978038282432093</v>
      </c>
      <c r="GX41" s="199">
        <f t="shared" si="55"/>
        <v>75.952286515946099</v>
      </c>
    </row>
    <row r="42" spans="1:206" s="11" customFormat="1">
      <c r="A42" s="113" t="s">
        <v>154</v>
      </c>
      <c r="C42" s="1"/>
      <c r="D42" s="1"/>
      <c r="E42" s="1"/>
      <c r="F42" s="1"/>
      <c r="G42" s="1"/>
      <c r="H42" s="52">
        <v>89.838215613985</v>
      </c>
      <c r="I42" s="45">
        <v>2.1847269546837702</v>
      </c>
      <c r="J42" s="45">
        <v>3.8912475274786456</v>
      </c>
      <c r="K42" s="45">
        <v>2.4309161843098908</v>
      </c>
      <c r="L42" s="43">
        <v>1.6548937195426874</v>
      </c>
      <c r="M42" s="264">
        <f t="shared" si="215"/>
        <v>10.161784386014993</v>
      </c>
      <c r="N42" s="66"/>
      <c r="O42" s="1"/>
      <c r="P42" s="1"/>
      <c r="Q42" s="1"/>
      <c r="R42" s="134">
        <v>12.520730335096303</v>
      </c>
      <c r="S42" s="52">
        <v>86.676629030353595</v>
      </c>
      <c r="T42" s="45">
        <v>2.4447795343111163</v>
      </c>
      <c r="U42" s="45">
        <v>5.8543081738484082</v>
      </c>
      <c r="V42" s="45">
        <v>3.1236268681851529</v>
      </c>
      <c r="W42" s="45">
        <v>1.90065639330173</v>
      </c>
      <c r="X42" s="261">
        <f t="shared" si="216"/>
        <v>13.323370969646408</v>
      </c>
      <c r="Y42" s="52">
        <v>86</v>
      </c>
      <c r="Z42" s="45">
        <v>2.5</v>
      </c>
      <c r="AA42" s="45">
        <v>6.3</v>
      </c>
      <c r="AB42" s="45">
        <v>3.2</v>
      </c>
      <c r="AC42" s="45">
        <v>1.9</v>
      </c>
      <c r="AD42" s="261">
        <f t="shared" si="217"/>
        <v>13.9</v>
      </c>
      <c r="AE42" s="52">
        <v>85.3</v>
      </c>
      <c r="AF42" s="45">
        <v>2.6</v>
      </c>
      <c r="AG42" s="45">
        <v>6.8</v>
      </c>
      <c r="AH42" s="45">
        <v>3.4</v>
      </c>
      <c r="AI42" s="45">
        <v>2</v>
      </c>
      <c r="AJ42" s="261">
        <f t="shared" si="218"/>
        <v>14.8</v>
      </c>
      <c r="AK42" s="258">
        <f>100-84.6</f>
        <v>15.400000000000006</v>
      </c>
      <c r="AL42" s="258">
        <f>100-83.7</f>
        <v>16.299999999999997</v>
      </c>
      <c r="AM42" s="258">
        <f>100-82.9</f>
        <v>17.099999999999994</v>
      </c>
      <c r="AN42" s="258">
        <f>100-81.9</f>
        <v>18.099999999999994</v>
      </c>
      <c r="AO42" s="77">
        <v>80.4350012478628</v>
      </c>
      <c r="AP42" s="68">
        <v>2.9036091172208791</v>
      </c>
      <c r="AQ42" s="68">
        <v>10.514268473025677</v>
      </c>
      <c r="AR42" s="68">
        <v>4.0194219601503391</v>
      </c>
      <c r="AS42" s="68">
        <v>2.1276992017403029</v>
      </c>
      <c r="AT42" s="261">
        <f t="shared" si="219"/>
        <v>19.564998752137196</v>
      </c>
      <c r="AU42" s="68">
        <v>79.142328309415646</v>
      </c>
      <c r="AV42" s="68">
        <v>2.9697880783191235</v>
      </c>
      <c r="AW42" s="68">
        <v>11.536704923883116</v>
      </c>
      <c r="AX42" s="68">
        <v>4.1864748073733438</v>
      </c>
      <c r="AY42" s="68">
        <v>2.1647038810087773</v>
      </c>
      <c r="AZ42" s="261">
        <f t="shared" si="220"/>
        <v>20.857671690584361</v>
      </c>
      <c r="BA42" s="68">
        <v>78.052187021969985</v>
      </c>
      <c r="BB42" s="68">
        <v>3.041287013841163</v>
      </c>
      <c r="BC42" s="68">
        <v>12.487160159916051</v>
      </c>
      <c r="BD42" s="68">
        <v>4.2014912689087431</v>
      </c>
      <c r="BE42" s="68">
        <v>2.2178745353640603</v>
      </c>
      <c r="BF42" s="261">
        <f t="shared" si="221"/>
        <v>21.947812978030019</v>
      </c>
      <c r="BG42" s="68">
        <v>76.556204366052498</v>
      </c>
      <c r="BH42" s="68">
        <v>3.0536456260815652</v>
      </c>
      <c r="BI42" s="68">
        <v>13.612311564764346</v>
      </c>
      <c r="BJ42" s="68">
        <v>4.4384190410971582</v>
      </c>
      <c r="BK42" s="68">
        <v>2.3394194020044234</v>
      </c>
      <c r="BL42" s="199">
        <f t="shared" si="222"/>
        <v>23.443795633947495</v>
      </c>
      <c r="BM42" s="68">
        <v>75.386921118924661</v>
      </c>
      <c r="BN42" s="68">
        <v>3.26737557655983</v>
      </c>
      <c r="BO42" s="68">
        <v>14.483820685437959</v>
      </c>
      <c r="BP42" s="68">
        <v>4.5618332867521136</v>
      </c>
      <c r="BQ42" s="68">
        <v>2.3000493323254281</v>
      </c>
      <c r="BR42" s="191">
        <f t="shared" si="223"/>
        <v>24.613078881075332</v>
      </c>
      <c r="BS42" s="77">
        <v>73.630350888933506</v>
      </c>
      <c r="BT42" s="68">
        <v>3.1677782982741829</v>
      </c>
      <c r="BU42" s="68">
        <v>15.886479734100694</v>
      </c>
      <c r="BV42" s="68">
        <v>4.9014031095942361</v>
      </c>
      <c r="BW42" s="68">
        <v>2.4139879690973847</v>
      </c>
      <c r="BX42" s="191">
        <f t="shared" si="224"/>
        <v>26.369649111066501</v>
      </c>
      <c r="BY42" s="38">
        <v>540866</v>
      </c>
      <c r="BZ42" s="6">
        <v>395915</v>
      </c>
      <c r="CA42" s="6">
        <v>16809</v>
      </c>
      <c r="CB42" s="6">
        <v>90317</v>
      </c>
      <c r="CC42" s="6">
        <v>25843</v>
      </c>
      <c r="CD42" s="6">
        <v>11982</v>
      </c>
      <c r="CE42" s="189">
        <f t="shared" si="225"/>
        <v>73.200201158882237</v>
      </c>
      <c r="CF42" s="190">
        <f t="shared" si="226"/>
        <v>3.107793797354613</v>
      </c>
      <c r="CG42" s="190">
        <f t="shared" si="227"/>
        <v>16.698590778492271</v>
      </c>
      <c r="CH42" s="190">
        <f t="shared" si="228"/>
        <v>4.7780781191644515</v>
      </c>
      <c r="CI42" s="190">
        <f t="shared" si="229"/>
        <v>2.2153361461064294</v>
      </c>
      <c r="CJ42" s="191">
        <f t="shared" si="230"/>
        <v>26.799798841117767</v>
      </c>
      <c r="CK42" s="38">
        <v>541326</v>
      </c>
      <c r="CL42" s="6">
        <v>391047</v>
      </c>
      <c r="CM42" s="6">
        <v>16797</v>
      </c>
      <c r="CN42" s="6">
        <v>95085</v>
      </c>
      <c r="CO42" s="6">
        <v>26471</v>
      </c>
      <c r="CP42" s="6">
        <v>11926</v>
      </c>
      <c r="CQ42" s="189">
        <f t="shared" si="231"/>
        <v>72.238724908834968</v>
      </c>
      <c r="CR42" s="190">
        <f t="shared" si="232"/>
        <v>3.1029361235189148</v>
      </c>
      <c r="CS42" s="190">
        <f t="shared" si="233"/>
        <v>17.565201006417574</v>
      </c>
      <c r="CT42" s="190">
        <f t="shared" si="234"/>
        <v>4.8900292984264562</v>
      </c>
      <c r="CU42" s="190">
        <f t="shared" si="235"/>
        <v>2.2031086628020824</v>
      </c>
      <c r="CV42" s="191">
        <f t="shared" si="236"/>
        <v>27.761275091165029</v>
      </c>
      <c r="CW42" s="38">
        <f t="shared" si="237"/>
        <v>537242</v>
      </c>
      <c r="CX42" s="6">
        <v>385444</v>
      </c>
      <c r="CY42" s="6">
        <v>16485</v>
      </c>
      <c r="CZ42" s="6">
        <v>97214</v>
      </c>
      <c r="DA42" s="6">
        <v>11341</v>
      </c>
      <c r="DB42" s="6">
        <v>26758</v>
      </c>
      <c r="DC42" s="6"/>
      <c r="DD42" s="189">
        <f t="shared" si="238"/>
        <v>71.744949203524669</v>
      </c>
      <c r="DE42" s="190">
        <f t="shared" si="239"/>
        <v>3.0684495999940435</v>
      </c>
      <c r="DF42" s="190">
        <f t="shared" si="240"/>
        <v>18.095011186764996</v>
      </c>
      <c r="DG42" s="190">
        <f t="shared" si="241"/>
        <v>4.9806232573030407</v>
      </c>
      <c r="DH42" s="190">
        <f t="shared" si="242"/>
        <v>2.1109667524132512</v>
      </c>
      <c r="DI42" s="190"/>
      <c r="DJ42" s="191">
        <f t="shared" si="20"/>
        <v>28.255050796475331</v>
      </c>
      <c r="DK42" s="382">
        <v>541140</v>
      </c>
      <c r="DL42" s="6">
        <v>379036</v>
      </c>
      <c r="DM42" s="6">
        <v>15485</v>
      </c>
      <c r="DN42" s="6">
        <v>109842</v>
      </c>
      <c r="DO42" s="6">
        <v>10850</v>
      </c>
      <c r="DP42" s="6">
        <v>25927</v>
      </c>
      <c r="DQ42" s="6"/>
      <c r="DR42" s="189">
        <f t="shared" si="243"/>
        <v>70.043981224821678</v>
      </c>
      <c r="DS42" s="190">
        <f t="shared" si="244"/>
        <v>2.8615515393428685</v>
      </c>
      <c r="DT42" s="190">
        <f t="shared" si="245"/>
        <v>20.298259230513359</v>
      </c>
      <c r="DU42" s="190">
        <f t="shared" si="246"/>
        <v>4.7911815796281925</v>
      </c>
      <c r="DV42" s="190">
        <f t="shared" si="247"/>
        <v>2.0050264256939054</v>
      </c>
      <c r="DW42" s="190"/>
      <c r="DX42" s="191">
        <f t="shared" si="248"/>
        <v>29.956018775178329</v>
      </c>
      <c r="DY42" s="382">
        <v>561328</v>
      </c>
      <c r="DZ42" s="6">
        <v>372194</v>
      </c>
      <c r="EA42" s="6">
        <v>14599</v>
      </c>
      <c r="EB42" s="6">
        <v>115102</v>
      </c>
      <c r="EC42" s="6">
        <v>10406</v>
      </c>
      <c r="ED42" s="6">
        <v>25233</v>
      </c>
      <c r="EE42" s="6">
        <v>23794</v>
      </c>
      <c r="EF42" s="189">
        <f t="shared" si="249"/>
        <v>66.305974403557272</v>
      </c>
      <c r="EG42" s="190">
        <f t="shared" si="250"/>
        <v>2.6007966821537498</v>
      </c>
      <c r="EH42" s="190">
        <f t="shared" si="251"/>
        <v>20.50530171308041</v>
      </c>
      <c r="EI42" s="190">
        <f t="shared" si="252"/>
        <v>4.4952327338026965</v>
      </c>
      <c r="EJ42" s="190">
        <f t="shared" si="253"/>
        <v>1.8538180885329076</v>
      </c>
      <c r="EK42" s="190"/>
      <c r="EL42" s="191">
        <f t="shared" si="254"/>
        <v>29.455149217569765</v>
      </c>
      <c r="EM42" s="11">
        <v>568208</v>
      </c>
      <c r="EN42" s="444">
        <f t="shared" si="200"/>
        <v>371294</v>
      </c>
      <c r="EO42" s="444">
        <f t="shared" si="201"/>
        <v>14404.000000000002</v>
      </c>
      <c r="EP42" s="444">
        <f t="shared" si="202"/>
        <v>119790</v>
      </c>
      <c r="EQ42" s="444">
        <f t="shared" si="203"/>
        <v>22274</v>
      </c>
      <c r="ER42" s="444">
        <f t="shared" si="204"/>
        <v>3690</v>
      </c>
      <c r="ES42" s="444">
        <f t="shared" si="205"/>
        <v>10247.000000000002</v>
      </c>
      <c r="ET42" s="444">
        <f t="shared" si="206"/>
        <v>26509</v>
      </c>
      <c r="EU42" s="148">
        <v>65.344732914707294</v>
      </c>
      <c r="EV42" s="148">
        <v>2.5349871877903869</v>
      </c>
      <c r="EW42" s="148">
        <v>21.082068538281757</v>
      </c>
      <c r="EX42" s="148">
        <v>3.9200433644017685</v>
      </c>
      <c r="EY42" s="148">
        <v>0.6494100751837355</v>
      </c>
      <c r="EZ42" s="148">
        <v>1.8033888998394956</v>
      </c>
      <c r="FA42" s="148">
        <v>4.665369019795568</v>
      </c>
      <c r="FB42" s="191">
        <f t="shared" si="255"/>
        <v>34.655267085292714</v>
      </c>
      <c r="FC42">
        <v>587564</v>
      </c>
      <c r="FD42">
        <v>378737</v>
      </c>
      <c r="FE42" s="11">
        <v>14630</v>
      </c>
      <c r="FF42">
        <v>129076</v>
      </c>
      <c r="FG42">
        <v>22827</v>
      </c>
      <c r="FH42">
        <v>3866</v>
      </c>
      <c r="FI42" s="11">
        <v>9917</v>
      </c>
      <c r="FJ42">
        <v>28511</v>
      </c>
      <c r="FK42" s="189">
        <f t="shared" si="256"/>
        <v>64.458850440122276</v>
      </c>
      <c r="FL42" s="190">
        <f t="shared" si="257"/>
        <v>2.4899415212640665</v>
      </c>
      <c r="FM42" s="190">
        <f t="shared" si="258"/>
        <v>21.967989870039688</v>
      </c>
      <c r="FN42" s="190">
        <f t="shared" si="259"/>
        <v>3.8850235889196756</v>
      </c>
      <c r="FO42" s="190">
        <f t="shared" si="260"/>
        <v>0.65797087636410667</v>
      </c>
      <c r="FP42" s="190">
        <f t="shared" si="261"/>
        <v>1.6878161357741455</v>
      </c>
      <c r="FQ42" s="190">
        <f t="shared" si="262"/>
        <v>4.8524075675160487</v>
      </c>
      <c r="FR42" s="199">
        <f t="shared" si="37"/>
        <v>35.541149559877731</v>
      </c>
      <c r="FS42" s="474">
        <v>593000</v>
      </c>
      <c r="FT42" s="474">
        <v>378322</v>
      </c>
      <c r="FU42" s="474">
        <v>14745</v>
      </c>
      <c r="FV42" s="474">
        <v>133098</v>
      </c>
      <c r="FW42" s="474">
        <v>22919</v>
      </c>
      <c r="FX42" s="474">
        <v>4031</v>
      </c>
      <c r="FY42" s="474">
        <v>9586</v>
      </c>
      <c r="FZ42" s="480">
        <v>30299</v>
      </c>
      <c r="GA42" s="189">
        <f t="shared" si="39"/>
        <v>63.797976391231025</v>
      </c>
      <c r="GB42" s="190">
        <f t="shared" si="40"/>
        <v>2.4865092748735247</v>
      </c>
      <c r="GC42" s="190">
        <f t="shared" si="41"/>
        <v>22.444856661045531</v>
      </c>
      <c r="GD42" s="190">
        <f t="shared" si="42"/>
        <v>3.8649241146711635</v>
      </c>
      <c r="GE42" s="190">
        <f t="shared" si="43"/>
        <v>0.67976391231028666</v>
      </c>
      <c r="GF42" s="190">
        <f t="shared" si="44"/>
        <v>1.6165261382799327</v>
      </c>
      <c r="GG42" s="190">
        <f t="shared" si="45"/>
        <v>5.1094435075885327</v>
      </c>
      <c r="GH42" s="199">
        <f t="shared" si="46"/>
        <v>36.202023608768968</v>
      </c>
      <c r="GI42" s="474">
        <v>601318</v>
      </c>
      <c r="GJ42" s="474">
        <v>380709</v>
      </c>
      <c r="GK42" s="474">
        <v>14971</v>
      </c>
      <c r="GL42" s="474">
        <v>137321</v>
      </c>
      <c r="GM42" s="474">
        <v>23195</v>
      </c>
      <c r="GN42" s="474">
        <v>4153</v>
      </c>
      <c r="GO42" s="474">
        <v>9302</v>
      </c>
      <c r="GP42" s="480">
        <v>31667</v>
      </c>
      <c r="GQ42" s="189">
        <f t="shared" si="263"/>
        <v>63.312423709252009</v>
      </c>
      <c r="GR42" s="190">
        <f t="shared" si="264"/>
        <v>2.4896976308708534</v>
      </c>
      <c r="GS42" s="190">
        <f t="shared" si="265"/>
        <v>22.836668784237293</v>
      </c>
      <c r="GT42" s="190">
        <f t="shared" si="266"/>
        <v>3.857359999201754</v>
      </c>
      <c r="GU42" s="190">
        <f t="shared" si="267"/>
        <v>0.69064953984414235</v>
      </c>
      <c r="GV42" s="190">
        <f t="shared" si="268"/>
        <v>1.5469352322731067</v>
      </c>
      <c r="GW42" s="190">
        <f t="shared" si="269"/>
        <v>5.2662651043208424</v>
      </c>
      <c r="GX42" s="199">
        <f t="shared" si="55"/>
        <v>36.687576290747991</v>
      </c>
    </row>
    <row r="43" spans="1:206" s="11" customFormat="1">
      <c r="A43" s="113" t="s">
        <v>158</v>
      </c>
      <c r="C43" s="1"/>
      <c r="D43" s="1"/>
      <c r="E43" s="1"/>
      <c r="F43" s="1"/>
      <c r="G43" s="1"/>
      <c r="H43" s="52">
        <v>93.660917012398812</v>
      </c>
      <c r="I43" s="45">
        <v>0.44192294433019103</v>
      </c>
      <c r="J43" s="45">
        <v>2.9778533303217984</v>
      </c>
      <c r="K43" s="45">
        <v>1.4630710524125961</v>
      </c>
      <c r="L43" s="43">
        <v>1.456235660536608</v>
      </c>
      <c r="M43" s="264">
        <f t="shared" si="215"/>
        <v>6.3390829876011932</v>
      </c>
      <c r="N43" s="66"/>
      <c r="O43" s="1"/>
      <c r="P43" s="1"/>
      <c r="Q43" s="1"/>
      <c r="R43" s="134">
        <v>8.2471382068251842</v>
      </c>
      <c r="S43" s="52">
        <v>91.455473837073114</v>
      </c>
      <c r="T43" s="45">
        <v>0.62027025300553196</v>
      </c>
      <c r="U43" s="45">
        <v>4.4862595127269316</v>
      </c>
      <c r="V43" s="45">
        <v>2.0354148123858153</v>
      </c>
      <c r="W43" s="45">
        <v>1.4025815848085956</v>
      </c>
      <c r="X43" s="261">
        <f t="shared" si="216"/>
        <v>8.5445261629268749</v>
      </c>
      <c r="Y43" s="52">
        <v>91</v>
      </c>
      <c r="Z43" s="45">
        <v>0.7</v>
      </c>
      <c r="AA43" s="45">
        <v>4.8</v>
      </c>
      <c r="AB43" s="45">
        <v>2.1</v>
      </c>
      <c r="AC43" s="45">
        <v>1.4</v>
      </c>
      <c r="AD43" s="261">
        <f t="shared" si="217"/>
        <v>9</v>
      </c>
      <c r="AE43" s="52">
        <v>90.4</v>
      </c>
      <c r="AF43" s="45">
        <v>0.7</v>
      </c>
      <c r="AG43" s="45">
        <v>5.3</v>
      </c>
      <c r="AH43" s="45">
        <v>2.2000000000000002</v>
      </c>
      <c r="AI43" s="45">
        <v>1.4</v>
      </c>
      <c r="AJ43" s="261">
        <f t="shared" si="218"/>
        <v>9.6</v>
      </c>
      <c r="AK43" s="258">
        <f>100-89.5</f>
        <v>10.5</v>
      </c>
      <c r="AL43" s="258">
        <f>100-88.7</f>
        <v>11.299999999999997</v>
      </c>
      <c r="AM43" s="258">
        <f>100-87.9</f>
        <v>12.099999999999994</v>
      </c>
      <c r="AN43" s="258">
        <f>100-86.9</f>
        <v>13.099999999999994</v>
      </c>
      <c r="AO43" s="77">
        <v>85.918216233691737</v>
      </c>
      <c r="AP43" s="68">
        <v>0.96509432978401666</v>
      </c>
      <c r="AQ43" s="68">
        <v>8.8283083212531412</v>
      </c>
      <c r="AR43" s="68">
        <v>2.7365544860095738</v>
      </c>
      <c r="AS43" s="68">
        <v>1.5518266292615266</v>
      </c>
      <c r="AT43" s="261">
        <f t="shared" si="219"/>
        <v>14.081783766308259</v>
      </c>
      <c r="AU43" s="68">
        <v>84.737051685968183</v>
      </c>
      <c r="AV43" s="68">
        <v>1.01799755300953</v>
      </c>
      <c r="AW43" s="68">
        <v>9.8911233666957585</v>
      </c>
      <c r="AX43" s="68">
        <v>2.815483301250111</v>
      </c>
      <c r="AY43" s="68">
        <v>1.5383440930764201</v>
      </c>
      <c r="AZ43" s="261">
        <f t="shared" si="220"/>
        <v>15.262948314031819</v>
      </c>
      <c r="BA43" s="68">
        <v>84.141189845257955</v>
      </c>
      <c r="BB43" s="68">
        <v>1.0658962279582556</v>
      </c>
      <c r="BC43" s="68">
        <v>10.400513625805608</v>
      </c>
      <c r="BD43" s="68">
        <v>2.8633820787123367</v>
      </c>
      <c r="BE43" s="68">
        <v>1.5290182222658422</v>
      </c>
      <c r="BF43" s="261">
        <f t="shared" si="221"/>
        <v>15.858810154742043</v>
      </c>
      <c r="BG43" s="68">
        <v>83.443311095257243</v>
      </c>
      <c r="BH43" s="68">
        <v>1.1109606565925016</v>
      </c>
      <c r="BI43" s="68">
        <v>11.001683518695545</v>
      </c>
      <c r="BJ43" s="68">
        <v>2.8957329975727419</v>
      </c>
      <c r="BK43" s="68">
        <v>1.5483117318819637</v>
      </c>
      <c r="BL43" s="199">
        <f t="shared" si="222"/>
        <v>16.556688904742753</v>
      </c>
      <c r="BM43" s="68">
        <v>82.674786786203882</v>
      </c>
      <c r="BN43" s="68">
        <v>1.2085148026382302</v>
      </c>
      <c r="BO43" s="68">
        <v>11.580066885845191</v>
      </c>
      <c r="BP43" s="68">
        <v>2.977511959787615</v>
      </c>
      <c r="BQ43" s="68">
        <v>1.559119565525078</v>
      </c>
      <c r="BR43" s="191">
        <f t="shared" si="223"/>
        <v>17.325213213796115</v>
      </c>
      <c r="BS43" s="77">
        <v>81.786218810131857</v>
      </c>
      <c r="BT43" s="68">
        <v>1.290289577340642</v>
      </c>
      <c r="BU43" s="68">
        <v>12.340779682759544</v>
      </c>
      <c r="BV43" s="68">
        <v>3.0539607836964691</v>
      </c>
      <c r="BW43" s="68">
        <v>1.5287511460714835</v>
      </c>
      <c r="BX43" s="191">
        <f t="shared" si="224"/>
        <v>18.213781189868136</v>
      </c>
      <c r="BY43" s="38">
        <v>523586</v>
      </c>
      <c r="BZ43" s="6">
        <v>423285</v>
      </c>
      <c r="CA43" s="6">
        <v>7107</v>
      </c>
      <c r="CB43" s="6">
        <v>69025</v>
      </c>
      <c r="CC43" s="6">
        <v>16220</v>
      </c>
      <c r="CD43" s="6">
        <v>7949</v>
      </c>
      <c r="CE43" s="189">
        <f t="shared" si="225"/>
        <v>80.843452651522384</v>
      </c>
      <c r="CF43" s="190">
        <f t="shared" si="226"/>
        <v>1.3573701359471033</v>
      </c>
      <c r="CG43" s="190">
        <f t="shared" si="227"/>
        <v>13.18312559923298</v>
      </c>
      <c r="CH43" s="190">
        <f t="shared" si="228"/>
        <v>3.0978673990519225</v>
      </c>
      <c r="CI43" s="190">
        <f t="shared" si="229"/>
        <v>1.5181842142456061</v>
      </c>
      <c r="CJ43" s="191">
        <f t="shared" si="230"/>
        <v>19.156547348477613</v>
      </c>
      <c r="CK43" s="38">
        <v>573515</v>
      </c>
      <c r="CL43" s="6">
        <v>452282</v>
      </c>
      <c r="CM43" s="6">
        <v>8798</v>
      </c>
      <c r="CN43" s="6">
        <v>84579</v>
      </c>
      <c r="CO43" s="6">
        <v>18809</v>
      </c>
      <c r="CP43" s="6">
        <v>9047</v>
      </c>
      <c r="CQ43" s="189">
        <f t="shared" si="231"/>
        <v>78.861407286644635</v>
      </c>
      <c r="CR43" s="190">
        <f t="shared" si="232"/>
        <v>1.5340488043032876</v>
      </c>
      <c r="CS43" s="190">
        <f t="shared" si="233"/>
        <v>14.747478269966784</v>
      </c>
      <c r="CT43" s="190">
        <f t="shared" si="234"/>
        <v>3.279600359188513</v>
      </c>
      <c r="CU43" s="190">
        <f t="shared" si="235"/>
        <v>1.577465279896777</v>
      </c>
      <c r="CV43" s="191">
        <f t="shared" si="236"/>
        <v>21.138592713355365</v>
      </c>
      <c r="CW43" s="38">
        <f t="shared" si="237"/>
        <v>556815</v>
      </c>
      <c r="CX43" s="6">
        <v>441938</v>
      </c>
      <c r="CY43" s="6">
        <v>8056</v>
      </c>
      <c r="CZ43" s="6">
        <v>80801</v>
      </c>
      <c r="DA43" s="6">
        <v>7755</v>
      </c>
      <c r="DB43" s="6">
        <v>18265</v>
      </c>
      <c r="DC43" s="6"/>
      <c r="DD43" s="189">
        <f t="shared" si="238"/>
        <v>79.368910679489602</v>
      </c>
      <c r="DE43" s="190">
        <f t="shared" si="239"/>
        <v>1.4468001041638605</v>
      </c>
      <c r="DF43" s="190">
        <f t="shared" si="240"/>
        <v>14.511282921616694</v>
      </c>
      <c r="DG43" s="190">
        <f t="shared" si="241"/>
        <v>3.2802636423228537</v>
      </c>
      <c r="DH43" s="190">
        <f t="shared" si="242"/>
        <v>1.3927426524069932</v>
      </c>
      <c r="DI43" s="190"/>
      <c r="DJ43" s="191">
        <f t="shared" si="20"/>
        <v>20.631089320510402</v>
      </c>
      <c r="DK43" s="382">
        <v>519459</v>
      </c>
      <c r="DL43" s="6">
        <v>410976</v>
      </c>
      <c r="DM43" s="6">
        <v>7752</v>
      </c>
      <c r="DN43" s="6">
        <v>75988</v>
      </c>
      <c r="DO43" s="6">
        <v>7476</v>
      </c>
      <c r="DP43" s="6">
        <v>17267</v>
      </c>
      <c r="DQ43" s="6"/>
      <c r="DR43" s="189">
        <f t="shared" si="243"/>
        <v>79.116157386819751</v>
      </c>
      <c r="DS43" s="190">
        <f t="shared" si="244"/>
        <v>1.4923218194313699</v>
      </c>
      <c r="DT43" s="190">
        <f t="shared" si="245"/>
        <v>14.628295977160855</v>
      </c>
      <c r="DU43" s="190">
        <f t="shared" si="246"/>
        <v>3.324035198158084</v>
      </c>
      <c r="DV43" s="190">
        <f t="shared" si="247"/>
        <v>1.4391896184299435</v>
      </c>
      <c r="DW43" s="190"/>
      <c r="DX43" s="191">
        <f t="shared" si="248"/>
        <v>20.883842613180249</v>
      </c>
      <c r="DY43" s="382">
        <v>585552</v>
      </c>
      <c r="DZ43" s="6">
        <v>456510</v>
      </c>
      <c r="EA43" s="6">
        <v>8468</v>
      </c>
      <c r="EB43" s="6">
        <v>88285</v>
      </c>
      <c r="EC43" s="6">
        <v>7816</v>
      </c>
      <c r="ED43" s="6">
        <v>19942</v>
      </c>
      <c r="EE43" s="6">
        <v>4531</v>
      </c>
      <c r="EF43" s="189">
        <f t="shared" si="249"/>
        <v>77.962332978112954</v>
      </c>
      <c r="EG43" s="190">
        <f t="shared" si="250"/>
        <v>1.4461567888078259</v>
      </c>
      <c r="EH43" s="190">
        <f t="shared" si="251"/>
        <v>15.077226275377765</v>
      </c>
      <c r="EI43" s="190">
        <f t="shared" si="252"/>
        <v>3.405675328578845</v>
      </c>
      <c r="EJ43" s="190">
        <f t="shared" si="253"/>
        <v>1.3348088641145448</v>
      </c>
      <c r="EK43" s="190"/>
      <c r="EL43" s="191">
        <f t="shared" si="254"/>
        <v>21.263867256878981</v>
      </c>
      <c r="EM43" s="11">
        <v>598832</v>
      </c>
      <c r="EN43" s="444">
        <f t="shared" si="200"/>
        <v>463938</v>
      </c>
      <c r="EO43" s="444">
        <f t="shared" si="201"/>
        <v>7967</v>
      </c>
      <c r="EP43" s="444">
        <f t="shared" si="202"/>
        <v>91722</v>
      </c>
      <c r="EQ43" s="444">
        <f t="shared" si="203"/>
        <v>10612</v>
      </c>
      <c r="ER43" s="444">
        <f t="shared" si="204"/>
        <v>9024</v>
      </c>
      <c r="ES43" s="444">
        <f t="shared" si="205"/>
        <v>7436</v>
      </c>
      <c r="ET43" s="444">
        <f t="shared" si="206"/>
        <v>8133</v>
      </c>
      <c r="EU43" s="148">
        <v>77.473815694552059</v>
      </c>
      <c r="EV43" s="148">
        <v>1.3304232238758116</v>
      </c>
      <c r="EW43" s="148">
        <v>15.316816736580543</v>
      </c>
      <c r="EX43" s="148">
        <v>1.772116386565848</v>
      </c>
      <c r="EY43" s="148">
        <v>1.506933497207898</v>
      </c>
      <c r="EZ43" s="148">
        <v>1.2417506078499478</v>
      </c>
      <c r="FA43" s="148">
        <v>1.3581438533678896</v>
      </c>
      <c r="FB43" s="191">
        <f t="shared" si="255"/>
        <v>22.526184305447934</v>
      </c>
      <c r="FC43">
        <v>613279</v>
      </c>
      <c r="FD43">
        <v>471509</v>
      </c>
      <c r="FE43" s="11">
        <v>7983</v>
      </c>
      <c r="FF43">
        <v>96048</v>
      </c>
      <c r="FG43">
        <v>10581</v>
      </c>
      <c r="FH43">
        <v>9245</v>
      </c>
      <c r="FI43" s="11">
        <v>7337</v>
      </c>
      <c r="FJ43">
        <v>10576</v>
      </c>
      <c r="FK43" s="189">
        <f t="shared" si="256"/>
        <v>76.883278246931653</v>
      </c>
      <c r="FL43" s="190">
        <f t="shared" si="257"/>
        <v>1.3016913998359638</v>
      </c>
      <c r="FM43" s="190">
        <f t="shared" si="258"/>
        <v>15.661387394644199</v>
      </c>
      <c r="FN43" s="190">
        <f t="shared" si="259"/>
        <v>1.7253158839614597</v>
      </c>
      <c r="FO43" s="190">
        <f t="shared" si="260"/>
        <v>1.5074704987452692</v>
      </c>
      <c r="FP43" s="190">
        <f t="shared" si="261"/>
        <v>1.1963559815353206</v>
      </c>
      <c r="FQ43" s="190">
        <f t="shared" si="262"/>
        <v>1.7245005943461296</v>
      </c>
      <c r="FR43" s="199">
        <f t="shared" si="37"/>
        <v>23.116721753068344</v>
      </c>
      <c r="FS43" s="474">
        <v>625461</v>
      </c>
      <c r="FT43" s="474">
        <v>477524</v>
      </c>
      <c r="FU43" s="474">
        <v>8088</v>
      </c>
      <c r="FV43" s="474">
        <v>100258</v>
      </c>
      <c r="FW43" s="474">
        <v>10700</v>
      </c>
      <c r="FX43" s="474">
        <v>9314</v>
      </c>
      <c r="FY43" s="474">
        <v>7179</v>
      </c>
      <c r="FZ43" s="480">
        <v>12398</v>
      </c>
      <c r="GA43" s="189">
        <f t="shared" si="39"/>
        <v>76.347526064774613</v>
      </c>
      <c r="GB43" s="190">
        <f t="shared" si="40"/>
        <v>1.293126190122166</v>
      </c>
      <c r="GC43" s="190">
        <f t="shared" si="41"/>
        <v>16.029456672758176</v>
      </c>
      <c r="GD43" s="190">
        <f t="shared" si="42"/>
        <v>1.7107381595335278</v>
      </c>
      <c r="GE43" s="190">
        <f t="shared" si="43"/>
        <v>1.4891416091490917</v>
      </c>
      <c r="GF43" s="190">
        <f t="shared" si="44"/>
        <v>1.1477933875973081</v>
      </c>
      <c r="GG43" s="190">
        <f t="shared" si="45"/>
        <v>1.9822179160651103</v>
      </c>
      <c r="GH43" s="199">
        <f t="shared" si="46"/>
        <v>23.652473935225377</v>
      </c>
      <c r="GI43" s="474">
        <v>635577</v>
      </c>
      <c r="GJ43" s="474">
        <v>481076</v>
      </c>
      <c r="GK43" s="474">
        <v>8520</v>
      </c>
      <c r="GL43" s="474">
        <v>104480</v>
      </c>
      <c r="GM43" s="474">
        <v>10787</v>
      </c>
      <c r="GN43" s="474">
        <v>9536</v>
      </c>
      <c r="GO43" s="474">
        <v>7277</v>
      </c>
      <c r="GP43" s="480">
        <v>13901</v>
      </c>
      <c r="GQ43" s="189">
        <f t="shared" si="263"/>
        <v>75.691222306659938</v>
      </c>
      <c r="GR43" s="190">
        <f t="shared" si="264"/>
        <v>1.3405142099226373</v>
      </c>
      <c r="GS43" s="190">
        <f t="shared" si="265"/>
        <v>16.438606179896379</v>
      </c>
      <c r="GT43" s="190">
        <f t="shared" si="266"/>
        <v>1.6971979791590948</v>
      </c>
      <c r="GU43" s="190">
        <f t="shared" si="267"/>
        <v>1.5003689560824258</v>
      </c>
      <c r="GV43" s="190">
        <f t="shared" si="268"/>
        <v>1.1449438856346281</v>
      </c>
      <c r="GW43" s="190">
        <f t="shared" si="269"/>
        <v>2.1871464826449039</v>
      </c>
      <c r="GX43" s="199">
        <f t="shared" si="55"/>
        <v>24.308777693340069</v>
      </c>
    </row>
    <row r="44" spans="1:206" s="11" customFormat="1">
      <c r="A44" s="113" t="s">
        <v>160</v>
      </c>
      <c r="C44" s="1"/>
      <c r="D44" s="1"/>
      <c r="E44" s="1"/>
      <c r="F44" s="1"/>
      <c r="G44" s="1"/>
      <c r="H44" s="52">
        <v>84.523466229096542</v>
      </c>
      <c r="I44" s="45">
        <v>4.2034037579651971</v>
      </c>
      <c r="J44" s="45">
        <v>3.7933093622483485</v>
      </c>
      <c r="K44" s="45">
        <v>5.1481265040409738</v>
      </c>
      <c r="L44" s="43">
        <v>2.3316941466489394</v>
      </c>
      <c r="M44" s="264">
        <f t="shared" si="215"/>
        <v>15.476533770903458</v>
      </c>
      <c r="N44" s="66"/>
      <c r="O44" s="1"/>
      <c r="P44" s="1"/>
      <c r="Q44" s="1"/>
      <c r="R44" s="134">
        <v>19.29401266069884</v>
      </c>
      <c r="S44" s="52">
        <v>79.948294233758972</v>
      </c>
      <c r="T44" s="45">
        <v>4.425341065907384</v>
      </c>
      <c r="U44" s="45">
        <v>6.9122617779097588</v>
      </c>
      <c r="V44" s="45">
        <v>6.1604756581130893</v>
      </c>
      <c r="W44" s="45">
        <v>2.5536272643107938</v>
      </c>
      <c r="X44" s="261">
        <f t="shared" si="216"/>
        <v>20.051705766241025</v>
      </c>
      <c r="Y44" s="52">
        <v>79.099999999999994</v>
      </c>
      <c r="Z44" s="45">
        <v>4.5999999999999996</v>
      </c>
      <c r="AA44" s="45">
        <v>7.4</v>
      </c>
      <c r="AB44" s="45">
        <v>6.3</v>
      </c>
      <c r="AC44" s="45">
        <v>2.6</v>
      </c>
      <c r="AD44" s="261">
        <f t="shared" si="217"/>
        <v>20.900000000000002</v>
      </c>
      <c r="AE44" s="52">
        <v>78.3</v>
      </c>
      <c r="AF44" s="45">
        <v>4.7</v>
      </c>
      <c r="AG44" s="45">
        <v>7.8</v>
      </c>
      <c r="AH44" s="45">
        <v>6.5</v>
      </c>
      <c r="AI44" s="45">
        <v>2.6</v>
      </c>
      <c r="AJ44" s="261">
        <f t="shared" si="218"/>
        <v>21.6</v>
      </c>
      <c r="AK44" s="258">
        <f>100-77.5</f>
        <v>22.5</v>
      </c>
      <c r="AL44" s="258">
        <f>100-76.8</f>
        <v>23.200000000000003</v>
      </c>
      <c r="AM44" s="258">
        <f>100-76.1</f>
        <v>23.900000000000006</v>
      </c>
      <c r="AN44" s="258">
        <f>100-75.3</f>
        <v>24.700000000000003</v>
      </c>
      <c r="AO44" s="77">
        <v>74.421509400161227</v>
      </c>
      <c r="AP44" s="68">
        <v>5.2952416971048102</v>
      </c>
      <c r="AQ44" s="68">
        <v>10.24363784746758</v>
      </c>
      <c r="AR44" s="68">
        <v>7.3313295580083002</v>
      </c>
      <c r="AS44" s="68">
        <v>2.7082814972580791</v>
      </c>
      <c r="AT44" s="261">
        <f t="shared" si="219"/>
        <v>25.578490599838769</v>
      </c>
      <c r="AU44" s="68">
        <v>73.501288149028937</v>
      </c>
      <c r="AV44" s="68">
        <v>5.4091359492667461</v>
      </c>
      <c r="AW44" s="68">
        <v>10.946095917558463</v>
      </c>
      <c r="AX44" s="68">
        <v>7.5223939754260796</v>
      </c>
      <c r="AY44" s="68">
        <v>2.6210860087197778</v>
      </c>
      <c r="AZ44" s="261">
        <f t="shared" si="220"/>
        <v>26.498711850971066</v>
      </c>
      <c r="BA44" s="68">
        <v>72.584888815311032</v>
      </c>
      <c r="BB44" s="68">
        <v>5.5653440389121771</v>
      </c>
      <c r="BC44" s="68">
        <v>11.571662537766137</v>
      </c>
      <c r="BD44" s="68">
        <v>7.6425061933507958</v>
      </c>
      <c r="BE44" s="68">
        <v>2.6355984146598637</v>
      </c>
      <c r="BF44" s="261">
        <f t="shared" si="221"/>
        <v>27.415111184688971</v>
      </c>
      <c r="BG44" s="68">
        <v>71.494856312582684</v>
      </c>
      <c r="BH44" s="68">
        <v>5.6965836359559754</v>
      </c>
      <c r="BI44" s="68">
        <v>12.277487910596671</v>
      </c>
      <c r="BJ44" s="68">
        <v>7.8575491825027486</v>
      </c>
      <c r="BK44" s="68">
        <v>2.6735229583619313</v>
      </c>
      <c r="BL44" s="199">
        <f t="shared" si="222"/>
        <v>28.505143687417327</v>
      </c>
      <c r="BM44" s="68">
        <v>70.717032577345577</v>
      </c>
      <c r="BN44" s="68">
        <v>5.7262525808129361</v>
      </c>
      <c r="BO44" s="68">
        <v>12.913225582751501</v>
      </c>
      <c r="BP44" s="68">
        <v>7.9770760768491229</v>
      </c>
      <c r="BQ44" s="68">
        <v>2.6664131822408548</v>
      </c>
      <c r="BR44" s="191">
        <f t="shared" si="223"/>
        <v>29.282967422654416</v>
      </c>
      <c r="BS44" s="77">
        <v>69.831551360320532</v>
      </c>
      <c r="BT44" s="68">
        <v>5.7349180788994731</v>
      </c>
      <c r="BU44" s="68">
        <v>13.623787257022613</v>
      </c>
      <c r="BV44" s="68">
        <v>8.1431053864949021</v>
      </c>
      <c r="BW44" s="68">
        <v>2.6666379172624817</v>
      </c>
      <c r="BX44" s="191">
        <f t="shared" si="224"/>
        <v>30.168448639679468</v>
      </c>
      <c r="BY44" s="38">
        <v>1006878</v>
      </c>
      <c r="BZ44" s="6">
        <v>694210</v>
      </c>
      <c r="CA44" s="6">
        <v>57058</v>
      </c>
      <c r="CB44" s="6">
        <v>144064</v>
      </c>
      <c r="CC44" s="6">
        <v>84897</v>
      </c>
      <c r="CD44" s="6">
        <v>26649</v>
      </c>
      <c r="CE44" s="189">
        <f t="shared" si="225"/>
        <v>68.946784019513785</v>
      </c>
      <c r="CF44" s="190">
        <f t="shared" si="226"/>
        <v>5.6668235873660961</v>
      </c>
      <c r="CG44" s="190">
        <f t="shared" si="227"/>
        <v>14.307989647206515</v>
      </c>
      <c r="CH44" s="190">
        <f t="shared" si="228"/>
        <v>8.4317067211717802</v>
      </c>
      <c r="CI44" s="190">
        <f t="shared" si="229"/>
        <v>2.6466960247418259</v>
      </c>
      <c r="CJ44" s="191">
        <f t="shared" si="230"/>
        <v>31.053215980486218</v>
      </c>
      <c r="CK44" s="38">
        <v>1003679</v>
      </c>
      <c r="CL44" s="6">
        <v>682595</v>
      </c>
      <c r="CM44" s="6">
        <v>56772</v>
      </c>
      <c r="CN44" s="6">
        <v>151442</v>
      </c>
      <c r="CO44" s="6">
        <v>86790</v>
      </c>
      <c r="CP44" s="6">
        <v>26080</v>
      </c>
      <c r="CQ44" s="189">
        <f t="shared" si="231"/>
        <v>68.009293808080074</v>
      </c>
      <c r="CR44" s="190">
        <f t="shared" si="232"/>
        <v>5.6563901406724657</v>
      </c>
      <c r="CS44" s="190">
        <f t="shared" si="233"/>
        <v>15.088688714220384</v>
      </c>
      <c r="CT44" s="190">
        <f t="shared" si="234"/>
        <v>8.6471869990305663</v>
      </c>
      <c r="CU44" s="190">
        <f t="shared" si="235"/>
        <v>2.5984403379965109</v>
      </c>
      <c r="CV44" s="191">
        <f t="shared" si="236"/>
        <v>31.990706191919926</v>
      </c>
      <c r="CW44" s="38">
        <f t="shared" si="237"/>
        <v>1003016</v>
      </c>
      <c r="CX44" s="6">
        <v>672665</v>
      </c>
      <c r="CY44" s="6">
        <v>56738</v>
      </c>
      <c r="CZ44" s="6">
        <v>158610</v>
      </c>
      <c r="DA44" s="6">
        <v>25812</v>
      </c>
      <c r="DB44" s="6">
        <v>89191</v>
      </c>
      <c r="DC44" s="6"/>
      <c r="DD44" s="189">
        <f t="shared" si="238"/>
        <v>67.064234269443361</v>
      </c>
      <c r="DE44" s="190">
        <f t="shared" si="239"/>
        <v>5.6567392743485652</v>
      </c>
      <c r="DF44" s="190">
        <f t="shared" si="240"/>
        <v>15.813307065889278</v>
      </c>
      <c r="DG44" s="190">
        <f t="shared" si="241"/>
        <v>8.892280880863316</v>
      </c>
      <c r="DH44" s="190">
        <f t="shared" si="242"/>
        <v>2.5734385094554826</v>
      </c>
      <c r="DI44" s="190"/>
      <c r="DJ44" s="191">
        <f t="shared" si="20"/>
        <v>32.935765730556646</v>
      </c>
      <c r="DK44" s="382">
        <v>1001741</v>
      </c>
      <c r="DL44" s="6">
        <v>662211</v>
      </c>
      <c r="DM44" s="6">
        <v>58274</v>
      </c>
      <c r="DN44" s="6">
        <v>165087</v>
      </c>
      <c r="DO44" s="6">
        <v>25112</v>
      </c>
      <c r="DP44" s="6">
        <v>91057</v>
      </c>
      <c r="DQ44" s="6"/>
      <c r="DR44" s="189">
        <f t="shared" si="243"/>
        <v>66.106009437569185</v>
      </c>
      <c r="DS44" s="190">
        <f t="shared" si="244"/>
        <v>5.8172721292230234</v>
      </c>
      <c r="DT44" s="190">
        <f t="shared" si="245"/>
        <v>16.480008305540057</v>
      </c>
      <c r="DU44" s="190">
        <f t="shared" si="246"/>
        <v>9.089874528445975</v>
      </c>
      <c r="DV44" s="190">
        <f t="shared" si="247"/>
        <v>2.506835599221755</v>
      </c>
      <c r="DW44" s="190"/>
      <c r="DX44" s="191">
        <f t="shared" si="248"/>
        <v>33.893990562430808</v>
      </c>
      <c r="DY44" s="382">
        <v>1043788</v>
      </c>
      <c r="DZ44" s="6">
        <v>655984</v>
      </c>
      <c r="EA44" s="6">
        <v>50048</v>
      </c>
      <c r="EB44" s="6">
        <v>187783</v>
      </c>
      <c r="EC44" s="6">
        <v>17570</v>
      </c>
      <c r="ED44" s="6">
        <v>84123</v>
      </c>
      <c r="EE44" s="6">
        <v>48280</v>
      </c>
      <c r="EF44" s="189">
        <f t="shared" si="249"/>
        <v>62.846478403660512</v>
      </c>
      <c r="EG44" s="190">
        <f t="shared" si="250"/>
        <v>4.7948433973182292</v>
      </c>
      <c r="EH44" s="190">
        <f t="shared" si="251"/>
        <v>17.990530644153793</v>
      </c>
      <c r="EI44" s="190">
        <f t="shared" si="252"/>
        <v>8.0593952028572851</v>
      </c>
      <c r="EJ44" s="190">
        <f t="shared" si="253"/>
        <v>1.6832920094885166</v>
      </c>
      <c r="EK44" s="190"/>
      <c r="EL44" s="191">
        <f t="shared" si="254"/>
        <v>32.528061253817825</v>
      </c>
      <c r="EM44" s="11">
        <v>1045453</v>
      </c>
      <c r="EN44" s="444">
        <f t="shared" si="200"/>
        <v>629898.00000000012</v>
      </c>
      <c r="EO44" s="444">
        <f t="shared" si="201"/>
        <v>47714.999999999993</v>
      </c>
      <c r="EP44" s="444">
        <f t="shared" si="202"/>
        <v>205031</v>
      </c>
      <c r="EQ44" s="444">
        <f t="shared" si="203"/>
        <v>74574</v>
      </c>
      <c r="ER44" s="444">
        <f t="shared" si="204"/>
        <v>9308</v>
      </c>
      <c r="ES44" s="444">
        <f t="shared" si="205"/>
        <v>15849.999999999998</v>
      </c>
      <c r="ET44" s="444">
        <f t="shared" si="206"/>
        <v>63077.000000000007</v>
      </c>
      <c r="EU44" s="148">
        <v>60.25120211047269</v>
      </c>
      <c r="EV44" s="148">
        <v>4.5640502251177235</v>
      </c>
      <c r="EW44" s="148">
        <v>19.611689860758926</v>
      </c>
      <c r="EX44" s="148">
        <v>7.1331757620859095</v>
      </c>
      <c r="EY44" s="148">
        <v>0.89033175092519701</v>
      </c>
      <c r="EZ44" s="148">
        <v>1.5160891976970747</v>
      </c>
      <c r="FA44" s="148">
        <v>6.0334610929424857</v>
      </c>
      <c r="FB44" s="191">
        <f t="shared" si="255"/>
        <v>39.748797889527317</v>
      </c>
      <c r="FC44">
        <v>1051694</v>
      </c>
      <c r="FD44">
        <v>622485</v>
      </c>
      <c r="FE44" s="11">
        <v>48381</v>
      </c>
      <c r="FF44">
        <v>214077</v>
      </c>
      <c r="FG44">
        <v>75407</v>
      </c>
      <c r="FH44">
        <v>9685</v>
      </c>
      <c r="FI44" s="11">
        <v>15210</v>
      </c>
      <c r="FJ44">
        <v>66449</v>
      </c>
      <c r="FK44" s="189">
        <f t="shared" si="256"/>
        <v>59.188794459224837</v>
      </c>
      <c r="FL44" s="190">
        <f t="shared" si="257"/>
        <v>4.600292480512393</v>
      </c>
      <c r="FM44" s="190">
        <f t="shared" si="258"/>
        <v>20.355445595391817</v>
      </c>
      <c r="FN44" s="190">
        <f t="shared" si="259"/>
        <v>7.1700513647505835</v>
      </c>
      <c r="FO44" s="190">
        <f t="shared" si="260"/>
        <v>0.92089524139150736</v>
      </c>
      <c r="FP44" s="190">
        <f t="shared" si="261"/>
        <v>1.4462381643329714</v>
      </c>
      <c r="FQ44" s="190">
        <f t="shared" si="262"/>
        <v>6.3182826943958981</v>
      </c>
      <c r="FR44" s="199">
        <f t="shared" si="37"/>
        <v>40.81120554077517</v>
      </c>
      <c r="FS44" s="474">
        <v>1058936</v>
      </c>
      <c r="FT44" s="474">
        <v>615943</v>
      </c>
      <c r="FU44" s="474">
        <v>47752</v>
      </c>
      <c r="FV44" s="474">
        <v>223177</v>
      </c>
      <c r="FW44" s="474">
        <v>75911</v>
      </c>
      <c r="FX44" s="474">
        <v>10184</v>
      </c>
      <c r="FY44" s="474">
        <v>14700</v>
      </c>
      <c r="FZ44" s="480">
        <v>71269</v>
      </c>
      <c r="GA44" s="189">
        <f t="shared" si="39"/>
        <v>58.166215899733317</v>
      </c>
      <c r="GB44" s="190">
        <f t="shared" si="40"/>
        <v>4.5094321092115104</v>
      </c>
      <c r="GC44" s="190">
        <f t="shared" si="41"/>
        <v>21.075589081870859</v>
      </c>
      <c r="GD44" s="190">
        <f t="shared" si="42"/>
        <v>7.1686107564574248</v>
      </c>
      <c r="GE44" s="190">
        <f t="shared" si="43"/>
        <v>0.9617200661796369</v>
      </c>
      <c r="GF44" s="190">
        <f t="shared" si="44"/>
        <v>1.3881858771446054</v>
      </c>
      <c r="GG44" s="190">
        <f t="shared" si="45"/>
        <v>6.7302462094026456</v>
      </c>
      <c r="GH44" s="199">
        <f t="shared" si="46"/>
        <v>41.833784100266683</v>
      </c>
      <c r="GI44" s="474">
        <v>1073638</v>
      </c>
      <c r="GJ44" s="474">
        <v>613930</v>
      </c>
      <c r="GK44" s="474">
        <v>48121</v>
      </c>
      <c r="GL44" s="474">
        <v>233127</v>
      </c>
      <c r="GM44" s="474">
        <v>77528</v>
      </c>
      <c r="GN44" s="474">
        <v>10674</v>
      </c>
      <c r="GO44" s="474">
        <v>14399</v>
      </c>
      <c r="GP44" s="480">
        <v>75859</v>
      </c>
      <c r="GQ44" s="189">
        <f t="shared" si="263"/>
        <v>57.182215979687754</v>
      </c>
      <c r="GR44" s="190">
        <f t="shared" si="264"/>
        <v>4.4820507470860758</v>
      </c>
      <c r="GS44" s="190">
        <f t="shared" si="265"/>
        <v>21.7137433660135</v>
      </c>
      <c r="GT44" s="190">
        <f t="shared" si="266"/>
        <v>7.2210558866210031</v>
      </c>
      <c r="GU44" s="190">
        <f t="shared" si="267"/>
        <v>0.99418984797482945</v>
      </c>
      <c r="GV44" s="190">
        <f t="shared" si="268"/>
        <v>1.3411410549924649</v>
      </c>
      <c r="GW44" s="190">
        <f t="shared" si="269"/>
        <v>7.0656031176243763</v>
      </c>
      <c r="GX44" s="199">
        <f t="shared" si="55"/>
        <v>42.817784020312246</v>
      </c>
    </row>
    <row r="45" spans="1:206" s="11" customFormat="1">
      <c r="A45" s="114" t="s">
        <v>162</v>
      </c>
      <c r="B45" s="14"/>
      <c r="C45" s="14"/>
      <c r="D45" s="14"/>
      <c r="E45" s="14"/>
      <c r="F45" s="14"/>
      <c r="G45" s="14"/>
      <c r="H45" s="53">
        <v>90.688798061422943</v>
      </c>
      <c r="I45" s="46">
        <v>0.88192776096429648</v>
      </c>
      <c r="J45" s="46">
        <v>5.9415722858361155</v>
      </c>
      <c r="K45" s="46">
        <v>0.6260855095524841</v>
      </c>
      <c r="L45" s="44">
        <v>1.8616163822241636</v>
      </c>
      <c r="M45" s="263">
        <f t="shared" si="215"/>
        <v>9.3112019385770601</v>
      </c>
      <c r="N45" s="81"/>
      <c r="O45" s="14"/>
      <c r="P45" s="14"/>
      <c r="Q45" s="14"/>
      <c r="R45" s="135">
        <v>10.611251799990072</v>
      </c>
      <c r="S45" s="53">
        <v>89.39830920028939</v>
      </c>
      <c r="T45" s="46">
        <v>0.99901882080099902</v>
      </c>
      <c r="U45" s="46">
        <v>6.1863844042061862</v>
      </c>
      <c r="V45" s="46">
        <v>0.72944231360072942</v>
      </c>
      <c r="W45" s="46">
        <v>2.686845261102687</v>
      </c>
      <c r="X45" s="262">
        <f t="shared" si="216"/>
        <v>10.601690799710601</v>
      </c>
      <c r="Y45" s="53">
        <v>89.4</v>
      </c>
      <c r="Z45" s="46">
        <v>1</v>
      </c>
      <c r="AA45" s="46">
        <v>6.1</v>
      </c>
      <c r="AB45" s="46">
        <v>0.8</v>
      </c>
      <c r="AC45" s="46">
        <v>2.8</v>
      </c>
      <c r="AD45" s="262">
        <f t="shared" si="217"/>
        <v>10.7</v>
      </c>
      <c r="AE45" s="53">
        <v>89.3</v>
      </c>
      <c r="AF45" s="46">
        <v>1</v>
      </c>
      <c r="AG45" s="46">
        <v>6.1</v>
      </c>
      <c r="AH45" s="46">
        <v>0.8</v>
      </c>
      <c r="AI45" s="46">
        <v>2.7</v>
      </c>
      <c r="AJ45" s="262">
        <f t="shared" si="218"/>
        <v>10.6</v>
      </c>
      <c r="AK45" s="256">
        <f>100-89</f>
        <v>11</v>
      </c>
      <c r="AL45" s="256">
        <f>100-88.6</f>
        <v>11.400000000000006</v>
      </c>
      <c r="AM45" s="256">
        <f>100-88.6</f>
        <v>11.400000000000006</v>
      </c>
      <c r="AN45" s="256">
        <f>100-88.4</f>
        <v>11.599999999999994</v>
      </c>
      <c r="AO45" s="78">
        <v>87.889704247275958</v>
      </c>
      <c r="AP45" s="79">
        <v>1.2174783188792528</v>
      </c>
      <c r="AQ45" s="79">
        <v>6.9279519679786521</v>
      </c>
      <c r="AR45" s="79">
        <v>0.86724482988659102</v>
      </c>
      <c r="AS45" s="79">
        <v>3.097620635979542</v>
      </c>
      <c r="AT45" s="262">
        <f t="shared" si="219"/>
        <v>12.110295752724038</v>
      </c>
      <c r="AU45" s="79">
        <v>87.30029048656499</v>
      </c>
      <c r="AV45" s="79">
        <v>1.355982207697894</v>
      </c>
      <c r="AW45" s="79">
        <v>7.2281227305737108</v>
      </c>
      <c r="AX45" s="79">
        <v>0.89982752360203333</v>
      </c>
      <c r="AY45" s="79">
        <v>3.2157770515613651</v>
      </c>
      <c r="AZ45" s="262">
        <f t="shared" si="220"/>
        <v>12.699709513435003</v>
      </c>
      <c r="BA45" s="79">
        <v>86.743475846751807</v>
      </c>
      <c r="BB45" s="79">
        <v>1.3187118267629094</v>
      </c>
      <c r="BC45" s="79">
        <v>7.7179344808439758</v>
      </c>
      <c r="BD45" s="79">
        <v>0.93929298537849348</v>
      </c>
      <c r="BE45" s="79">
        <v>3.2805848602628167</v>
      </c>
      <c r="BF45" s="262">
        <f t="shared" si="221"/>
        <v>13.256524153248195</v>
      </c>
      <c r="BG45" s="79">
        <v>85.963046808899861</v>
      </c>
      <c r="BH45" s="79">
        <v>1.3685943609796254</v>
      </c>
      <c r="BI45" s="79">
        <v>8.2321465322082723</v>
      </c>
      <c r="BJ45" s="79">
        <v>0.96842057121950109</v>
      </c>
      <c r="BK45" s="79">
        <v>3.4677917266927349</v>
      </c>
      <c r="BL45" s="201">
        <f t="shared" si="222"/>
        <v>14.036953191100132</v>
      </c>
      <c r="BM45" s="79">
        <v>85.554624526453679</v>
      </c>
      <c r="BN45" s="79">
        <v>1.4185736371897608</v>
      </c>
      <c r="BO45" s="79">
        <v>8.5787119540202745</v>
      </c>
      <c r="BP45" s="79">
        <v>1.0302951624514651</v>
      </c>
      <c r="BQ45" s="79">
        <v>3.4177947198848146</v>
      </c>
      <c r="BR45" s="194">
        <f t="shared" si="223"/>
        <v>14.445375473546314</v>
      </c>
      <c r="BS45" s="78">
        <v>84.910376855548577</v>
      </c>
      <c r="BT45" s="79">
        <v>1.4903624021135187</v>
      </c>
      <c r="BU45" s="79">
        <v>8.9931168477295067</v>
      </c>
      <c r="BV45" s="79">
        <v>1.0697911360163017</v>
      </c>
      <c r="BW45" s="79">
        <v>3.5363527585920935</v>
      </c>
      <c r="BX45" s="194">
        <f t="shared" si="224"/>
        <v>15.089623144451421</v>
      </c>
      <c r="BY45" s="73">
        <v>85193</v>
      </c>
      <c r="BZ45" s="12">
        <v>71976</v>
      </c>
      <c r="CA45" s="12">
        <v>1290</v>
      </c>
      <c r="CB45" s="12">
        <v>7989</v>
      </c>
      <c r="CC45" s="80">
        <v>918</v>
      </c>
      <c r="CD45" s="12">
        <v>3020</v>
      </c>
      <c r="CE45" s="192">
        <f t="shared" si="225"/>
        <v>84.485814562229294</v>
      </c>
      <c r="CF45" s="193">
        <f t="shared" si="226"/>
        <v>1.5142089138779009</v>
      </c>
      <c r="CG45" s="193">
        <f t="shared" si="227"/>
        <v>9.3775310178066267</v>
      </c>
      <c r="CH45" s="193">
        <f t="shared" si="228"/>
        <v>1.0775533201084595</v>
      </c>
      <c r="CI45" s="193">
        <f t="shared" si="229"/>
        <v>3.5448921859777207</v>
      </c>
      <c r="CJ45" s="194">
        <f t="shared" si="230"/>
        <v>15.514185437770708</v>
      </c>
      <c r="CK45" s="73">
        <v>86422</v>
      </c>
      <c r="CL45" s="12">
        <v>72514</v>
      </c>
      <c r="CM45" s="12">
        <v>1346</v>
      </c>
      <c r="CN45" s="12">
        <v>8618</v>
      </c>
      <c r="CO45" s="80">
        <v>934</v>
      </c>
      <c r="CP45" s="12">
        <v>3010</v>
      </c>
      <c r="CQ45" s="192">
        <f t="shared" si="231"/>
        <v>83.906875564092473</v>
      </c>
      <c r="CR45" s="193">
        <f t="shared" si="232"/>
        <v>1.5574737913957093</v>
      </c>
      <c r="CS45" s="193">
        <f t="shared" si="233"/>
        <v>9.9719978709124995</v>
      </c>
      <c r="CT45" s="193">
        <f t="shared" si="234"/>
        <v>1.0807433292448683</v>
      </c>
      <c r="CU45" s="193">
        <f t="shared" si="235"/>
        <v>3.4829094443544468</v>
      </c>
      <c r="CV45" s="194">
        <f t="shared" si="236"/>
        <v>16.093124435907523</v>
      </c>
      <c r="CW45" s="73">
        <f t="shared" si="237"/>
        <v>87161</v>
      </c>
      <c r="CX45" s="12">
        <v>72634</v>
      </c>
      <c r="CY45" s="12">
        <v>1363</v>
      </c>
      <c r="CZ45" s="12">
        <v>9095</v>
      </c>
      <c r="DA45" s="80">
        <v>3077</v>
      </c>
      <c r="DB45" s="80">
        <v>992</v>
      </c>
      <c r="DC45" s="80"/>
      <c r="DD45" s="192">
        <f t="shared" si="238"/>
        <v>83.333142116313482</v>
      </c>
      <c r="DE45" s="193">
        <f t="shared" si="239"/>
        <v>1.5637727882883399</v>
      </c>
      <c r="DF45" s="193">
        <f t="shared" si="240"/>
        <v>10.434712772914491</v>
      </c>
      <c r="DG45" s="193">
        <f t="shared" si="241"/>
        <v>1.1381237021144777</v>
      </c>
      <c r="DH45" s="193">
        <f t="shared" si="242"/>
        <v>3.5302486203692016</v>
      </c>
      <c r="DI45" s="193"/>
      <c r="DJ45" s="194">
        <f t="shared" si="20"/>
        <v>16.666857883686511</v>
      </c>
      <c r="DK45" s="383">
        <v>88155</v>
      </c>
      <c r="DL45" s="12">
        <v>71799</v>
      </c>
      <c r="DM45" s="12">
        <v>1032</v>
      </c>
      <c r="DN45" s="12">
        <v>10630</v>
      </c>
      <c r="DO45" s="80">
        <v>2803</v>
      </c>
      <c r="DP45" s="80">
        <v>798</v>
      </c>
      <c r="DQ45" s="80">
        <v>1093</v>
      </c>
      <c r="DR45" s="192">
        <f t="shared" si="243"/>
        <v>81.446316147694404</v>
      </c>
      <c r="DS45" s="193">
        <f t="shared" si="244"/>
        <v>1.1706653054279395</v>
      </c>
      <c r="DT45" s="193">
        <f t="shared" si="245"/>
        <v>12.058306392150191</v>
      </c>
      <c r="DU45" s="193">
        <f t="shared" si="246"/>
        <v>0.90522375361579044</v>
      </c>
      <c r="DV45" s="193">
        <f t="shared" si="247"/>
        <v>3.1796267937156149</v>
      </c>
      <c r="DW45" s="193"/>
      <c r="DX45" s="194">
        <f t="shared" si="248"/>
        <v>17.313822244909538</v>
      </c>
      <c r="DY45" s="383">
        <v>89009</v>
      </c>
      <c r="DZ45" s="12">
        <v>72070</v>
      </c>
      <c r="EA45" s="12">
        <v>1022</v>
      </c>
      <c r="EB45" s="12">
        <v>10932</v>
      </c>
      <c r="EC45" s="80">
        <v>2937</v>
      </c>
      <c r="ED45" s="80">
        <v>837</v>
      </c>
      <c r="EE45" s="80">
        <v>1211</v>
      </c>
      <c r="EF45" s="192">
        <f t="shared" si="249"/>
        <v>80.969340179083019</v>
      </c>
      <c r="EG45" s="193">
        <f t="shared" si="250"/>
        <v>1.1481984967812244</v>
      </c>
      <c r="EH45" s="193">
        <f t="shared" si="251"/>
        <v>12.281904077115797</v>
      </c>
      <c r="EI45" s="193">
        <f t="shared" si="252"/>
        <v>0.94035434618971114</v>
      </c>
      <c r="EJ45" s="193">
        <f t="shared" si="253"/>
        <v>3.2996663258771584</v>
      </c>
      <c r="EK45" s="193"/>
      <c r="EL45" s="194">
        <f t="shared" si="254"/>
        <v>17.670123245963893</v>
      </c>
      <c r="EM45" s="14">
        <v>90099</v>
      </c>
      <c r="EN45" s="445">
        <f t="shared" si="200"/>
        <v>72519</v>
      </c>
      <c r="EO45" s="445">
        <f t="shared" si="201"/>
        <v>978.99999999999989</v>
      </c>
      <c r="EP45" s="445">
        <f t="shared" si="202"/>
        <v>11326.000000000002</v>
      </c>
      <c r="EQ45" s="445">
        <f t="shared" si="203"/>
        <v>709.99999999999989</v>
      </c>
      <c r="ER45" s="445">
        <f t="shared" si="204"/>
        <v>123.00000000000001</v>
      </c>
      <c r="ES45" s="445">
        <f t="shared" si="205"/>
        <v>2885</v>
      </c>
      <c r="ET45" s="445">
        <f t="shared" si="206"/>
        <v>1557.0000000000002</v>
      </c>
      <c r="EU45" s="79">
        <v>80.488129723970303</v>
      </c>
      <c r="EV45" s="79">
        <v>1.0865825369870918</v>
      </c>
      <c r="EW45" s="79">
        <v>12.570616766001844</v>
      </c>
      <c r="EX45" s="79">
        <v>0.78802206461780921</v>
      </c>
      <c r="EY45" s="79">
        <v>0.13651649851829656</v>
      </c>
      <c r="EZ45" s="79">
        <v>3.2020333189047601</v>
      </c>
      <c r="FA45" s="79">
        <v>1.7280990909999003</v>
      </c>
      <c r="FB45" s="191">
        <f t="shared" si="255"/>
        <v>19.511870276029704</v>
      </c>
      <c r="FC45">
        <v>91533</v>
      </c>
      <c r="FD45">
        <v>73277</v>
      </c>
      <c r="FE45" s="11">
        <v>1029</v>
      </c>
      <c r="FF45">
        <v>11753</v>
      </c>
      <c r="FG45">
        <v>766</v>
      </c>
      <c r="FH45">
        <v>178</v>
      </c>
      <c r="FI45" s="11">
        <v>3042</v>
      </c>
      <c r="FJ45">
        <v>1488</v>
      </c>
      <c r="FK45" s="189">
        <f t="shared" si="256"/>
        <v>80.055280609179206</v>
      </c>
      <c r="FL45" s="190">
        <f t="shared" si="257"/>
        <v>1.1241847202648225</v>
      </c>
      <c r="FM45" s="190">
        <f t="shared" si="258"/>
        <v>12.840177859351273</v>
      </c>
      <c r="FN45" s="190">
        <f t="shared" si="259"/>
        <v>0.83685665279188914</v>
      </c>
      <c r="FO45" s="190">
        <f t="shared" si="260"/>
        <v>0.19446538406913352</v>
      </c>
      <c r="FP45" s="190">
        <f t="shared" si="261"/>
        <v>3.3233915636983387</v>
      </c>
      <c r="FQ45" s="190">
        <f t="shared" si="262"/>
        <v>1.6256432106453409</v>
      </c>
      <c r="FR45" s="199">
        <f t="shared" si="37"/>
        <v>19.944719390820797</v>
      </c>
      <c r="FS45" s="474">
        <v>92732</v>
      </c>
      <c r="FT45" s="474">
        <v>73601</v>
      </c>
      <c r="FU45" s="474">
        <v>1133</v>
      </c>
      <c r="FV45" s="474">
        <v>12149</v>
      </c>
      <c r="FW45" s="474">
        <v>842</v>
      </c>
      <c r="FX45" s="474">
        <v>105</v>
      </c>
      <c r="FY45" s="474">
        <v>3107</v>
      </c>
      <c r="FZ45" s="480">
        <v>1795</v>
      </c>
      <c r="GA45" s="189">
        <f t="shared" si="39"/>
        <v>79.369581158607602</v>
      </c>
      <c r="GB45" s="190">
        <f t="shared" si="40"/>
        <v>1.2218004572315921</v>
      </c>
      <c r="GC45" s="190">
        <f t="shared" si="41"/>
        <v>13.10119484104732</v>
      </c>
      <c r="GD45" s="190">
        <f t="shared" si="42"/>
        <v>0.90799292585083902</v>
      </c>
      <c r="GE45" s="190">
        <f t="shared" si="43"/>
        <v>0.1132295216322305</v>
      </c>
      <c r="GF45" s="190">
        <f t="shared" si="44"/>
        <v>3.3505154639175259</v>
      </c>
      <c r="GG45" s="190">
        <f t="shared" si="45"/>
        <v>1.935685631712893</v>
      </c>
      <c r="GH45" s="199">
        <f t="shared" si="46"/>
        <v>20.630418841392402</v>
      </c>
      <c r="GI45" s="474">
        <v>94067</v>
      </c>
      <c r="GJ45" s="474">
        <v>74078</v>
      </c>
      <c r="GK45" s="474">
        <v>1053</v>
      </c>
      <c r="GL45" s="474">
        <v>12659</v>
      </c>
      <c r="GM45" s="474">
        <v>778</v>
      </c>
      <c r="GN45" s="474">
        <v>127</v>
      </c>
      <c r="GO45" s="474">
        <v>3315</v>
      </c>
      <c r="GP45" s="480">
        <v>2057</v>
      </c>
      <c r="GQ45" s="189">
        <f t="shared" si="263"/>
        <v>78.750252479615597</v>
      </c>
      <c r="GR45" s="190">
        <f t="shared" si="264"/>
        <v>1.1194148851350634</v>
      </c>
      <c r="GS45" s="190">
        <f t="shared" si="265"/>
        <v>13.457429279130833</v>
      </c>
      <c r="GT45" s="190">
        <f t="shared" si="266"/>
        <v>0.82707006707984732</v>
      </c>
      <c r="GU45" s="190">
        <f t="shared" si="267"/>
        <v>0.135010152338227</v>
      </c>
      <c r="GV45" s="190">
        <f t="shared" si="268"/>
        <v>3.5240838976474218</v>
      </c>
      <c r="GW45" s="190">
        <f t="shared" si="269"/>
        <v>2.1867392390530154</v>
      </c>
      <c r="GX45" s="199">
        <f t="shared" si="55"/>
        <v>21.249747520384407</v>
      </c>
    </row>
    <row r="46" spans="1:206" s="11" customFormat="1">
      <c r="A46" s="113"/>
      <c r="H46" s="52"/>
      <c r="I46" s="146"/>
      <c r="J46" s="146"/>
      <c r="K46" s="146"/>
      <c r="L46" s="147"/>
      <c r="M46" s="265"/>
      <c r="N46" s="66"/>
      <c r="R46" s="134"/>
      <c r="S46" s="52"/>
      <c r="T46" s="146"/>
      <c r="U46" s="146"/>
      <c r="V46" s="146"/>
      <c r="W46" s="146"/>
      <c r="X46" s="261"/>
      <c r="Y46" s="52"/>
      <c r="Z46" s="146"/>
      <c r="AA46" s="146"/>
      <c r="AB46" s="146"/>
      <c r="AC46" s="146"/>
      <c r="AD46" s="261"/>
      <c r="AE46" s="52"/>
      <c r="AF46" s="146"/>
      <c r="AG46" s="146"/>
      <c r="AH46" s="146"/>
      <c r="AI46" s="146"/>
      <c r="AJ46" s="261"/>
      <c r="AK46" s="259"/>
      <c r="AL46" s="259"/>
      <c r="AM46" s="259"/>
      <c r="AN46" s="259"/>
      <c r="AO46" s="77"/>
      <c r="AP46" s="148"/>
      <c r="AQ46" s="148"/>
      <c r="AR46" s="148"/>
      <c r="AS46" s="148"/>
      <c r="AT46" s="261"/>
      <c r="AU46" s="148"/>
      <c r="AV46" s="148"/>
      <c r="AW46" s="148"/>
      <c r="AX46" s="148"/>
      <c r="AY46" s="148"/>
      <c r="AZ46" s="261"/>
      <c r="BA46" s="148"/>
      <c r="BB46" s="148"/>
      <c r="BC46" s="148"/>
      <c r="BD46" s="148"/>
      <c r="BE46" s="148"/>
      <c r="BF46" s="261"/>
      <c r="BG46" s="148"/>
      <c r="BH46" s="148"/>
      <c r="BI46" s="148"/>
      <c r="BJ46" s="148"/>
      <c r="BK46" s="148"/>
      <c r="BL46" s="199"/>
      <c r="BM46" s="148"/>
      <c r="BN46" s="148"/>
      <c r="BO46" s="148"/>
      <c r="BP46" s="148"/>
      <c r="BQ46" s="148"/>
      <c r="BR46" s="191"/>
      <c r="BS46" s="77"/>
      <c r="BT46" s="148"/>
      <c r="BU46" s="148"/>
      <c r="BV46" s="148"/>
      <c r="BW46" s="148"/>
      <c r="BX46" s="191"/>
      <c r="BY46" s="38"/>
      <c r="BZ46" s="13"/>
      <c r="CA46" s="13"/>
      <c r="CB46" s="13"/>
      <c r="CC46" s="188"/>
      <c r="CD46" s="13"/>
      <c r="CE46" s="189"/>
      <c r="CF46" s="195"/>
      <c r="CG46" s="195"/>
      <c r="CH46" s="195"/>
      <c r="CI46" s="195"/>
      <c r="CJ46" s="191"/>
      <c r="CK46" s="38"/>
      <c r="CL46" s="13"/>
      <c r="CM46" s="13"/>
      <c r="CN46" s="13"/>
      <c r="CO46" s="188"/>
      <c r="CP46" s="13"/>
      <c r="CQ46" s="189"/>
      <c r="CR46" s="195"/>
      <c r="CS46" s="195"/>
      <c r="CT46" s="195"/>
      <c r="CU46" s="195"/>
      <c r="CV46" s="191"/>
      <c r="CW46" s="38"/>
      <c r="CX46" s="13"/>
      <c r="CY46" s="13"/>
      <c r="CZ46" s="13"/>
      <c r="DA46" s="188"/>
      <c r="DB46" s="188"/>
      <c r="DC46" s="188"/>
      <c r="DD46" s="189"/>
      <c r="DE46" s="195"/>
      <c r="DF46" s="195"/>
      <c r="DG46" s="195"/>
      <c r="DH46" s="195"/>
      <c r="DI46" s="195"/>
      <c r="DJ46" s="191"/>
      <c r="DK46" s="382"/>
      <c r="DL46" s="13"/>
      <c r="DM46" s="13"/>
      <c r="DN46" s="13"/>
      <c r="DO46" s="188"/>
      <c r="DP46" s="188"/>
      <c r="DQ46" s="188"/>
      <c r="DR46" s="189"/>
      <c r="DS46" s="195"/>
      <c r="DT46" s="195"/>
      <c r="DU46" s="195"/>
      <c r="DV46" s="195"/>
      <c r="DW46" s="195"/>
      <c r="DX46" s="191"/>
      <c r="DY46" s="382"/>
      <c r="DZ46" s="13"/>
      <c r="EA46" s="13"/>
      <c r="EB46" s="13"/>
      <c r="EC46" s="188"/>
      <c r="ED46" s="188">
        <v>0</v>
      </c>
      <c r="EE46" s="188"/>
      <c r="EF46" s="189"/>
      <c r="EG46" s="195"/>
      <c r="EH46" s="195"/>
      <c r="EI46" s="195"/>
      <c r="EJ46" s="195"/>
      <c r="EK46" s="195"/>
      <c r="EL46" s="191"/>
      <c r="EN46" s="444"/>
      <c r="EO46" s="444"/>
      <c r="EP46" s="444"/>
      <c r="EQ46" s="444"/>
      <c r="ER46" s="444"/>
      <c r="ES46" s="444"/>
      <c r="ET46" s="444"/>
      <c r="EU46" s="148"/>
      <c r="EV46" s="148"/>
      <c r="EW46" s="148"/>
      <c r="EX46" s="148"/>
      <c r="EY46" s="148"/>
      <c r="EZ46" s="148"/>
      <c r="FA46" s="148"/>
      <c r="FB46" s="191"/>
      <c r="FC46"/>
      <c r="FD46"/>
      <c r="FF46"/>
      <c r="FG46"/>
      <c r="FH46"/>
      <c r="FJ46"/>
      <c r="FK46" s="189"/>
      <c r="FL46" s="190"/>
      <c r="FM46" s="190"/>
      <c r="FN46" s="190"/>
      <c r="FO46" s="190"/>
      <c r="FP46" s="190"/>
      <c r="FQ46" s="190"/>
      <c r="FR46" s="199"/>
      <c r="FS46" s="474"/>
      <c r="FT46" s="474"/>
      <c r="FU46" s="474"/>
      <c r="FV46" s="474"/>
      <c r="FW46" s="474"/>
      <c r="FX46" s="474"/>
      <c r="FY46" s="474"/>
      <c r="FZ46" s="480"/>
      <c r="GA46" s="189"/>
      <c r="GB46" s="190"/>
      <c r="GC46" s="190"/>
      <c r="GD46" s="190"/>
      <c r="GE46" s="190"/>
      <c r="GF46" s="190"/>
      <c r="GG46" s="190"/>
      <c r="GH46" s="199"/>
      <c r="GI46" s="474"/>
      <c r="GJ46" s="474"/>
      <c r="GK46" s="474"/>
      <c r="GL46" s="474"/>
      <c r="GM46" s="474"/>
      <c r="GN46" s="474"/>
      <c r="GO46" s="474"/>
      <c r="GP46" s="480"/>
      <c r="GQ46" s="189"/>
      <c r="GR46" s="190"/>
      <c r="GS46" s="190"/>
      <c r="GT46" s="190"/>
      <c r="GU46" s="190"/>
      <c r="GV46" s="190"/>
      <c r="GW46" s="190"/>
      <c r="GX46" s="199"/>
    </row>
    <row r="47" spans="1:206" s="11" customFormat="1">
      <c r="A47" s="113" t="s">
        <v>136</v>
      </c>
      <c r="C47" s="1"/>
      <c r="D47" s="1"/>
      <c r="E47" s="1"/>
      <c r="F47" s="1"/>
      <c r="G47" s="1"/>
      <c r="H47" s="52">
        <v>69.750966518345606</v>
      </c>
      <c r="I47" s="45">
        <v>18.692129258151578</v>
      </c>
      <c r="J47" s="45">
        <v>9.1590050331898745</v>
      </c>
      <c r="K47" s="45">
        <v>2.2703333576482603</v>
      </c>
      <c r="L47" s="43">
        <v>0.12756583266467283</v>
      </c>
      <c r="M47" s="264">
        <f t="shared" ref="M47:M58" si="270">SUM(I47:L47)</f>
        <v>30.249033481654386</v>
      </c>
      <c r="N47" s="66"/>
      <c r="O47" s="1"/>
      <c r="P47" s="1"/>
      <c r="Q47" s="1"/>
      <c r="R47" s="134">
        <v>35.056445806314912</v>
      </c>
      <c r="S47" s="52">
        <v>64.651165001724536</v>
      </c>
      <c r="T47" s="45">
        <v>21.137520011789196</v>
      </c>
      <c r="U47" s="45">
        <v>11.150772292644588</v>
      </c>
      <c r="V47" s="45">
        <v>2.9122798307046209</v>
      </c>
      <c r="W47" s="45">
        <v>0.14826286313705625</v>
      </c>
      <c r="X47" s="261">
        <f t="shared" ref="X47:X58" si="271">SUM(T47:W47)</f>
        <v>35.348834998275457</v>
      </c>
      <c r="Y47" s="52">
        <v>64.400000000000006</v>
      </c>
      <c r="Z47" s="45">
        <v>21</v>
      </c>
      <c r="AA47" s="45">
        <v>11.6</v>
      </c>
      <c r="AB47" s="45">
        <v>3</v>
      </c>
      <c r="AC47" s="45">
        <v>0.1</v>
      </c>
      <c r="AD47" s="261">
        <f t="shared" ref="AD47:AD58" si="272">SUM(Z47:AC47)</f>
        <v>35.700000000000003</v>
      </c>
      <c r="AE47" s="52">
        <v>63.6</v>
      </c>
      <c r="AF47" s="45">
        <v>21.1</v>
      </c>
      <c r="AG47" s="45">
        <v>12.2</v>
      </c>
      <c r="AH47" s="45">
        <v>3</v>
      </c>
      <c r="AI47" s="45">
        <v>0.1</v>
      </c>
      <c r="AJ47" s="261">
        <f t="shared" ref="AJ47:AJ58" si="273">SUM(AF47:AI47)</f>
        <v>36.4</v>
      </c>
      <c r="AK47" s="258">
        <f>100-62.8</f>
        <v>37.200000000000003</v>
      </c>
      <c r="AL47" s="258">
        <f>100-62</f>
        <v>38</v>
      </c>
      <c r="AM47" s="258">
        <f>100-61.4</f>
        <v>38.6</v>
      </c>
      <c r="AN47" s="258">
        <f>100-60.7</f>
        <v>39.299999999999997</v>
      </c>
      <c r="AO47" s="77">
        <v>59.76731654555465</v>
      </c>
      <c r="AP47" s="68">
        <v>21.308556456682766</v>
      </c>
      <c r="AQ47" s="68">
        <v>15.39668253292672</v>
      </c>
      <c r="AR47" s="68">
        <v>3.3578811319060207</v>
      </c>
      <c r="AS47" s="68">
        <v>0.16956333292984355</v>
      </c>
      <c r="AT47" s="261">
        <f t="shared" ref="AT47:AT58" si="274">SUM(AP47:AS47)</f>
        <v>40.232683454445343</v>
      </c>
      <c r="AU47" s="68">
        <v>58.954393448653583</v>
      </c>
      <c r="AV47" s="68">
        <v>21.216564134921896</v>
      </c>
      <c r="AW47" s="68">
        <v>16.198535187224429</v>
      </c>
      <c r="AX47" s="68">
        <v>3.4598489613984031</v>
      </c>
      <c r="AY47" s="68">
        <v>0.17065826780168497</v>
      </c>
      <c r="AZ47" s="261">
        <f t="shared" ref="AZ47:AZ58" si="275">SUM(AV47:AY47)</f>
        <v>41.04560655134641</v>
      </c>
      <c r="BA47" s="68">
        <v>58.263629895014226</v>
      </c>
      <c r="BB47" s="68">
        <v>21.101801325888701</v>
      </c>
      <c r="BC47" s="68">
        <v>16.920986456589549</v>
      </c>
      <c r="BD47" s="68">
        <v>3.5467067014620088</v>
      </c>
      <c r="BE47" s="68">
        <v>0.16687562104552037</v>
      </c>
      <c r="BF47" s="261">
        <f t="shared" ref="BF47:BF58" si="276">SUM(BB47:BE47)</f>
        <v>41.736370104985774</v>
      </c>
      <c r="BG47" s="68">
        <v>57.391926837290171</v>
      </c>
      <c r="BH47" s="68">
        <v>21.146989401516734</v>
      </c>
      <c r="BI47" s="68">
        <v>17.655825120028407</v>
      </c>
      <c r="BJ47" s="68">
        <v>3.6109666005223326</v>
      </c>
      <c r="BK47" s="68">
        <v>0.19429204064235367</v>
      </c>
      <c r="BL47" s="199">
        <f t="shared" ref="BL47:BL58" si="277">SUM(BH47:BK47)</f>
        <v>42.608073162709829</v>
      </c>
      <c r="BM47" s="68">
        <v>56.983818552580701</v>
      </c>
      <c r="BN47" s="68">
        <v>20.706536228716367</v>
      </c>
      <c r="BO47" s="68">
        <v>18.424608674139709</v>
      </c>
      <c r="BP47" s="68">
        <v>3.7010047052776449</v>
      </c>
      <c r="BQ47" s="68">
        <v>0.18403183928558561</v>
      </c>
      <c r="BR47" s="191">
        <f t="shared" ref="BR47:BR58" si="278">SUM(BN47:BQ47)</f>
        <v>43.016181447419314</v>
      </c>
      <c r="BS47" s="77">
        <v>56.388941123149095</v>
      </c>
      <c r="BT47" s="68">
        <v>20.646531564761645</v>
      </c>
      <c r="BU47" s="68">
        <v>18.952357533064287</v>
      </c>
      <c r="BV47" s="68">
        <v>3.8218120627389718</v>
      </c>
      <c r="BW47" s="68">
        <v>0.19035771628599943</v>
      </c>
      <c r="BX47" s="191">
        <f t="shared" ref="BX47:BX58" si="279">SUM(BT47:BW47)</f>
        <v>43.611058876850905</v>
      </c>
      <c r="BY47" s="38">
        <v>2071836</v>
      </c>
      <c r="BZ47" s="6">
        <v>1158575</v>
      </c>
      <c r="CA47" s="6">
        <v>419860</v>
      </c>
      <c r="CB47" s="6">
        <v>408302</v>
      </c>
      <c r="CC47" s="6">
        <v>80675</v>
      </c>
      <c r="CD47" s="6">
        <v>4424</v>
      </c>
      <c r="CE47" s="189">
        <f t="shared" ref="CE47:CE58" si="280">(BZ47/$BY47)*100</f>
        <v>55.920207970128914</v>
      </c>
      <c r="CF47" s="190">
        <f t="shared" ref="CF47:CF58" si="281">(CA47/$BY47)*100</f>
        <v>20.265117509300929</v>
      </c>
      <c r="CG47" s="190">
        <f t="shared" ref="CG47:CG58" si="282">(CB47/$BY47)*100</f>
        <v>19.70725482132756</v>
      </c>
      <c r="CH47" s="190">
        <f t="shared" ref="CH47:CH58" si="283">(CC47/$BY47)*100</f>
        <v>3.893889284673111</v>
      </c>
      <c r="CI47" s="190">
        <f t="shared" ref="CI47:CI58" si="284">(CD47/$BY47)*100</f>
        <v>0.21353041456949295</v>
      </c>
      <c r="CJ47" s="191">
        <f t="shared" ref="CJ47:CJ58" si="285">SUM(CF47:CI47)</f>
        <v>44.079792029871086</v>
      </c>
      <c r="CK47" s="38">
        <v>2054675</v>
      </c>
      <c r="CL47" s="6">
        <v>1137292</v>
      </c>
      <c r="CM47" s="6">
        <v>409712</v>
      </c>
      <c r="CN47" s="6">
        <v>419783</v>
      </c>
      <c r="CO47" s="6">
        <v>82646</v>
      </c>
      <c r="CP47" s="6">
        <v>5242</v>
      </c>
      <c r="CQ47" s="189">
        <f t="shared" ref="CQ47:CQ58" si="286">(CL47/CK47)*100</f>
        <v>55.351430274860988</v>
      </c>
      <c r="CR47" s="190">
        <f t="shared" ref="CR47:CR58" si="287">(CM47/CK47)*100</f>
        <v>19.940477204424056</v>
      </c>
      <c r="CS47" s="190">
        <f t="shared" ref="CS47:CS58" si="288">(CN47/CK47)*100</f>
        <v>20.430627714845414</v>
      </c>
      <c r="CT47" s="190">
        <f t="shared" ref="CT47:CT58" si="289">(CO47/CK47)*100</f>
        <v>4.0223392994025815</v>
      </c>
      <c r="CU47" s="190">
        <f t="shared" ref="CU47:CU58" si="290">(CP47/CK47)*100</f>
        <v>0.25512550646695947</v>
      </c>
      <c r="CV47" s="191">
        <f t="shared" ref="CV47:CV58" si="291">SUM(CR47:CU47)</f>
        <v>44.648569725139012</v>
      </c>
      <c r="CW47" s="38">
        <f t="shared" ref="CW47:CW58" si="292">SUM(CX47:DC47)</f>
        <v>2065457</v>
      </c>
      <c r="CX47" s="6">
        <v>1122402</v>
      </c>
      <c r="CY47" s="6">
        <v>412518</v>
      </c>
      <c r="CZ47" s="6">
        <v>440318</v>
      </c>
      <c r="DA47" s="6">
        <v>3791</v>
      </c>
      <c r="DB47" s="6">
        <v>86428</v>
      </c>
      <c r="DC47" s="6"/>
      <c r="DD47" s="189">
        <f t="shared" ref="DD47:DD58" si="293">(CX47/CW47)*100</f>
        <v>54.341581548296581</v>
      </c>
      <c r="DE47" s="190">
        <f t="shared" ref="DE47:DE58" si="294">(CY47/CW47)*100</f>
        <v>19.972238589329141</v>
      </c>
      <c r="DF47" s="190">
        <f t="shared" ref="DF47:DF58" si="295">(CZ47/CW47)*100</f>
        <v>21.318187694055119</v>
      </c>
      <c r="DG47" s="190">
        <f t="shared" ref="DG47:DG58" si="296">(DB47/CW47)*100</f>
        <v>4.1844492526351313</v>
      </c>
      <c r="DH47" s="190">
        <f t="shared" ref="DH47:DH58" si="297">(DA47/CW47)*100</f>
        <v>0.18354291568403505</v>
      </c>
      <c r="DI47" s="190"/>
      <c r="DJ47" s="191">
        <f t="shared" si="20"/>
        <v>45.658418451703433</v>
      </c>
      <c r="DK47" s="382">
        <v>2042604</v>
      </c>
      <c r="DL47" s="6">
        <v>1107656</v>
      </c>
      <c r="DM47" s="6">
        <v>398093</v>
      </c>
      <c r="DN47" s="6">
        <v>444007</v>
      </c>
      <c r="DO47" s="6">
        <v>4784</v>
      </c>
      <c r="DP47" s="6">
        <v>88064</v>
      </c>
      <c r="DQ47" s="6"/>
      <c r="DR47" s="189">
        <f t="shared" ref="DR47:DR58" si="298">(DL47/DK47)*100</f>
        <v>54.227642754053164</v>
      </c>
      <c r="DS47" s="190">
        <f t="shared" ref="DS47:DS58" si="299">(DM47/DK47)*100</f>
        <v>19.489484990727522</v>
      </c>
      <c r="DT47" s="190">
        <f t="shared" ref="DT47:DT58" si="300">(DN47/DK47)*100</f>
        <v>21.737301992946261</v>
      </c>
      <c r="DU47" s="190">
        <f t="shared" ref="DU47:DU58" si="301">(DP47/DK47)*100</f>
        <v>4.311359421601054</v>
      </c>
      <c r="DV47" s="190">
        <f t="shared" ref="DV47:DV58" si="302">(DO47/DK47)*100</f>
        <v>0.23421084067200496</v>
      </c>
      <c r="DW47" s="190"/>
      <c r="DX47" s="191">
        <f t="shared" ref="DX47:DX58" si="303">SUM(DS47:DW47)</f>
        <v>45.772357245946843</v>
      </c>
      <c r="DY47" s="382">
        <v>2091654</v>
      </c>
      <c r="DZ47" s="6">
        <v>1072617</v>
      </c>
      <c r="EA47" s="6">
        <v>384701</v>
      </c>
      <c r="EB47" s="6">
        <v>479515</v>
      </c>
      <c r="EC47" s="6">
        <v>6846</v>
      </c>
      <c r="ED47" s="6">
        <v>87775</v>
      </c>
      <c r="EE47" s="6">
        <v>60200</v>
      </c>
      <c r="EF47" s="189">
        <f t="shared" ref="EF47:EF58" si="304">(DZ47/DY47)*100</f>
        <v>51.280804569015714</v>
      </c>
      <c r="EG47" s="190">
        <f t="shared" ref="EG47:EG58" si="305">(EA47/DY47)*100</f>
        <v>18.392191060280524</v>
      </c>
      <c r="EH47" s="190">
        <f t="shared" ref="EH47:EH58" si="306">(EB47/DY47)*100</f>
        <v>22.925158749965338</v>
      </c>
      <c r="EI47" s="190">
        <f t="shared" ref="EI47:EI58" si="307">(ED47/DY47)*100</f>
        <v>4.1964397553323831</v>
      </c>
      <c r="EJ47" s="190">
        <f t="shared" ref="EJ47:EJ58" si="308">(EC47/DY47)*100</f>
        <v>0.32730078684141833</v>
      </c>
      <c r="EK47" s="190"/>
      <c r="EL47" s="191">
        <f t="shared" ref="EL47:EL58" si="309">SUM(EG47:EK47)</f>
        <v>45.841090352419663</v>
      </c>
      <c r="EM47" s="11">
        <v>2083097</v>
      </c>
      <c r="EN47" s="444">
        <f t="shared" si="200"/>
        <v>1058714.0000000002</v>
      </c>
      <c r="EO47" s="444">
        <f t="shared" si="201"/>
        <v>375919</v>
      </c>
      <c r="EP47" s="444">
        <f t="shared" si="202"/>
        <v>493698</v>
      </c>
      <c r="EQ47" s="444">
        <f t="shared" si="203"/>
        <v>87546.000000000015</v>
      </c>
      <c r="ER47" s="444">
        <f t="shared" si="204"/>
        <v>2009</v>
      </c>
      <c r="ES47" s="444">
        <f t="shared" si="205"/>
        <v>6260.0000000000009</v>
      </c>
      <c r="ET47" s="444">
        <f t="shared" si="206"/>
        <v>58951</v>
      </c>
      <c r="EU47" s="148">
        <v>50.824037478811604</v>
      </c>
      <c r="EV47" s="148">
        <v>18.046159156294689</v>
      </c>
      <c r="EW47" s="148">
        <v>23.700192549842853</v>
      </c>
      <c r="EX47" s="148">
        <v>4.2026847525583308</v>
      </c>
      <c r="EY47" s="148">
        <v>9.6442940487168866E-2</v>
      </c>
      <c r="EZ47" s="148">
        <v>0.30051409031840576</v>
      </c>
      <c r="FA47" s="148">
        <v>2.8299690316869546</v>
      </c>
      <c r="FB47" s="191">
        <f t="shared" si="255"/>
        <v>49.175962521188417</v>
      </c>
      <c r="FC47">
        <v>2072880</v>
      </c>
      <c r="FD47">
        <v>1046882</v>
      </c>
      <c r="FE47" s="11">
        <v>365764</v>
      </c>
      <c r="FF47">
        <v>500426</v>
      </c>
      <c r="FG47">
        <v>89903</v>
      </c>
      <c r="FH47">
        <v>2041</v>
      </c>
      <c r="FI47" s="11">
        <v>6017</v>
      </c>
      <c r="FJ47">
        <v>61847</v>
      </c>
      <c r="FK47" s="189">
        <f t="shared" si="256"/>
        <v>50.503743583806106</v>
      </c>
      <c r="FL47" s="190">
        <f t="shared" si="257"/>
        <v>17.645208598664659</v>
      </c>
      <c r="FM47" s="190">
        <f t="shared" si="258"/>
        <v>24.141580795801008</v>
      </c>
      <c r="FN47" s="190">
        <f t="shared" si="259"/>
        <v>4.3371058623750525</v>
      </c>
      <c r="FO47" s="190">
        <f t="shared" si="260"/>
        <v>9.8462043147697881E-2</v>
      </c>
      <c r="FP47" s="190">
        <f t="shared" si="261"/>
        <v>0.29027247115124849</v>
      </c>
      <c r="FQ47" s="190">
        <f t="shared" si="262"/>
        <v>2.9836266450542239</v>
      </c>
      <c r="FR47" s="199">
        <f t="shared" si="37"/>
        <v>49.496256416193894</v>
      </c>
      <c r="FS47" s="474">
        <v>2066990</v>
      </c>
      <c r="FT47" s="474">
        <v>1030764</v>
      </c>
      <c r="FU47" s="474">
        <v>362760</v>
      </c>
      <c r="FV47" s="474">
        <v>509126</v>
      </c>
      <c r="FW47" s="474">
        <v>92419</v>
      </c>
      <c r="FX47" s="474">
        <v>2183</v>
      </c>
      <c r="FY47" s="474">
        <v>6164</v>
      </c>
      <c r="FZ47" s="480">
        <v>63574</v>
      </c>
      <c r="GA47" s="189">
        <f t="shared" si="39"/>
        <v>49.867875509799276</v>
      </c>
      <c r="GB47" s="190">
        <f t="shared" si="40"/>
        <v>17.550157475362727</v>
      </c>
      <c r="GC47" s="190">
        <f t="shared" si="41"/>
        <v>24.631275429489257</v>
      </c>
      <c r="GD47" s="190">
        <f t="shared" si="42"/>
        <v>4.4711875722669197</v>
      </c>
      <c r="GE47" s="190">
        <f t="shared" si="43"/>
        <v>0.10561250901068703</v>
      </c>
      <c r="GF47" s="190">
        <f t="shared" si="44"/>
        <v>0.29821140886022673</v>
      </c>
      <c r="GG47" s="190">
        <f t="shared" si="45"/>
        <v>3.0756800952109105</v>
      </c>
      <c r="GH47" s="199">
        <f t="shared" si="46"/>
        <v>50.132124490200738</v>
      </c>
      <c r="GI47" s="474">
        <v>2050239</v>
      </c>
      <c r="GJ47" s="474">
        <v>1012915</v>
      </c>
      <c r="GK47" s="474">
        <v>357850</v>
      </c>
      <c r="GL47" s="474">
        <v>513628</v>
      </c>
      <c r="GM47" s="474">
        <v>93901</v>
      </c>
      <c r="GN47" s="474">
        <v>2170</v>
      </c>
      <c r="GO47" s="474">
        <v>6046</v>
      </c>
      <c r="GP47" s="480">
        <v>63729</v>
      </c>
      <c r="GQ47" s="189">
        <f t="shared" ref="GQ47:GQ58" si="310">(GJ47/GI47)*100</f>
        <v>49.404727936596657</v>
      </c>
      <c r="GR47" s="190">
        <f t="shared" ref="GR47:GR58" si="311">(GK47/GI47)*100</f>
        <v>17.454062672693283</v>
      </c>
      <c r="GS47" s="190">
        <f t="shared" ref="GS47:GS58" si="312">(GL47/GI47)*100</f>
        <v>25.052103681570781</v>
      </c>
      <c r="GT47" s="190">
        <f t="shared" ref="GT47:GT58" si="313">(GM47/GI47)*100</f>
        <v>4.5800026240843135</v>
      </c>
      <c r="GU47" s="190">
        <f t="shared" ref="GU47:GU58" si="314">(GN47/GI47)*100</f>
        <v>0.10584131898768874</v>
      </c>
      <c r="GV47" s="190">
        <f t="shared" ref="GV47:GV58" si="315">(GO47/GI47)*100</f>
        <v>0.29489244912422402</v>
      </c>
      <c r="GW47" s="190">
        <f t="shared" ref="GW47:GW58" si="316">(GP47/GI47)*100</f>
        <v>3.1083693169430489</v>
      </c>
      <c r="GX47" s="199">
        <f t="shared" si="55"/>
        <v>50.595272063403343</v>
      </c>
    </row>
    <row r="48" spans="1:206" s="11" customFormat="1">
      <c r="A48" s="113" t="s">
        <v>137</v>
      </c>
      <c r="C48" s="1"/>
      <c r="D48" s="1"/>
      <c r="E48" s="1"/>
      <c r="F48" s="1"/>
      <c r="G48" s="1"/>
      <c r="H48" s="52">
        <v>88.703439960156928</v>
      </c>
      <c r="I48" s="45">
        <v>9.0156314166135143</v>
      </c>
      <c r="J48" s="45">
        <v>1.6969130355005286</v>
      </c>
      <c r="K48" s="45">
        <v>0.50039755699044985</v>
      </c>
      <c r="L48" s="43">
        <v>8.3618030738582247E-2</v>
      </c>
      <c r="M48" s="264">
        <f t="shared" si="270"/>
        <v>11.296560039843076</v>
      </c>
      <c r="N48" s="66"/>
      <c r="O48" s="1"/>
      <c r="P48" s="1"/>
      <c r="Q48" s="1"/>
      <c r="R48" s="134">
        <v>13.776503987765508</v>
      </c>
      <c r="S48" s="52">
        <v>85.924466127400365</v>
      </c>
      <c r="T48" s="45">
        <v>11.099558527929348</v>
      </c>
      <c r="U48" s="45">
        <v>2.0583389341499303</v>
      </c>
      <c r="V48" s="45">
        <v>0.76426551288118783</v>
      </c>
      <c r="W48" s="45">
        <v>0.1533708976391652</v>
      </c>
      <c r="X48" s="261">
        <f t="shared" si="271"/>
        <v>14.075533872599632</v>
      </c>
      <c r="Y48" s="52">
        <v>85.7</v>
      </c>
      <c r="Z48" s="45">
        <v>11.2</v>
      </c>
      <c r="AA48" s="45">
        <v>2.2000000000000002</v>
      </c>
      <c r="AB48" s="45">
        <v>0.8</v>
      </c>
      <c r="AC48" s="45">
        <v>0.2</v>
      </c>
      <c r="AD48" s="261">
        <f t="shared" si="272"/>
        <v>14.399999999999999</v>
      </c>
      <c r="AE48" s="52">
        <v>85.6</v>
      </c>
      <c r="AF48" s="45">
        <v>11.1</v>
      </c>
      <c r="AG48" s="45">
        <v>2.2999999999999998</v>
      </c>
      <c r="AH48" s="45">
        <v>0.8</v>
      </c>
      <c r="AI48" s="45">
        <v>0.2</v>
      </c>
      <c r="AJ48" s="261">
        <f t="shared" si="273"/>
        <v>14.399999999999999</v>
      </c>
      <c r="AK48" s="258">
        <f>100-85.4</f>
        <v>14.599999999999994</v>
      </c>
      <c r="AL48" s="258">
        <f>100-85.1</f>
        <v>14.900000000000006</v>
      </c>
      <c r="AM48" s="258">
        <f>100-84.7</f>
        <v>15.299999999999997</v>
      </c>
      <c r="AN48" s="258">
        <f>100-84.3</f>
        <v>15.700000000000003</v>
      </c>
      <c r="AO48" s="77">
        <v>83.608178119234751</v>
      </c>
      <c r="AP48" s="68">
        <v>11.684500492810027</v>
      </c>
      <c r="AQ48" s="68">
        <v>3.5135585938487202</v>
      </c>
      <c r="AR48" s="68">
        <v>0.98107104046096694</v>
      </c>
      <c r="AS48" s="68">
        <v>0.21269175364553058</v>
      </c>
      <c r="AT48" s="261">
        <f t="shared" si="274"/>
        <v>16.391821880765246</v>
      </c>
      <c r="AU48" s="68">
        <v>82.994238721134622</v>
      </c>
      <c r="AV48" s="68">
        <v>11.831452225757003</v>
      </c>
      <c r="AW48" s="68">
        <v>3.9094177183167309</v>
      </c>
      <c r="AX48" s="68">
        <v>1.0251643103882715</v>
      </c>
      <c r="AY48" s="68">
        <v>0.23972702440336782</v>
      </c>
      <c r="AZ48" s="261">
        <f t="shared" si="275"/>
        <v>17.005761278865371</v>
      </c>
      <c r="BA48" s="68">
        <v>82.23379929845845</v>
      </c>
      <c r="BB48" s="68">
        <v>12.182201276183104</v>
      </c>
      <c r="BC48" s="68">
        <v>4.2700057065098109</v>
      </c>
      <c r="BD48" s="68">
        <v>1.0447302576708661</v>
      </c>
      <c r="BE48" s="68">
        <v>0.26926346117777578</v>
      </c>
      <c r="BF48" s="261">
        <f t="shared" si="276"/>
        <v>17.766200701541557</v>
      </c>
      <c r="BG48" s="68">
        <v>81.529073160117505</v>
      </c>
      <c r="BH48" s="68">
        <v>12.37382179275421</v>
      </c>
      <c r="BI48" s="68">
        <v>4.7720731502269871</v>
      </c>
      <c r="BJ48" s="68">
        <v>1.0801428189937392</v>
      </c>
      <c r="BK48" s="68">
        <v>0.24488907790756326</v>
      </c>
      <c r="BL48" s="199">
        <f t="shared" si="277"/>
        <v>18.470926839882498</v>
      </c>
      <c r="BM48" s="68">
        <v>81.039077767812728</v>
      </c>
      <c r="BN48" s="68">
        <v>12.381284341869764</v>
      </c>
      <c r="BO48" s="68">
        <v>5.185989496234388</v>
      </c>
      <c r="BP48" s="68">
        <v>1.1260608529120339</v>
      </c>
      <c r="BQ48" s="68">
        <v>0.26758754117107975</v>
      </c>
      <c r="BR48" s="191">
        <f t="shared" si="278"/>
        <v>18.960922232187261</v>
      </c>
      <c r="BS48" s="77">
        <v>80.337850502505276</v>
      </c>
      <c r="BT48" s="68">
        <v>12.453551352928558</v>
      </c>
      <c r="BU48" s="68">
        <v>5.7377967834251518</v>
      </c>
      <c r="BV48" s="68">
        <v>1.2168917521888594</v>
      </c>
      <c r="BW48" s="68">
        <v>0.25390960895214942</v>
      </c>
      <c r="BX48" s="191">
        <f t="shared" si="279"/>
        <v>19.66214949749472</v>
      </c>
      <c r="BY48" s="38">
        <v>1010195</v>
      </c>
      <c r="BZ48" s="6">
        <v>802929</v>
      </c>
      <c r="CA48" s="6">
        <v>127356</v>
      </c>
      <c r="CB48" s="6">
        <v>63888</v>
      </c>
      <c r="CC48" s="6">
        <v>13291</v>
      </c>
      <c r="CD48" s="6">
        <v>2731</v>
      </c>
      <c r="CE48" s="189">
        <f t="shared" si="280"/>
        <v>79.482575146382629</v>
      </c>
      <c r="CF48" s="190">
        <f t="shared" si="281"/>
        <v>12.607070912051633</v>
      </c>
      <c r="CG48" s="190">
        <f t="shared" si="282"/>
        <v>6.3243235216963072</v>
      </c>
      <c r="CH48" s="190">
        <f t="shared" si="283"/>
        <v>1.3156865753641622</v>
      </c>
      <c r="CI48" s="190">
        <f t="shared" si="284"/>
        <v>0.27034384450526877</v>
      </c>
      <c r="CJ48" s="191">
        <f t="shared" si="285"/>
        <v>20.517424853617371</v>
      </c>
      <c r="CK48" s="38">
        <v>1007441</v>
      </c>
      <c r="CL48" s="6">
        <v>794693</v>
      </c>
      <c r="CM48" s="6">
        <v>127720</v>
      </c>
      <c r="CN48" s="6">
        <v>68105</v>
      </c>
      <c r="CO48" s="6">
        <v>14102</v>
      </c>
      <c r="CP48" s="6">
        <v>2821</v>
      </c>
      <c r="CQ48" s="189">
        <f t="shared" si="286"/>
        <v>78.8823365338516</v>
      </c>
      <c r="CR48" s="190">
        <f t="shared" si="287"/>
        <v>12.677665491080866</v>
      </c>
      <c r="CS48" s="190">
        <f t="shared" si="288"/>
        <v>6.7601973713597125</v>
      </c>
      <c r="CT48" s="190">
        <f t="shared" si="289"/>
        <v>1.3997842057251988</v>
      </c>
      <c r="CU48" s="190">
        <f t="shared" si="290"/>
        <v>0.28001639798261141</v>
      </c>
      <c r="CV48" s="191">
        <f t="shared" si="291"/>
        <v>21.117663466148386</v>
      </c>
      <c r="CW48" s="38">
        <f t="shared" si="292"/>
        <v>1003057</v>
      </c>
      <c r="CX48" s="6">
        <v>785887</v>
      </c>
      <c r="CY48" s="6">
        <v>127918</v>
      </c>
      <c r="CZ48" s="6">
        <v>71273</v>
      </c>
      <c r="DA48" s="6">
        <v>2745</v>
      </c>
      <c r="DB48" s="6">
        <v>15234</v>
      </c>
      <c r="DC48" s="6"/>
      <c r="DD48" s="189">
        <f t="shared" si="293"/>
        <v>78.349186536757131</v>
      </c>
      <c r="DE48" s="190">
        <f t="shared" si="294"/>
        <v>12.752814645628312</v>
      </c>
      <c r="DF48" s="190">
        <f t="shared" si="295"/>
        <v>7.10557824729801</v>
      </c>
      <c r="DG48" s="190">
        <f t="shared" si="296"/>
        <v>1.5187571593638249</v>
      </c>
      <c r="DH48" s="190">
        <f t="shared" si="297"/>
        <v>0.27366341095271757</v>
      </c>
      <c r="DI48" s="190"/>
      <c r="DJ48" s="191">
        <f t="shared" si="20"/>
        <v>21.650813463242866</v>
      </c>
      <c r="DK48" s="382">
        <v>999933</v>
      </c>
      <c r="DL48" s="6">
        <v>777969</v>
      </c>
      <c r="DM48" s="6">
        <v>128213</v>
      </c>
      <c r="DN48" s="6">
        <v>74305</v>
      </c>
      <c r="DO48" s="6">
        <v>2904</v>
      </c>
      <c r="DP48" s="6">
        <v>16542</v>
      </c>
      <c r="DQ48" s="6"/>
      <c r="DR48" s="189">
        <f t="shared" si="298"/>
        <v>77.802112741553685</v>
      </c>
      <c r="DS48" s="190">
        <f t="shared" si="299"/>
        <v>12.822159084658672</v>
      </c>
      <c r="DT48" s="190">
        <f t="shared" si="300"/>
        <v>7.4309978768577496</v>
      </c>
      <c r="DU48" s="190">
        <f t="shared" si="301"/>
        <v>1.6543108388262013</v>
      </c>
      <c r="DV48" s="190">
        <f t="shared" si="302"/>
        <v>0.29041945810369296</v>
      </c>
      <c r="DW48" s="190"/>
      <c r="DX48" s="191">
        <f t="shared" si="303"/>
        <v>22.197887258446315</v>
      </c>
      <c r="DY48" s="382">
        <v>1047232</v>
      </c>
      <c r="DZ48" s="6">
        <v>765473</v>
      </c>
      <c r="EA48" s="6">
        <v>126783</v>
      </c>
      <c r="EB48" s="6">
        <v>88133</v>
      </c>
      <c r="EC48" s="6">
        <v>3376</v>
      </c>
      <c r="ED48" s="6">
        <v>17470</v>
      </c>
      <c r="EE48" s="6">
        <v>45997</v>
      </c>
      <c r="EF48" s="189">
        <f t="shared" si="304"/>
        <v>73.094882509319802</v>
      </c>
      <c r="EG48" s="190">
        <f t="shared" si="305"/>
        <v>12.10648643280572</v>
      </c>
      <c r="EH48" s="190">
        <f t="shared" si="306"/>
        <v>8.4158047118499049</v>
      </c>
      <c r="EI48" s="190">
        <f t="shared" si="307"/>
        <v>1.6682072358369493</v>
      </c>
      <c r="EJ48" s="190">
        <f t="shared" si="308"/>
        <v>0.32237364786408362</v>
      </c>
      <c r="EK48" s="190"/>
      <c r="EL48" s="191">
        <f t="shared" si="309"/>
        <v>22.512872028356657</v>
      </c>
      <c r="EM48" s="11">
        <v>1040765</v>
      </c>
      <c r="EN48" s="444">
        <f t="shared" si="200"/>
        <v>754181</v>
      </c>
      <c r="EO48" s="444">
        <f t="shared" si="201"/>
        <v>126980</v>
      </c>
      <c r="EP48" s="444">
        <f t="shared" si="202"/>
        <v>93230</v>
      </c>
      <c r="EQ48" s="444">
        <f t="shared" si="203"/>
        <v>17867.999999999996</v>
      </c>
      <c r="ER48" s="444">
        <f t="shared" si="204"/>
        <v>569</v>
      </c>
      <c r="ES48" s="444">
        <f t="shared" si="205"/>
        <v>3031.9999999999995</v>
      </c>
      <c r="ET48" s="444">
        <f t="shared" si="206"/>
        <v>44905.000000000007</v>
      </c>
      <c r="EU48" s="148">
        <v>72.464100925761343</v>
      </c>
      <c r="EV48" s="148">
        <v>12.200640874741175</v>
      </c>
      <c r="EW48" s="148">
        <v>8.9578339010247277</v>
      </c>
      <c r="EX48" s="148">
        <v>1.7168140742626816</v>
      </c>
      <c r="EY48" s="148">
        <v>5.4671323497619537E-2</v>
      </c>
      <c r="EZ48" s="148">
        <v>0.29132417020172657</v>
      </c>
      <c r="FA48" s="148">
        <v>4.3146147305107307</v>
      </c>
      <c r="FB48" s="191">
        <f t="shared" si="255"/>
        <v>27.53589907423866</v>
      </c>
      <c r="FC48">
        <v>1041369</v>
      </c>
      <c r="FD48">
        <v>746143</v>
      </c>
      <c r="FE48" s="11">
        <v>127608</v>
      </c>
      <c r="FF48">
        <v>100018</v>
      </c>
      <c r="FG48">
        <v>18713</v>
      </c>
      <c r="FH48">
        <v>595</v>
      </c>
      <c r="FI48" s="11">
        <v>2834</v>
      </c>
      <c r="FJ48">
        <v>45458</v>
      </c>
      <c r="FK48" s="189">
        <f t="shared" si="256"/>
        <v>71.650202761941244</v>
      </c>
      <c r="FL48" s="190">
        <f t="shared" si="257"/>
        <v>12.253869665795698</v>
      </c>
      <c r="FM48" s="190">
        <f t="shared" si="258"/>
        <v>9.6044725740827701</v>
      </c>
      <c r="FN48" s="190">
        <f t="shared" si="259"/>
        <v>1.7969614997181595</v>
      </c>
      <c r="FO48" s="190">
        <f t="shared" si="260"/>
        <v>5.7136327276882636E-2</v>
      </c>
      <c r="FP48" s="190">
        <f t="shared" si="261"/>
        <v>0.27214176723140404</v>
      </c>
      <c r="FQ48" s="190">
        <f t="shared" si="262"/>
        <v>4.365215403953834</v>
      </c>
      <c r="FR48" s="199">
        <f t="shared" si="37"/>
        <v>28.349797238058745</v>
      </c>
      <c r="FS48" s="474">
        <v>1047385</v>
      </c>
      <c r="FT48" s="474">
        <v>742176</v>
      </c>
      <c r="FU48" s="474">
        <v>128865</v>
      </c>
      <c r="FV48" s="474">
        <v>106330</v>
      </c>
      <c r="FW48" s="474">
        <v>19902</v>
      </c>
      <c r="FX48" s="474">
        <v>660</v>
      </c>
      <c r="FY48" s="474">
        <v>2579</v>
      </c>
      <c r="FZ48" s="480">
        <v>46873</v>
      </c>
      <c r="GA48" s="189">
        <f t="shared" si="39"/>
        <v>70.859903473889744</v>
      </c>
      <c r="GB48" s="190">
        <f t="shared" si="40"/>
        <v>12.303498713462576</v>
      </c>
      <c r="GC48" s="190">
        <f t="shared" si="41"/>
        <v>10.151949856070118</v>
      </c>
      <c r="GD48" s="190">
        <f t="shared" si="42"/>
        <v>1.9001608768504419</v>
      </c>
      <c r="GE48" s="190">
        <f t="shared" si="43"/>
        <v>6.3014077917862094E-2</v>
      </c>
      <c r="GF48" s="190">
        <f t="shared" si="44"/>
        <v>0.24623228325782784</v>
      </c>
      <c r="GG48" s="190">
        <f t="shared" si="45"/>
        <v>4.47524071855144</v>
      </c>
      <c r="GH48" s="199">
        <f t="shared" si="46"/>
        <v>29.140096526110266</v>
      </c>
      <c r="GI48" s="474">
        <v>1046269</v>
      </c>
      <c r="GJ48" s="474">
        <v>733900</v>
      </c>
      <c r="GK48" s="474">
        <v>128677</v>
      </c>
      <c r="GL48" s="474">
        <v>111729</v>
      </c>
      <c r="GM48" s="474">
        <v>20868</v>
      </c>
      <c r="GN48" s="474"/>
      <c r="GO48" s="474">
        <v>2385</v>
      </c>
      <c r="GP48" s="480">
        <v>48031</v>
      </c>
      <c r="GQ48" s="189">
        <f t="shared" si="310"/>
        <v>70.144484831338787</v>
      </c>
      <c r="GR48" s="190">
        <f t="shared" si="311"/>
        <v>12.298653596732771</v>
      </c>
      <c r="GS48" s="190">
        <f t="shared" si="312"/>
        <v>10.678802487696759</v>
      </c>
      <c r="GT48" s="190">
        <f t="shared" si="313"/>
        <v>1.9945157507294968</v>
      </c>
      <c r="GU48" s="190">
        <f t="shared" si="314"/>
        <v>0</v>
      </c>
      <c r="GV48" s="190">
        <f t="shared" si="315"/>
        <v>0.22795284960177545</v>
      </c>
      <c r="GW48" s="190">
        <f t="shared" si="316"/>
        <v>4.5906932156070761</v>
      </c>
      <c r="GX48" s="199">
        <f t="shared" si="55"/>
        <v>29.790617900367877</v>
      </c>
    </row>
    <row r="49" spans="1:206" s="11" customFormat="1">
      <c r="A49" s="113" t="s">
        <v>138</v>
      </c>
      <c r="C49" s="1"/>
      <c r="D49" s="1"/>
      <c r="E49" s="1"/>
      <c r="F49" s="1"/>
      <c r="G49" s="1"/>
      <c r="H49" s="52">
        <v>94.639215003482235</v>
      </c>
      <c r="I49" s="45">
        <v>3.0077852949955228</v>
      </c>
      <c r="J49" s="45">
        <v>0.86019633203992973</v>
      </c>
      <c r="K49" s="45">
        <v>1.2262461446622226</v>
      </c>
      <c r="L49" s="43">
        <v>0.26655722482008426</v>
      </c>
      <c r="M49" s="264">
        <f t="shared" si="270"/>
        <v>5.3607849965177587</v>
      </c>
      <c r="N49" s="66"/>
      <c r="O49" s="1"/>
      <c r="P49" s="1"/>
      <c r="Q49" s="1"/>
      <c r="R49" s="134">
        <v>6.2058568544516532</v>
      </c>
      <c r="S49" s="52">
        <v>93.33024418327085</v>
      </c>
      <c r="T49" s="45">
        <v>3.13949919662039</v>
      </c>
      <c r="U49" s="45">
        <v>1.6099687273704713</v>
      </c>
      <c r="V49" s="45">
        <v>1.5279257159707051</v>
      </c>
      <c r="W49" s="45">
        <v>0.39236217676758556</v>
      </c>
      <c r="X49" s="261">
        <f t="shared" si="271"/>
        <v>6.6697558167291522</v>
      </c>
      <c r="Y49" s="52">
        <v>93.1</v>
      </c>
      <c r="Z49" s="45">
        <v>3.2</v>
      </c>
      <c r="AA49" s="45">
        <v>1.8</v>
      </c>
      <c r="AB49" s="45">
        <v>1.5</v>
      </c>
      <c r="AC49" s="45">
        <v>0.4</v>
      </c>
      <c r="AD49" s="261">
        <f t="shared" si="272"/>
        <v>6.9</v>
      </c>
      <c r="AE49" s="52">
        <v>92.7</v>
      </c>
      <c r="AF49" s="45">
        <v>3.3</v>
      </c>
      <c r="AG49" s="45">
        <v>2.1</v>
      </c>
      <c r="AH49" s="45">
        <v>1.5</v>
      </c>
      <c r="AI49" s="45">
        <v>0.4</v>
      </c>
      <c r="AJ49" s="261">
        <f t="shared" si="273"/>
        <v>7.3000000000000007</v>
      </c>
      <c r="AK49" s="258">
        <f>100-92.2</f>
        <v>7.7999999999999972</v>
      </c>
      <c r="AL49" s="258">
        <f>100-91.8</f>
        <v>8.2000000000000028</v>
      </c>
      <c r="AM49" s="258">
        <f>100-91.4</f>
        <v>8.5999999999999943</v>
      </c>
      <c r="AN49" s="258">
        <f>100-90.8</f>
        <v>9.2000000000000028</v>
      </c>
      <c r="AO49" s="77">
        <v>90.225620101801724</v>
      </c>
      <c r="AP49" s="68">
        <v>3.9838005978831705</v>
      </c>
      <c r="AQ49" s="68">
        <v>3.5620505776844147</v>
      </c>
      <c r="AR49" s="68">
        <v>1.7110366001454311</v>
      </c>
      <c r="AS49" s="68">
        <v>0.51749212248525489</v>
      </c>
      <c r="AT49" s="261">
        <f t="shared" si="274"/>
        <v>9.774379898198271</v>
      </c>
      <c r="AU49" s="68">
        <v>89.61583102162443</v>
      </c>
      <c r="AV49" s="68">
        <v>4.1065416560341772</v>
      </c>
      <c r="AW49" s="68">
        <v>4.0176403282763848</v>
      </c>
      <c r="AX49" s="68">
        <v>1.7171126824329328</v>
      </c>
      <c r="AY49" s="68">
        <v>0.54287431163208022</v>
      </c>
      <c r="AZ49" s="261">
        <f t="shared" si="275"/>
        <v>10.384168978375575</v>
      </c>
      <c r="BA49" s="68">
        <v>88.97036560834492</v>
      </c>
      <c r="BB49" s="68">
        <v>4.2780116546732749</v>
      </c>
      <c r="BC49" s="68">
        <v>4.4327160365815725</v>
      </c>
      <c r="BD49" s="68">
        <v>1.7724642790485474</v>
      </c>
      <c r="BE49" s="68">
        <v>0.54644242135169319</v>
      </c>
      <c r="BF49" s="261">
        <f t="shared" si="276"/>
        <v>11.029634391655089</v>
      </c>
      <c r="BG49" s="68">
        <v>88.179150752453111</v>
      </c>
      <c r="BH49" s="68">
        <v>4.5066143558328102</v>
      </c>
      <c r="BI49" s="68">
        <v>4.9168166308553571</v>
      </c>
      <c r="BJ49" s="68">
        <v>1.808297972262513</v>
      </c>
      <c r="BK49" s="68">
        <v>0.58912028859621046</v>
      </c>
      <c r="BL49" s="199">
        <f t="shared" si="277"/>
        <v>11.820849247546892</v>
      </c>
      <c r="BM49" s="68">
        <v>87.352164559634886</v>
      </c>
      <c r="BN49" s="68">
        <v>4.805579540014091</v>
      </c>
      <c r="BO49" s="68">
        <v>5.377373677399393</v>
      </c>
      <c r="BP49" s="68">
        <v>1.8721815357533362</v>
      </c>
      <c r="BQ49" s="68">
        <v>0.59270068719829239</v>
      </c>
      <c r="BR49" s="191">
        <f t="shared" si="278"/>
        <v>12.647835440365112</v>
      </c>
      <c r="BS49" s="77">
        <v>86.550068048034873</v>
      </c>
      <c r="BT49" s="68">
        <v>5.0976044609726943</v>
      </c>
      <c r="BU49" s="68">
        <v>5.8213128927240305</v>
      </c>
      <c r="BV49" s="68">
        <v>1.935956250698061</v>
      </c>
      <c r="BW49" s="68">
        <v>0.59505834757033349</v>
      </c>
      <c r="BX49" s="191">
        <f t="shared" si="279"/>
        <v>13.449931951965118</v>
      </c>
      <c r="BY49" s="38">
        <v>483122</v>
      </c>
      <c r="BZ49" s="6">
        <v>415001</v>
      </c>
      <c r="CA49" s="6">
        <v>25749</v>
      </c>
      <c r="CB49" s="6">
        <v>29959</v>
      </c>
      <c r="CC49" s="6">
        <v>9554</v>
      </c>
      <c r="CD49" s="6">
        <v>2859</v>
      </c>
      <c r="CE49" s="189">
        <f t="shared" si="280"/>
        <v>85.899834824330085</v>
      </c>
      <c r="CF49" s="190">
        <f t="shared" si="281"/>
        <v>5.3297096799566157</v>
      </c>
      <c r="CG49" s="190">
        <f t="shared" si="282"/>
        <v>6.2011251816311415</v>
      </c>
      <c r="CH49" s="190">
        <f t="shared" si="283"/>
        <v>1.9775543237525925</v>
      </c>
      <c r="CI49" s="190">
        <f t="shared" si="284"/>
        <v>0.59177599032956485</v>
      </c>
      <c r="CJ49" s="191">
        <f t="shared" si="285"/>
        <v>14.100165175669913</v>
      </c>
      <c r="CK49" s="38">
        <v>485115</v>
      </c>
      <c r="CL49" s="6">
        <v>412710</v>
      </c>
      <c r="CM49" s="6">
        <v>27566</v>
      </c>
      <c r="CN49" s="6">
        <v>31711</v>
      </c>
      <c r="CO49" s="6">
        <v>10114</v>
      </c>
      <c r="CP49" s="6">
        <v>3014</v>
      </c>
      <c r="CQ49" s="189">
        <f t="shared" si="286"/>
        <v>85.074673015676694</v>
      </c>
      <c r="CR49" s="190">
        <f t="shared" si="287"/>
        <v>5.682363975552188</v>
      </c>
      <c r="CS49" s="190">
        <f t="shared" si="288"/>
        <v>6.5368005524463273</v>
      </c>
      <c r="CT49" s="190">
        <f t="shared" si="289"/>
        <v>2.0848664749595458</v>
      </c>
      <c r="CU49" s="190">
        <f t="shared" si="290"/>
        <v>0.62129598136524333</v>
      </c>
      <c r="CV49" s="191">
        <f t="shared" si="291"/>
        <v>14.925326984323304</v>
      </c>
      <c r="CW49" s="38">
        <f t="shared" si="292"/>
        <v>487559</v>
      </c>
      <c r="CX49" s="6">
        <v>411941</v>
      </c>
      <c r="CY49" s="6">
        <v>28317</v>
      </c>
      <c r="CZ49" s="6">
        <v>33974</v>
      </c>
      <c r="DA49" s="6">
        <v>2784</v>
      </c>
      <c r="DB49" s="6">
        <v>10543</v>
      </c>
      <c r="DC49" s="6"/>
      <c r="DD49" s="189">
        <f t="shared" si="293"/>
        <v>84.49049243271071</v>
      </c>
      <c r="DE49" s="190">
        <f t="shared" si="294"/>
        <v>5.8079124782846794</v>
      </c>
      <c r="DF49" s="190">
        <f t="shared" si="295"/>
        <v>6.9681823122945117</v>
      </c>
      <c r="DG49" s="190">
        <f t="shared" si="296"/>
        <v>2.1624049602201989</v>
      </c>
      <c r="DH49" s="190">
        <f t="shared" si="297"/>
        <v>0.57100781648990173</v>
      </c>
      <c r="DI49" s="190"/>
      <c r="DJ49" s="191">
        <f t="shared" si="20"/>
        <v>15.50950756728929</v>
      </c>
      <c r="DK49" s="382">
        <v>491842</v>
      </c>
      <c r="DL49" s="6">
        <v>404498</v>
      </c>
      <c r="DM49" s="6">
        <v>25207</v>
      </c>
      <c r="DN49" s="6">
        <v>39604</v>
      </c>
      <c r="DO49" s="6">
        <v>2521</v>
      </c>
      <c r="DP49" s="6">
        <v>10098</v>
      </c>
      <c r="DQ49" s="6">
        <v>9914</v>
      </c>
      <c r="DR49" s="189">
        <f t="shared" si="298"/>
        <v>82.241451523050074</v>
      </c>
      <c r="DS49" s="190">
        <f t="shared" si="299"/>
        <v>5.1250198234392341</v>
      </c>
      <c r="DT49" s="190">
        <f t="shared" si="300"/>
        <v>8.0521793584118484</v>
      </c>
      <c r="DU49" s="190">
        <f t="shared" si="301"/>
        <v>2.0530983527230289</v>
      </c>
      <c r="DV49" s="190">
        <f t="shared" si="302"/>
        <v>0.51256297754156832</v>
      </c>
      <c r="DW49" s="190"/>
      <c r="DX49" s="191">
        <f t="shared" si="303"/>
        <v>15.742860512115682</v>
      </c>
      <c r="DY49" s="382">
        <v>495775</v>
      </c>
      <c r="DZ49" s="6">
        <v>404160</v>
      </c>
      <c r="EA49" s="6">
        <v>25215</v>
      </c>
      <c r="EB49" s="6">
        <v>42295</v>
      </c>
      <c r="EC49" s="6">
        <v>2362</v>
      </c>
      <c r="ED49" s="6">
        <v>10623</v>
      </c>
      <c r="EE49" s="6">
        <v>11120</v>
      </c>
      <c r="EF49" s="189">
        <f t="shared" si="304"/>
        <v>81.520851192577283</v>
      </c>
      <c r="EG49" s="190">
        <f t="shared" si="305"/>
        <v>5.0859765014371439</v>
      </c>
      <c r="EH49" s="190">
        <f t="shared" si="306"/>
        <v>8.5310876909888567</v>
      </c>
      <c r="EI49" s="190">
        <f t="shared" si="307"/>
        <v>2.1427058645554937</v>
      </c>
      <c r="EJ49" s="190">
        <f t="shared" si="308"/>
        <v>0.47642579799304119</v>
      </c>
      <c r="EK49" s="190"/>
      <c r="EL49" s="191">
        <f t="shared" si="309"/>
        <v>16.236195854974532</v>
      </c>
      <c r="EM49" s="11">
        <v>495870</v>
      </c>
      <c r="EN49" s="444">
        <f t="shared" si="200"/>
        <v>400101</v>
      </c>
      <c r="EO49" s="444">
        <f t="shared" si="201"/>
        <v>25303</v>
      </c>
      <c r="EP49" s="444">
        <f t="shared" si="202"/>
        <v>44191</v>
      </c>
      <c r="EQ49" s="444">
        <f t="shared" si="203"/>
        <v>10245</v>
      </c>
      <c r="ER49" s="444">
        <f t="shared" si="204"/>
        <v>759</v>
      </c>
      <c r="ES49" s="444">
        <f t="shared" si="205"/>
        <v>2236.0000000000005</v>
      </c>
      <c r="ET49" s="444">
        <f t="shared" si="206"/>
        <v>13035</v>
      </c>
      <c r="EU49" s="148">
        <v>80.686671909976411</v>
      </c>
      <c r="EV49" s="148">
        <v>5.1027487042974977</v>
      </c>
      <c r="EW49" s="148">
        <v>8.9118115635146307</v>
      </c>
      <c r="EX49" s="148">
        <v>2.0660657027043379</v>
      </c>
      <c r="EY49" s="148">
        <v>0.15306431121059955</v>
      </c>
      <c r="EZ49" s="148">
        <v>0.45092463750579792</v>
      </c>
      <c r="FA49" s="148">
        <v>2.6287131707907316</v>
      </c>
      <c r="FB49" s="191">
        <f t="shared" si="255"/>
        <v>19.313328090023596</v>
      </c>
      <c r="FC49">
        <v>499825</v>
      </c>
      <c r="FD49">
        <v>398951</v>
      </c>
      <c r="FE49" s="11">
        <v>25824</v>
      </c>
      <c r="FF49">
        <v>46731</v>
      </c>
      <c r="FG49">
        <v>10704</v>
      </c>
      <c r="FH49">
        <v>848</v>
      </c>
      <c r="FI49" s="11">
        <v>2122</v>
      </c>
      <c r="FJ49">
        <v>14645</v>
      </c>
      <c r="FK49" s="189">
        <f t="shared" si="256"/>
        <v>79.818136347721705</v>
      </c>
      <c r="FL49" s="190">
        <f t="shared" si="257"/>
        <v>5.1666083129095179</v>
      </c>
      <c r="FM49" s="190">
        <f t="shared" si="258"/>
        <v>9.3494723153103578</v>
      </c>
      <c r="FN49" s="190">
        <f t="shared" si="259"/>
        <v>2.1415495423398188</v>
      </c>
      <c r="FO49" s="190">
        <f t="shared" si="260"/>
        <v>0.16965938078327414</v>
      </c>
      <c r="FP49" s="190">
        <f t="shared" si="261"/>
        <v>0.42454859200720246</v>
      </c>
      <c r="FQ49" s="190">
        <f t="shared" si="262"/>
        <v>2.9300255089281251</v>
      </c>
      <c r="FR49" s="199">
        <f t="shared" si="37"/>
        <v>20.181863652278292</v>
      </c>
      <c r="FS49" s="474">
        <v>502964</v>
      </c>
      <c r="FT49" s="474">
        <v>397414</v>
      </c>
      <c r="FU49" s="474">
        <v>26745</v>
      </c>
      <c r="FV49" s="474">
        <v>48769</v>
      </c>
      <c r="FW49" s="474">
        <v>11200</v>
      </c>
      <c r="FX49" s="474">
        <v>887</v>
      </c>
      <c r="FY49" s="474">
        <v>1985</v>
      </c>
      <c r="FZ49" s="480">
        <v>15964</v>
      </c>
      <c r="GA49" s="189">
        <f t="shared" si="39"/>
        <v>79.014402621261155</v>
      </c>
      <c r="GB49" s="190">
        <f t="shared" si="40"/>
        <v>5.3174779904724794</v>
      </c>
      <c r="GC49" s="190">
        <f t="shared" si="41"/>
        <v>9.6963202137727542</v>
      </c>
      <c r="GD49" s="190">
        <f t="shared" si="42"/>
        <v>2.2267995323720982</v>
      </c>
      <c r="GE49" s="190">
        <f t="shared" si="43"/>
        <v>0.17635457010839742</v>
      </c>
      <c r="GF49" s="190">
        <f t="shared" si="44"/>
        <v>0.39466045283559059</v>
      </c>
      <c r="GG49" s="190">
        <f t="shared" si="45"/>
        <v>3.1739846191775154</v>
      </c>
      <c r="GH49" s="199">
        <f t="shared" si="46"/>
        <v>20.985597378738838</v>
      </c>
      <c r="GI49" s="474">
        <v>505311</v>
      </c>
      <c r="GJ49" s="474">
        <v>395633</v>
      </c>
      <c r="GK49" s="474">
        <v>27524</v>
      </c>
      <c r="GL49" s="474">
        <v>50415</v>
      </c>
      <c r="GM49" s="474">
        <v>11700</v>
      </c>
      <c r="GN49" s="474">
        <v>979</v>
      </c>
      <c r="GO49" s="474">
        <v>1973</v>
      </c>
      <c r="GP49" s="480">
        <v>17087</v>
      </c>
      <c r="GQ49" s="189">
        <f t="shared" si="310"/>
        <v>78.294951030157662</v>
      </c>
      <c r="GR49" s="190">
        <f t="shared" si="311"/>
        <v>5.4469425759581727</v>
      </c>
      <c r="GS49" s="190">
        <f t="shared" si="312"/>
        <v>9.9770240505352152</v>
      </c>
      <c r="GT49" s="190">
        <f t="shared" si="313"/>
        <v>2.3154057600170983</v>
      </c>
      <c r="GU49" s="190">
        <f t="shared" si="314"/>
        <v>0.19374207171425123</v>
      </c>
      <c r="GV49" s="190">
        <f t="shared" si="315"/>
        <v>0.39045261235160128</v>
      </c>
      <c r="GW49" s="190">
        <f t="shared" si="316"/>
        <v>3.3814818992659963</v>
      </c>
      <c r="GX49" s="199">
        <f t="shared" si="55"/>
        <v>21.705048969842338</v>
      </c>
    </row>
    <row r="50" spans="1:206" s="11" customFormat="1">
      <c r="A50" s="113" t="s">
        <v>139</v>
      </c>
      <c r="C50" s="1"/>
      <c r="D50" s="1"/>
      <c r="E50" s="1"/>
      <c r="F50" s="1"/>
      <c r="G50" s="1"/>
      <c r="H50" s="52">
        <v>85.551734127338506</v>
      </c>
      <c r="I50" s="45">
        <v>7.6304652292385002</v>
      </c>
      <c r="J50" s="45">
        <v>4.3721833907999663</v>
      </c>
      <c r="K50" s="45">
        <v>1.8640534777295925</v>
      </c>
      <c r="L50" s="43">
        <v>0.58156377489343447</v>
      </c>
      <c r="M50" s="264">
        <f t="shared" si="270"/>
        <v>14.448265872661494</v>
      </c>
      <c r="N50" s="66"/>
      <c r="O50" s="1"/>
      <c r="P50" s="1"/>
      <c r="Q50" s="1"/>
      <c r="R50" s="134">
        <v>15.754225576698204</v>
      </c>
      <c r="S50" s="52">
        <v>83.562565830590856</v>
      </c>
      <c r="T50" s="45">
        <v>8.3408724383432329</v>
      </c>
      <c r="U50" s="45">
        <v>5.2727844864886126</v>
      </c>
      <c r="V50" s="45">
        <v>1.8192188176061046</v>
      </c>
      <c r="W50" s="45">
        <v>1.0045584269712029</v>
      </c>
      <c r="X50" s="261">
        <f t="shared" si="271"/>
        <v>16.437434169409155</v>
      </c>
      <c r="Y50" s="52">
        <v>83</v>
      </c>
      <c r="Z50" s="45">
        <v>8.4</v>
      </c>
      <c r="AA50" s="45">
        <v>5.7</v>
      </c>
      <c r="AB50" s="45">
        <v>1.9</v>
      </c>
      <c r="AC50" s="45">
        <v>1</v>
      </c>
      <c r="AD50" s="261">
        <f t="shared" si="272"/>
        <v>17</v>
      </c>
      <c r="AE50" s="52">
        <v>82.6</v>
      </c>
      <c r="AF50" s="45">
        <v>8.5</v>
      </c>
      <c r="AG50" s="45">
        <v>6</v>
      </c>
      <c r="AH50" s="45">
        <v>1.8</v>
      </c>
      <c r="AI50" s="45">
        <v>1.1000000000000001</v>
      </c>
      <c r="AJ50" s="261">
        <f t="shared" si="273"/>
        <v>17.400000000000002</v>
      </c>
      <c r="AK50" s="258">
        <f>100-81.9</f>
        <v>18.099999999999994</v>
      </c>
      <c r="AL50" s="258">
        <f>100-81.3</f>
        <v>18.700000000000003</v>
      </c>
      <c r="AM50" s="258">
        <f>100-80.6</f>
        <v>19.400000000000006</v>
      </c>
      <c r="AN50" s="258">
        <f>100-79.7</f>
        <v>20.299999999999997</v>
      </c>
      <c r="AO50" s="77">
        <v>78.707306760304007</v>
      </c>
      <c r="AP50" s="68">
        <v>8.874441685214558</v>
      </c>
      <c r="AQ50" s="68">
        <v>8.8969781782357575</v>
      </c>
      <c r="AR50" s="68">
        <v>2.2160884804179339</v>
      </c>
      <c r="AS50" s="68">
        <v>1.3051848958277439</v>
      </c>
      <c r="AT50" s="261">
        <f t="shared" si="274"/>
        <v>21.292693239695993</v>
      </c>
      <c r="AU50" s="68">
        <v>77.764166693250814</v>
      </c>
      <c r="AV50" s="68">
        <v>8.9371657043204564</v>
      </c>
      <c r="AW50" s="68">
        <v>9.7678672068565842</v>
      </c>
      <c r="AX50" s="68">
        <v>2.19393668718963</v>
      </c>
      <c r="AY50" s="68">
        <v>1.3368637083825141</v>
      </c>
      <c r="AZ50" s="261">
        <f t="shared" si="275"/>
        <v>22.235833306749186</v>
      </c>
      <c r="BA50" s="68">
        <v>76.786415744961857</v>
      </c>
      <c r="BB50" s="68">
        <v>9.1305575668266954</v>
      </c>
      <c r="BC50" s="68">
        <v>10.402860558394927</v>
      </c>
      <c r="BD50" s="68">
        <v>2.262202281736974</v>
      </c>
      <c r="BE50" s="68">
        <v>1.4179638480795487</v>
      </c>
      <c r="BF50" s="261">
        <f t="shared" si="276"/>
        <v>23.213584255038146</v>
      </c>
      <c r="BG50" s="68">
        <v>76.430419796997043</v>
      </c>
      <c r="BH50" s="68">
        <v>8.8534843517653226</v>
      </c>
      <c r="BI50" s="68">
        <v>10.978691811465804</v>
      </c>
      <c r="BJ50" s="68">
        <v>2.2961391452984077</v>
      </c>
      <c r="BK50" s="68">
        <v>1.4412648944734245</v>
      </c>
      <c r="BL50" s="199">
        <f t="shared" si="277"/>
        <v>23.569580203002957</v>
      </c>
      <c r="BM50" s="68">
        <v>75.880482154776402</v>
      </c>
      <c r="BN50" s="68">
        <v>8.6983740582232869</v>
      </c>
      <c r="BO50" s="68">
        <v>11.642476038408349</v>
      </c>
      <c r="BP50" s="68">
        <v>2.3294113541080441</v>
      </c>
      <c r="BQ50" s="68">
        <v>1.4492563944839261</v>
      </c>
      <c r="BR50" s="191">
        <f t="shared" si="278"/>
        <v>24.119517845223601</v>
      </c>
      <c r="BS50" s="77">
        <v>75.370098303748236</v>
      </c>
      <c r="BT50" s="68">
        <v>8.6120955680714353</v>
      </c>
      <c r="BU50" s="68">
        <v>12.140281629335618</v>
      </c>
      <c r="BV50" s="68">
        <v>2.4002149775000494</v>
      </c>
      <c r="BW50" s="68">
        <v>1.4773095213446668</v>
      </c>
      <c r="BX50" s="191">
        <f t="shared" si="279"/>
        <v>24.629901696251768</v>
      </c>
      <c r="BY50" s="38">
        <v>465045</v>
      </c>
      <c r="BZ50" s="6">
        <v>343520</v>
      </c>
      <c r="CA50" s="6">
        <v>41452</v>
      </c>
      <c r="CB50" s="6">
        <v>60612</v>
      </c>
      <c r="CC50" s="6">
        <v>11761</v>
      </c>
      <c r="CD50" s="6">
        <v>7700</v>
      </c>
      <c r="CE50" s="189">
        <f t="shared" si="280"/>
        <v>73.868120289434358</v>
      </c>
      <c r="CF50" s="190">
        <f t="shared" si="281"/>
        <v>8.9135460009246419</v>
      </c>
      <c r="CG50" s="190">
        <f t="shared" si="282"/>
        <v>13.033577395735897</v>
      </c>
      <c r="CH50" s="190">
        <f t="shared" si="283"/>
        <v>2.5290025696437977</v>
      </c>
      <c r="CI50" s="190">
        <f t="shared" si="284"/>
        <v>1.6557537442613079</v>
      </c>
      <c r="CJ50" s="191">
        <f t="shared" si="285"/>
        <v>26.131879710565642</v>
      </c>
      <c r="CK50" s="38">
        <v>463890</v>
      </c>
      <c r="CL50" s="6">
        <v>339713</v>
      </c>
      <c r="CM50" s="6">
        <v>41500</v>
      </c>
      <c r="CN50" s="6">
        <v>62773</v>
      </c>
      <c r="CO50" s="6">
        <v>12221</v>
      </c>
      <c r="CP50" s="6">
        <v>7683</v>
      </c>
      <c r="CQ50" s="189">
        <f t="shared" si="286"/>
        <v>73.231369505701778</v>
      </c>
      <c r="CR50" s="190">
        <f t="shared" si="287"/>
        <v>8.9460863566793858</v>
      </c>
      <c r="CS50" s="190">
        <f t="shared" si="288"/>
        <v>13.531871779947831</v>
      </c>
      <c r="CT50" s="190">
        <f t="shared" si="289"/>
        <v>2.6344607557826207</v>
      </c>
      <c r="CU50" s="190">
        <f t="shared" si="290"/>
        <v>1.6562116018883788</v>
      </c>
      <c r="CV50" s="191">
        <f t="shared" si="291"/>
        <v>26.768630494298215</v>
      </c>
      <c r="CW50" s="38">
        <f t="shared" si="292"/>
        <v>461509</v>
      </c>
      <c r="CX50" s="6">
        <v>335960</v>
      </c>
      <c r="CY50" s="6">
        <v>40693</v>
      </c>
      <c r="CZ50" s="6">
        <v>64723</v>
      </c>
      <c r="DA50" s="6">
        <v>7325</v>
      </c>
      <c r="DB50" s="6">
        <v>12808</v>
      </c>
      <c r="DC50" s="6"/>
      <c r="DD50" s="189">
        <f t="shared" si="293"/>
        <v>72.795980143399149</v>
      </c>
      <c r="DE50" s="190">
        <f t="shared" si="294"/>
        <v>8.8173795093920155</v>
      </c>
      <c r="DF50" s="190">
        <f t="shared" si="295"/>
        <v>14.024211878858267</v>
      </c>
      <c r="DG50" s="190">
        <f t="shared" si="296"/>
        <v>2.7752438197304925</v>
      </c>
      <c r="DH50" s="190">
        <f t="shared" si="297"/>
        <v>1.5871846486200702</v>
      </c>
      <c r="DI50" s="190"/>
      <c r="DJ50" s="191">
        <f t="shared" si="20"/>
        <v>27.204019856600844</v>
      </c>
      <c r="DK50" s="382">
        <v>474489</v>
      </c>
      <c r="DL50" s="6">
        <v>326676</v>
      </c>
      <c r="DM50" s="6">
        <v>36363</v>
      </c>
      <c r="DN50" s="6">
        <v>74676</v>
      </c>
      <c r="DO50" s="6">
        <v>5926</v>
      </c>
      <c r="DP50" s="6">
        <v>11952</v>
      </c>
      <c r="DQ50" s="6">
        <v>18896</v>
      </c>
      <c r="DR50" s="189">
        <f t="shared" si="298"/>
        <v>68.847960648192057</v>
      </c>
      <c r="DS50" s="190">
        <f t="shared" si="299"/>
        <v>7.6636128550925315</v>
      </c>
      <c r="DT50" s="190">
        <f t="shared" si="300"/>
        <v>15.738194141486947</v>
      </c>
      <c r="DU50" s="190">
        <f t="shared" si="301"/>
        <v>2.5189203543180136</v>
      </c>
      <c r="DV50" s="190">
        <f t="shared" si="302"/>
        <v>1.248922525074343</v>
      </c>
      <c r="DW50" s="190"/>
      <c r="DX50" s="191">
        <f t="shared" si="303"/>
        <v>27.169649875971832</v>
      </c>
      <c r="DY50" s="382">
        <v>483701</v>
      </c>
      <c r="DZ50" s="6">
        <v>329036</v>
      </c>
      <c r="EA50" s="6">
        <v>35958</v>
      </c>
      <c r="EB50" s="6">
        <v>79129</v>
      </c>
      <c r="EC50" s="6">
        <v>6184</v>
      </c>
      <c r="ED50" s="6">
        <v>12796</v>
      </c>
      <c r="EE50" s="6">
        <v>20598</v>
      </c>
      <c r="EF50" s="189">
        <f t="shared" si="304"/>
        <v>68.024668131759086</v>
      </c>
      <c r="EG50" s="190">
        <f t="shared" si="305"/>
        <v>7.4339312922652629</v>
      </c>
      <c r="EH50" s="190">
        <f t="shared" si="306"/>
        <v>16.359073063731518</v>
      </c>
      <c r="EI50" s="190">
        <f t="shared" si="307"/>
        <v>2.6454359201242088</v>
      </c>
      <c r="EJ50" s="190">
        <f t="shared" si="308"/>
        <v>1.2784757525826906</v>
      </c>
      <c r="EK50" s="190"/>
      <c r="EL50" s="191">
        <f t="shared" si="309"/>
        <v>27.716916028703682</v>
      </c>
      <c r="EM50" s="11">
        <v>486108</v>
      </c>
      <c r="EN50" s="444">
        <f t="shared" si="200"/>
        <v>327538.00000000006</v>
      </c>
      <c r="EO50" s="444">
        <f t="shared" si="201"/>
        <v>35583.000000000007</v>
      </c>
      <c r="EP50" s="444">
        <f t="shared" si="202"/>
        <v>83488</v>
      </c>
      <c r="EQ50" s="444">
        <f t="shared" si="203"/>
        <v>12323</v>
      </c>
      <c r="ER50" s="444">
        <f t="shared" si="204"/>
        <v>768.99999999999989</v>
      </c>
      <c r="ES50" s="444">
        <f t="shared" si="205"/>
        <v>5454</v>
      </c>
      <c r="ET50" s="444">
        <f t="shared" si="206"/>
        <v>20953</v>
      </c>
      <c r="EU50" s="148">
        <v>67.379676944218161</v>
      </c>
      <c r="EV50" s="148">
        <v>7.3199782764323986</v>
      </c>
      <c r="EW50" s="148">
        <v>17.174784204333193</v>
      </c>
      <c r="EX50" s="148">
        <v>2.5350333670706919</v>
      </c>
      <c r="EY50" s="148">
        <v>0.15819529816419395</v>
      </c>
      <c r="EZ50" s="148">
        <v>1.1219728949122418</v>
      </c>
      <c r="FA50" s="148">
        <v>4.3103590148691238</v>
      </c>
      <c r="FB50" s="191">
        <f t="shared" si="255"/>
        <v>32.620323055781846</v>
      </c>
      <c r="FC50">
        <v>489043</v>
      </c>
      <c r="FD50">
        <v>325990</v>
      </c>
      <c r="FE50" s="11">
        <v>35338</v>
      </c>
      <c r="FF50">
        <v>86998</v>
      </c>
      <c r="FG50">
        <v>12525</v>
      </c>
      <c r="FH50">
        <v>761</v>
      </c>
      <c r="FI50" s="11">
        <v>5197</v>
      </c>
      <c r="FJ50">
        <v>22234</v>
      </c>
      <c r="FK50" s="189">
        <f t="shared" si="256"/>
        <v>66.658760068133077</v>
      </c>
      <c r="FL50" s="190">
        <f t="shared" si="257"/>
        <v>7.225949456387271</v>
      </c>
      <c r="FM50" s="190">
        <f t="shared" si="258"/>
        <v>17.789437738603763</v>
      </c>
      <c r="FN50" s="190">
        <f t="shared" si="259"/>
        <v>2.5611244818962748</v>
      </c>
      <c r="FO50" s="190">
        <f t="shared" si="260"/>
        <v>0.15561003838108306</v>
      </c>
      <c r="FP50" s="190">
        <f t="shared" si="261"/>
        <v>1.0626877391149654</v>
      </c>
      <c r="FQ50" s="190">
        <f t="shared" si="262"/>
        <v>4.5464304774835744</v>
      </c>
      <c r="FR50" s="199">
        <f t="shared" si="37"/>
        <v>33.341239931866937</v>
      </c>
      <c r="FS50" s="474">
        <v>496440</v>
      </c>
      <c r="FT50" s="474">
        <v>327215</v>
      </c>
      <c r="FU50" s="474">
        <v>35511</v>
      </c>
      <c r="FV50" s="474">
        <v>91469</v>
      </c>
      <c r="FW50" s="474">
        <v>13231</v>
      </c>
      <c r="FX50" s="474">
        <v>844</v>
      </c>
      <c r="FY50" s="474">
        <v>5024</v>
      </c>
      <c r="FZ50" s="480">
        <v>23146</v>
      </c>
      <c r="GA50" s="189">
        <f t="shared" si="39"/>
        <v>65.912295544275239</v>
      </c>
      <c r="GB50" s="190">
        <f t="shared" si="40"/>
        <v>7.1531302876480547</v>
      </c>
      <c r="GC50" s="190">
        <f t="shared" si="41"/>
        <v>18.42498589960519</v>
      </c>
      <c r="GD50" s="190">
        <f t="shared" si="42"/>
        <v>2.6651760535009266</v>
      </c>
      <c r="GE50" s="190">
        <f t="shared" si="43"/>
        <v>0.17001047457900251</v>
      </c>
      <c r="GF50" s="190">
        <f t="shared" si="44"/>
        <v>1.0120054790105553</v>
      </c>
      <c r="GG50" s="190">
        <f t="shared" si="45"/>
        <v>4.6623962613810326</v>
      </c>
      <c r="GH50" s="199">
        <f t="shared" si="46"/>
        <v>34.087704455724754</v>
      </c>
      <c r="GI50" s="474">
        <v>497275</v>
      </c>
      <c r="GJ50" s="474">
        <v>325029</v>
      </c>
      <c r="GK50" s="474">
        <v>35335</v>
      </c>
      <c r="GL50" s="474">
        <v>93959</v>
      </c>
      <c r="GM50" s="474">
        <v>13373</v>
      </c>
      <c r="GN50" s="474">
        <v>896</v>
      </c>
      <c r="GO50" s="474">
        <v>4872</v>
      </c>
      <c r="GP50" s="480">
        <v>23811</v>
      </c>
      <c r="GQ50" s="189">
        <f t="shared" si="310"/>
        <v>65.362023025488909</v>
      </c>
      <c r="GR50" s="190">
        <f t="shared" si="311"/>
        <v>7.1057262078326886</v>
      </c>
      <c r="GS50" s="190">
        <f t="shared" si="312"/>
        <v>18.894776532099943</v>
      </c>
      <c r="GT50" s="190">
        <f t="shared" si="313"/>
        <v>2.6892564476396359</v>
      </c>
      <c r="GU50" s="190">
        <f t="shared" si="314"/>
        <v>0.18018199185561309</v>
      </c>
      <c r="GV50" s="190">
        <f t="shared" si="315"/>
        <v>0.97973958071489631</v>
      </c>
      <c r="GW50" s="190">
        <f t="shared" si="316"/>
        <v>4.788296214368307</v>
      </c>
      <c r="GX50" s="199">
        <f t="shared" si="55"/>
        <v>34.637976974511083</v>
      </c>
    </row>
    <row r="51" spans="1:206" s="11" customFormat="1">
      <c r="A51" s="113" t="s">
        <v>142</v>
      </c>
      <c r="C51" s="1"/>
      <c r="D51" s="1"/>
      <c r="E51" s="1"/>
      <c r="F51" s="1"/>
      <c r="G51" s="1"/>
      <c r="H51" s="52">
        <v>76.449962255614324</v>
      </c>
      <c r="I51" s="45">
        <v>19.772279637948969</v>
      </c>
      <c r="J51" s="45">
        <v>1.797530263128776</v>
      </c>
      <c r="K51" s="45">
        <v>1.1558757066314549</v>
      </c>
      <c r="L51" s="43">
        <v>0.82435213667647778</v>
      </c>
      <c r="M51" s="264">
        <f t="shared" si="270"/>
        <v>23.55003774438568</v>
      </c>
      <c r="N51" s="66"/>
      <c r="O51" s="1"/>
      <c r="P51" s="1"/>
      <c r="Q51" s="1"/>
      <c r="R51" s="134">
        <v>22.143898549246259</v>
      </c>
      <c r="S51" s="52">
        <v>77.972120575564347</v>
      </c>
      <c r="T51" s="45">
        <v>17.271139608869561</v>
      </c>
      <c r="U51" s="45">
        <v>2.3607566698806508</v>
      </c>
      <c r="V51" s="45">
        <v>1.3884023303867854</v>
      </c>
      <c r="W51" s="45">
        <v>1.0075808152986512</v>
      </c>
      <c r="X51" s="261">
        <f t="shared" si="271"/>
        <v>22.02787942443565</v>
      </c>
      <c r="Y51" s="52">
        <v>77.400000000000006</v>
      </c>
      <c r="Z51" s="45">
        <v>17.5</v>
      </c>
      <c r="AA51" s="45">
        <v>2.6</v>
      </c>
      <c r="AB51" s="45">
        <v>1.5</v>
      </c>
      <c r="AC51" s="45">
        <v>1.1000000000000001</v>
      </c>
      <c r="AD51" s="261">
        <f t="shared" si="272"/>
        <v>22.700000000000003</v>
      </c>
      <c r="AE51" s="52">
        <v>76.400000000000006</v>
      </c>
      <c r="AF51" s="45">
        <v>18.399999999999999</v>
      </c>
      <c r="AG51" s="45">
        <v>2.7</v>
      </c>
      <c r="AH51" s="45">
        <v>1.5</v>
      </c>
      <c r="AI51" s="45">
        <v>1</v>
      </c>
      <c r="AJ51" s="261">
        <f t="shared" si="273"/>
        <v>23.599999999999998</v>
      </c>
      <c r="AK51" s="258">
        <f>100-75.8</f>
        <v>24.200000000000003</v>
      </c>
      <c r="AL51" s="258">
        <f>100-75.6</f>
        <v>24.400000000000006</v>
      </c>
      <c r="AM51" s="258">
        <f>100-74.7</f>
        <v>25.299999999999997</v>
      </c>
      <c r="AN51" s="258">
        <f>100-74.4</f>
        <v>25.599999999999994</v>
      </c>
      <c r="AO51" s="77">
        <v>73.840287754744139</v>
      </c>
      <c r="AP51" s="68">
        <v>19.816587709100116</v>
      </c>
      <c r="AQ51" s="68">
        <v>3.5015812806108166</v>
      </c>
      <c r="AR51" s="68">
        <v>1.8205342324314091</v>
      </c>
      <c r="AS51" s="68">
        <v>1.0210090231135258</v>
      </c>
      <c r="AT51" s="261">
        <f t="shared" si="274"/>
        <v>26.159712245255868</v>
      </c>
      <c r="AU51" s="68">
        <v>73.37236257907351</v>
      </c>
      <c r="AV51" s="68">
        <v>19.967723445513524</v>
      </c>
      <c r="AW51" s="68">
        <v>3.625998747304509</v>
      </c>
      <c r="AX51" s="68">
        <v>1.9930454599033438</v>
      </c>
      <c r="AY51" s="68">
        <v>1.0408697682051093</v>
      </c>
      <c r="AZ51" s="261">
        <f t="shared" si="275"/>
        <v>26.627637420926487</v>
      </c>
      <c r="BA51" s="68">
        <v>72.367275403817587</v>
      </c>
      <c r="BB51" s="68">
        <v>20.295732706194936</v>
      </c>
      <c r="BC51" s="68">
        <v>3.8381745066446449</v>
      </c>
      <c r="BD51" s="68">
        <v>2.0225662108244209</v>
      </c>
      <c r="BE51" s="68">
        <v>1.4762511725184124</v>
      </c>
      <c r="BF51" s="261">
        <f t="shared" si="276"/>
        <v>27.632724596182417</v>
      </c>
      <c r="BG51" s="68">
        <v>72.698289464083771</v>
      </c>
      <c r="BH51" s="68">
        <v>20.075938947867645</v>
      </c>
      <c r="BI51" s="68">
        <v>4.0609267264966622</v>
      </c>
      <c r="BJ51" s="68">
        <v>2.165246160300609</v>
      </c>
      <c r="BK51" s="68">
        <v>0.99959870125132244</v>
      </c>
      <c r="BL51" s="199">
        <f t="shared" si="277"/>
        <v>27.301710535916239</v>
      </c>
      <c r="BM51" s="68">
        <v>72.703484194369878</v>
      </c>
      <c r="BN51" s="68">
        <v>19.891869829900493</v>
      </c>
      <c r="BO51" s="68">
        <v>4.2060394235357013</v>
      </c>
      <c r="BP51" s="68">
        <v>2.2266422161798607</v>
      </c>
      <c r="BQ51" s="68">
        <v>0.97196433601407251</v>
      </c>
      <c r="BR51" s="191">
        <f t="shared" si="278"/>
        <v>27.296515805630126</v>
      </c>
      <c r="BS51" s="77">
        <v>71.892159424628758</v>
      </c>
      <c r="BT51" s="68">
        <v>20.347389387958529</v>
      </c>
      <c r="BU51" s="68">
        <v>4.3717000690487025</v>
      </c>
      <c r="BV51" s="68">
        <v>2.4268571187943415</v>
      </c>
      <c r="BW51" s="68">
        <v>0.96189399956967148</v>
      </c>
      <c r="BX51" s="191">
        <f t="shared" si="279"/>
        <v>28.107840575371245</v>
      </c>
      <c r="BY51" s="38">
        <v>1698471</v>
      </c>
      <c r="BZ51" s="6">
        <v>1220245</v>
      </c>
      <c r="CA51" s="6">
        <v>343937</v>
      </c>
      <c r="CB51" s="6">
        <v>76985</v>
      </c>
      <c r="CC51" s="6">
        <v>41359</v>
      </c>
      <c r="CD51" s="6">
        <v>15945</v>
      </c>
      <c r="CE51" s="189">
        <f t="shared" si="280"/>
        <v>71.843734747310961</v>
      </c>
      <c r="CF51" s="190">
        <f t="shared" si="281"/>
        <v>20.249801144676592</v>
      </c>
      <c r="CG51" s="190">
        <f t="shared" si="282"/>
        <v>4.5326060910077359</v>
      </c>
      <c r="CH51" s="190">
        <f t="shared" si="283"/>
        <v>2.435072485782801</v>
      </c>
      <c r="CI51" s="190">
        <f t="shared" si="284"/>
        <v>0.93878553122190478</v>
      </c>
      <c r="CJ51" s="191">
        <f t="shared" si="285"/>
        <v>28.156265252689032</v>
      </c>
      <c r="CK51" s="38">
        <v>1678581</v>
      </c>
      <c r="CL51" s="6">
        <v>1199701</v>
      </c>
      <c r="CM51" s="6">
        <v>341391</v>
      </c>
      <c r="CN51" s="6">
        <v>79527</v>
      </c>
      <c r="CO51" s="6">
        <v>42443</v>
      </c>
      <c r="CP51" s="6">
        <v>15519</v>
      </c>
      <c r="CQ51" s="189">
        <f t="shared" si="286"/>
        <v>71.471141398597979</v>
      </c>
      <c r="CR51" s="190">
        <f t="shared" si="287"/>
        <v>20.338071263763858</v>
      </c>
      <c r="CS51" s="190">
        <f t="shared" si="288"/>
        <v>4.7377517081391964</v>
      </c>
      <c r="CT51" s="190">
        <f t="shared" si="289"/>
        <v>2.5285047310794058</v>
      </c>
      <c r="CU51" s="190">
        <f t="shared" si="290"/>
        <v>0.92453089841955793</v>
      </c>
      <c r="CV51" s="191">
        <f t="shared" si="291"/>
        <v>28.528858601402018</v>
      </c>
      <c r="CW51" s="38">
        <f t="shared" si="292"/>
        <v>1642754</v>
      </c>
      <c r="CX51" s="6">
        <v>1172341</v>
      </c>
      <c r="CY51" s="6">
        <v>331444</v>
      </c>
      <c r="CZ51" s="6">
        <v>79467</v>
      </c>
      <c r="DA51" s="6">
        <v>14966</v>
      </c>
      <c r="DB51" s="6">
        <v>44536</v>
      </c>
      <c r="DC51" s="6"/>
      <c r="DD51" s="189">
        <f t="shared" si="293"/>
        <v>71.364367397674883</v>
      </c>
      <c r="DE51" s="190">
        <f t="shared" si="294"/>
        <v>20.176118883289888</v>
      </c>
      <c r="DF51" s="190">
        <f t="shared" si="295"/>
        <v>4.8374254453192629</v>
      </c>
      <c r="DG51" s="190">
        <f t="shared" si="296"/>
        <v>2.7110571637628036</v>
      </c>
      <c r="DH51" s="190">
        <f t="shared" si="297"/>
        <v>0.91103110995316405</v>
      </c>
      <c r="DI51" s="190"/>
      <c r="DJ51" s="191">
        <f t="shared" si="20"/>
        <v>28.635632602325117</v>
      </c>
      <c r="DK51" s="382">
        <v>1627940</v>
      </c>
      <c r="DL51" s="6">
        <v>1158078</v>
      </c>
      <c r="DM51" s="6">
        <v>331015</v>
      </c>
      <c r="DN51" s="6">
        <v>80138</v>
      </c>
      <c r="DO51" s="6">
        <v>14423</v>
      </c>
      <c r="DP51" s="6">
        <v>44286</v>
      </c>
      <c r="DQ51" s="6"/>
      <c r="DR51" s="189">
        <f t="shared" si="298"/>
        <v>71.137634065137533</v>
      </c>
      <c r="DS51" s="190">
        <f t="shared" si="299"/>
        <v>20.33336609457351</v>
      </c>
      <c r="DT51" s="190">
        <f t="shared" si="300"/>
        <v>4.9226629974077669</v>
      </c>
      <c r="DU51" s="190">
        <f t="shared" si="301"/>
        <v>2.7203705296263991</v>
      </c>
      <c r="DV51" s="190">
        <f t="shared" si="302"/>
        <v>0.88596631325478825</v>
      </c>
      <c r="DW51" s="190"/>
      <c r="DX51" s="191">
        <f t="shared" si="303"/>
        <v>28.862365934862463</v>
      </c>
      <c r="DY51" s="382">
        <v>1587067</v>
      </c>
      <c r="DZ51" s="6">
        <v>1107198</v>
      </c>
      <c r="EA51" s="6">
        <v>301176</v>
      </c>
      <c r="EB51" s="6">
        <v>92734</v>
      </c>
      <c r="EC51" s="6">
        <v>13003</v>
      </c>
      <c r="ED51" s="6">
        <v>43075</v>
      </c>
      <c r="EE51" s="6">
        <v>29881</v>
      </c>
      <c r="EF51" s="189">
        <f t="shared" si="304"/>
        <v>69.763784389694948</v>
      </c>
      <c r="EG51" s="190">
        <f t="shared" si="305"/>
        <v>18.97689259495661</v>
      </c>
      <c r="EH51" s="190">
        <f t="shared" si="306"/>
        <v>5.8431055525696145</v>
      </c>
      <c r="EI51" s="190">
        <f t="shared" si="307"/>
        <v>2.7141261206993783</v>
      </c>
      <c r="EJ51" s="190">
        <f t="shared" si="308"/>
        <v>0.81931008583758602</v>
      </c>
      <c r="EK51" s="190"/>
      <c r="EL51" s="191">
        <f t="shared" si="309"/>
        <v>28.353434354063189</v>
      </c>
      <c r="EM51" s="11">
        <v>1573537</v>
      </c>
      <c r="EN51" s="444">
        <f t="shared" si="200"/>
        <v>1088587</v>
      </c>
      <c r="EO51" s="444">
        <f t="shared" si="201"/>
        <v>296124</v>
      </c>
      <c r="EP51" s="444">
        <f t="shared" si="202"/>
        <v>97494</v>
      </c>
      <c r="EQ51" s="444">
        <f t="shared" si="203"/>
        <v>42827</v>
      </c>
      <c r="ER51" s="444">
        <f t="shared" si="204"/>
        <v>1347.0000000000002</v>
      </c>
      <c r="ES51" s="444">
        <f t="shared" si="205"/>
        <v>12183</v>
      </c>
      <c r="ET51" s="444">
        <f t="shared" si="206"/>
        <v>34975</v>
      </c>
      <c r="EU51" s="148">
        <v>69.180896286518845</v>
      </c>
      <c r="EV51" s="148">
        <v>18.819004573772336</v>
      </c>
      <c r="EW51" s="148">
        <v>6.1958504947770532</v>
      </c>
      <c r="EX51" s="148">
        <v>2.7217027626296679</v>
      </c>
      <c r="EY51" s="148">
        <v>8.5603325501720021E-2</v>
      </c>
      <c r="EZ51" s="148">
        <v>0.77424299523938744</v>
      </c>
      <c r="FA51" s="148">
        <v>2.2226995615609928</v>
      </c>
      <c r="FB51" s="191">
        <f t="shared" si="255"/>
        <v>30.819103713481155</v>
      </c>
      <c r="FC51">
        <v>1555370</v>
      </c>
      <c r="FD51">
        <v>1071840</v>
      </c>
      <c r="FE51" s="11">
        <v>286537</v>
      </c>
      <c r="FF51">
        <v>100397</v>
      </c>
      <c r="FG51">
        <v>44306</v>
      </c>
      <c r="FH51">
        <v>1469</v>
      </c>
      <c r="FI51" s="11">
        <v>11744</v>
      </c>
      <c r="FJ51">
        <v>39077</v>
      </c>
      <c r="FK51" s="189">
        <f t="shared" si="256"/>
        <v>68.912220243414751</v>
      </c>
      <c r="FL51" s="190">
        <f t="shared" si="257"/>
        <v>18.422433247394508</v>
      </c>
      <c r="FM51" s="190">
        <f t="shared" si="258"/>
        <v>6.4548628300661575</v>
      </c>
      <c r="FN51" s="190">
        <f t="shared" si="259"/>
        <v>2.8485826523592457</v>
      </c>
      <c r="FO51" s="190">
        <f t="shared" si="260"/>
        <v>9.444698046124074E-2</v>
      </c>
      <c r="FP51" s="190">
        <f t="shared" si="261"/>
        <v>0.75506149662138267</v>
      </c>
      <c r="FQ51" s="190">
        <f t="shared" si="262"/>
        <v>2.5123925496827124</v>
      </c>
      <c r="FR51" s="199">
        <f t="shared" si="37"/>
        <v>31.087779756585249</v>
      </c>
      <c r="FS51" s="474">
        <v>1548841</v>
      </c>
      <c r="FT51" s="474">
        <v>1058335</v>
      </c>
      <c r="FU51" s="474">
        <v>283322</v>
      </c>
      <c r="FV51" s="474">
        <v>104907</v>
      </c>
      <c r="FW51" s="474">
        <v>45560</v>
      </c>
      <c r="FX51" s="474">
        <v>1422</v>
      </c>
      <c r="FY51" s="474">
        <v>11297</v>
      </c>
      <c r="FZ51" s="480">
        <v>43998</v>
      </c>
      <c r="GA51" s="189">
        <f t="shared" si="39"/>
        <v>68.330771202466877</v>
      </c>
      <c r="GB51" s="190">
        <f t="shared" si="40"/>
        <v>18.292516791588032</v>
      </c>
      <c r="GC51" s="190">
        <f t="shared" si="41"/>
        <v>6.7732581975812884</v>
      </c>
      <c r="GD51" s="190">
        <f t="shared" si="42"/>
        <v>2.9415543622618463</v>
      </c>
      <c r="GE51" s="190">
        <f t="shared" si="43"/>
        <v>9.1810586109226183E-2</v>
      </c>
      <c r="GF51" s="190">
        <f t="shared" si="44"/>
        <v>0.72938410075663029</v>
      </c>
      <c r="GG51" s="190">
        <f t="shared" si="45"/>
        <v>2.8407047592360999</v>
      </c>
      <c r="GH51" s="199">
        <f t="shared" si="46"/>
        <v>31.669228797533123</v>
      </c>
      <c r="GI51" s="474">
        <v>1537922</v>
      </c>
      <c r="GJ51" s="474">
        <v>1041284</v>
      </c>
      <c r="GK51" s="474">
        <v>279895</v>
      </c>
      <c r="GL51" s="474">
        <v>109698</v>
      </c>
      <c r="GM51" s="474">
        <v>46603</v>
      </c>
      <c r="GN51" s="474">
        <v>1377</v>
      </c>
      <c r="GO51" s="474">
        <v>10592</v>
      </c>
      <c r="GP51" s="480">
        <v>48473</v>
      </c>
      <c r="GQ51" s="189">
        <f t="shared" si="310"/>
        <v>67.707204916764312</v>
      </c>
      <c r="GR51" s="190">
        <f t="shared" si="311"/>
        <v>18.199557584845007</v>
      </c>
      <c r="GS51" s="190">
        <f t="shared" si="312"/>
        <v>7.132871498034361</v>
      </c>
      <c r="GT51" s="190">
        <f t="shared" si="313"/>
        <v>3.0302577113793809</v>
      </c>
      <c r="GU51" s="190">
        <f t="shared" si="314"/>
        <v>8.9536400415625758E-2</v>
      </c>
      <c r="GV51" s="190">
        <f t="shared" si="315"/>
        <v>0.6887215346421991</v>
      </c>
      <c r="GW51" s="190">
        <f t="shared" si="316"/>
        <v>3.1518503539191194</v>
      </c>
      <c r="GX51" s="199">
        <f t="shared" si="55"/>
        <v>32.292795083235688</v>
      </c>
    </row>
    <row r="52" spans="1:206" s="11" customFormat="1">
      <c r="A52" s="113" t="s">
        <v>143</v>
      </c>
      <c r="C52" s="1"/>
      <c r="D52" s="1"/>
      <c r="E52" s="1"/>
      <c r="F52" s="1"/>
      <c r="G52" s="1"/>
      <c r="H52" s="52">
        <v>93.882735274204464</v>
      </c>
      <c r="I52" s="45">
        <v>2.0553825321597832</v>
      </c>
      <c r="J52" s="45">
        <v>0.87420446851726474</v>
      </c>
      <c r="K52" s="45">
        <v>1.7155044008124576</v>
      </c>
      <c r="L52" s="43">
        <v>1.4721733243060258</v>
      </c>
      <c r="M52" s="264">
        <f t="shared" si="270"/>
        <v>6.1172647257955308</v>
      </c>
      <c r="N52" s="66"/>
      <c r="O52" s="1"/>
      <c r="P52" s="1"/>
      <c r="Q52" s="1"/>
      <c r="R52" s="134">
        <v>10.441642604098959</v>
      </c>
      <c r="S52" s="52">
        <v>88.804293513463492</v>
      </c>
      <c r="T52" s="45">
        <v>4.1787730174886653</v>
      </c>
      <c r="U52" s="45">
        <v>1.6585546405107801</v>
      </c>
      <c r="V52" s="45">
        <v>3.5046420529903455</v>
      </c>
      <c r="W52" s="45">
        <v>1.8537367755467136</v>
      </c>
      <c r="X52" s="261">
        <f t="shared" si="271"/>
        <v>11.195706486536505</v>
      </c>
      <c r="Y52" s="52">
        <v>88.1</v>
      </c>
      <c r="Z52" s="45">
        <v>4.5</v>
      </c>
      <c r="AA52" s="45">
        <v>1.8</v>
      </c>
      <c r="AB52" s="45">
        <v>3.7</v>
      </c>
      <c r="AC52" s="45">
        <v>1.9</v>
      </c>
      <c r="AD52" s="261">
        <f t="shared" si="272"/>
        <v>11.9</v>
      </c>
      <c r="AE52" s="52">
        <v>87.4</v>
      </c>
      <c r="AF52" s="45">
        <v>4.8</v>
      </c>
      <c r="AG52" s="45">
        <v>2</v>
      </c>
      <c r="AH52" s="45">
        <v>3.9</v>
      </c>
      <c r="AI52" s="45">
        <v>1.9</v>
      </c>
      <c r="AJ52" s="261">
        <f t="shared" si="273"/>
        <v>12.6</v>
      </c>
      <c r="AK52" s="258">
        <f>100-86.5</f>
        <v>13.5</v>
      </c>
      <c r="AL52" s="258">
        <f>100-85.5</f>
        <v>14.5</v>
      </c>
      <c r="AM52" s="258">
        <f>100-85.6</f>
        <v>14.400000000000006</v>
      </c>
      <c r="AN52" s="258">
        <f>100-84</f>
        <v>16</v>
      </c>
      <c r="AO52" s="77">
        <v>82.929161692066387</v>
      </c>
      <c r="AP52" s="68">
        <v>6.6200809981974391</v>
      </c>
      <c r="AQ52" s="68">
        <v>3.3635320832455462</v>
      </c>
      <c r="AR52" s="68">
        <v>5.0744434300161529</v>
      </c>
      <c r="AS52" s="68">
        <v>2.0127817964744716</v>
      </c>
      <c r="AT52" s="261">
        <f t="shared" si="274"/>
        <v>17.070838307933609</v>
      </c>
      <c r="AU52" s="68">
        <v>81.996725331930136</v>
      </c>
      <c r="AV52" s="68">
        <v>7.0384221455888296</v>
      </c>
      <c r="AW52" s="68">
        <v>3.7509513920862969</v>
      </c>
      <c r="AX52" s="68">
        <v>5.2001212143991431</v>
      </c>
      <c r="AY52" s="68">
        <v>2.0137799159956025</v>
      </c>
      <c r="AZ52" s="261">
        <f t="shared" si="275"/>
        <v>18.003274668069871</v>
      </c>
      <c r="BA52" s="68">
        <v>81.119175903392531</v>
      </c>
      <c r="BB52" s="68">
        <v>7.3578536080794343</v>
      </c>
      <c r="BC52" s="68">
        <v>4.1705485121461914</v>
      </c>
      <c r="BD52" s="68">
        <v>5.2885200102492531</v>
      </c>
      <c r="BE52" s="68">
        <v>2.0639019661325957</v>
      </c>
      <c r="BF52" s="261">
        <f t="shared" si="276"/>
        <v>18.880824096607476</v>
      </c>
      <c r="BG52" s="68">
        <v>80.192299022131948</v>
      </c>
      <c r="BH52" s="68">
        <v>7.7697916839689904</v>
      </c>
      <c r="BI52" s="68">
        <v>4.5847798076535202</v>
      </c>
      <c r="BJ52" s="68">
        <v>5.3601216818096615</v>
      </c>
      <c r="BK52" s="68">
        <v>2.0930078044358811</v>
      </c>
      <c r="BL52" s="199">
        <f t="shared" si="277"/>
        <v>19.807700977868056</v>
      </c>
      <c r="BM52" s="68">
        <v>79.318738275235745</v>
      </c>
      <c r="BN52" s="68">
        <v>8.1658622569030772</v>
      </c>
      <c r="BO52" s="68">
        <v>4.9658737058782139</v>
      </c>
      <c r="BP52" s="68">
        <v>5.4534092304976847</v>
      </c>
      <c r="BQ52" s="68">
        <v>2.0961165314852779</v>
      </c>
      <c r="BR52" s="191">
        <f t="shared" si="278"/>
        <v>20.681261724764255</v>
      </c>
      <c r="BS52" s="77">
        <v>78.282928782247808</v>
      </c>
      <c r="BT52" s="68">
        <v>8.5484180386372017</v>
      </c>
      <c r="BU52" s="68">
        <v>5.3792524930204957</v>
      </c>
      <c r="BV52" s="68">
        <v>5.7161036791489472</v>
      </c>
      <c r="BW52" s="68">
        <v>2.0732970069455448</v>
      </c>
      <c r="BX52" s="191">
        <f t="shared" si="279"/>
        <v>21.717071217752189</v>
      </c>
      <c r="BY52" s="38">
        <v>840565</v>
      </c>
      <c r="BZ52" s="6">
        <v>649293</v>
      </c>
      <c r="CA52" s="6">
        <v>76073</v>
      </c>
      <c r="CB52" s="6">
        <v>48269</v>
      </c>
      <c r="CC52" s="6">
        <v>49276</v>
      </c>
      <c r="CD52" s="6">
        <v>17654</v>
      </c>
      <c r="CE52" s="189">
        <f t="shared" si="280"/>
        <v>77.244829370720879</v>
      </c>
      <c r="CF52" s="190">
        <f t="shared" si="281"/>
        <v>9.0502221719914573</v>
      </c>
      <c r="CG52" s="190">
        <f t="shared" si="282"/>
        <v>5.7424470445474176</v>
      </c>
      <c r="CH52" s="190">
        <f t="shared" si="283"/>
        <v>5.862247416916003</v>
      </c>
      <c r="CI52" s="190">
        <f t="shared" si="284"/>
        <v>2.1002539958242372</v>
      </c>
      <c r="CJ52" s="191">
        <f t="shared" si="285"/>
        <v>22.755170629279114</v>
      </c>
      <c r="CK52" s="38">
        <v>837578</v>
      </c>
      <c r="CL52" s="6">
        <v>640312</v>
      </c>
      <c r="CM52" s="6">
        <v>78359</v>
      </c>
      <c r="CN52" s="6">
        <v>50721</v>
      </c>
      <c r="CO52" s="6">
        <v>50427</v>
      </c>
      <c r="CP52" s="6">
        <v>17759</v>
      </c>
      <c r="CQ52" s="189">
        <f t="shared" si="286"/>
        <v>76.448044241849715</v>
      </c>
      <c r="CR52" s="190">
        <f t="shared" si="287"/>
        <v>9.3554271960342792</v>
      </c>
      <c r="CS52" s="190">
        <f t="shared" si="288"/>
        <v>6.0556748147635204</v>
      </c>
      <c r="CT52" s="190">
        <f t="shared" si="289"/>
        <v>6.0205736062790569</v>
      </c>
      <c r="CU52" s="190">
        <f t="shared" si="290"/>
        <v>2.1202801410734282</v>
      </c>
      <c r="CV52" s="191">
        <f t="shared" si="291"/>
        <v>23.551955758150285</v>
      </c>
      <c r="CW52" s="38">
        <f t="shared" si="292"/>
        <v>836048</v>
      </c>
      <c r="CX52" s="6">
        <v>632435</v>
      </c>
      <c r="CY52" s="6">
        <v>79911</v>
      </c>
      <c r="CZ52" s="6">
        <v>53753</v>
      </c>
      <c r="DA52" s="6">
        <v>18162</v>
      </c>
      <c r="DB52" s="6">
        <v>51787</v>
      </c>
      <c r="DC52" s="6"/>
      <c r="DD52" s="189">
        <f t="shared" si="293"/>
        <v>75.645776319063017</v>
      </c>
      <c r="DE52" s="190">
        <f t="shared" si="294"/>
        <v>9.5581832622050396</v>
      </c>
      <c r="DF52" s="190">
        <f t="shared" si="295"/>
        <v>6.4294155359500893</v>
      </c>
      <c r="DG52" s="190">
        <f t="shared" si="296"/>
        <v>6.1942615734981725</v>
      </c>
      <c r="DH52" s="190">
        <f t="shared" si="297"/>
        <v>2.1723633092836776</v>
      </c>
      <c r="DI52" s="190"/>
      <c r="DJ52" s="191">
        <f t="shared" si="20"/>
        <v>24.354223680936979</v>
      </c>
      <c r="DK52" s="382">
        <v>837053</v>
      </c>
      <c r="DL52" s="6">
        <v>628063</v>
      </c>
      <c r="DM52" s="6">
        <v>81262</v>
      </c>
      <c r="DN52" s="6">
        <v>56429</v>
      </c>
      <c r="DO52" s="6">
        <v>18375</v>
      </c>
      <c r="DP52" s="6">
        <v>52924</v>
      </c>
      <c r="DQ52" s="6"/>
      <c r="DR52" s="189">
        <f t="shared" si="298"/>
        <v>75.032644288951829</v>
      </c>
      <c r="DS52" s="190">
        <f t="shared" si="299"/>
        <v>9.7081068940676385</v>
      </c>
      <c r="DT52" s="190">
        <f t="shared" si="300"/>
        <v>6.741389135454984</v>
      </c>
      <c r="DU52" s="190">
        <f t="shared" si="301"/>
        <v>6.3226581829346529</v>
      </c>
      <c r="DV52" s="190">
        <f t="shared" si="302"/>
        <v>2.1952014985908899</v>
      </c>
      <c r="DW52" s="190"/>
      <c r="DX52" s="191">
        <f t="shared" si="303"/>
        <v>24.967355711048164</v>
      </c>
      <c r="DY52" s="382">
        <v>838037</v>
      </c>
      <c r="DZ52" s="6">
        <v>618819</v>
      </c>
      <c r="EA52" s="6">
        <v>77015</v>
      </c>
      <c r="EB52" s="6">
        <v>60175</v>
      </c>
      <c r="EC52" s="6">
        <v>16296</v>
      </c>
      <c r="ED52" s="6">
        <v>50704</v>
      </c>
      <c r="EE52" s="6">
        <v>15028</v>
      </c>
      <c r="EF52" s="189">
        <f t="shared" si="304"/>
        <v>73.841489098929998</v>
      </c>
      <c r="EG52" s="190">
        <f t="shared" si="305"/>
        <v>9.189928368317867</v>
      </c>
      <c r="EH52" s="190">
        <f t="shared" si="306"/>
        <v>7.1804705520161995</v>
      </c>
      <c r="EI52" s="190">
        <f t="shared" si="307"/>
        <v>6.0503295200569909</v>
      </c>
      <c r="EJ52" s="190">
        <f t="shared" si="308"/>
        <v>1.9445442146349148</v>
      </c>
      <c r="EK52" s="190"/>
      <c r="EL52" s="191">
        <f t="shared" si="309"/>
        <v>24.365272655025976</v>
      </c>
      <c r="EM52" s="11">
        <v>839738</v>
      </c>
      <c r="EN52" s="444">
        <f t="shared" si="200"/>
        <v>613019</v>
      </c>
      <c r="EO52" s="444">
        <f t="shared" si="201"/>
        <v>77274</v>
      </c>
      <c r="EP52" s="444">
        <f t="shared" si="202"/>
        <v>62083</v>
      </c>
      <c r="EQ52" s="444">
        <f t="shared" si="203"/>
        <v>52186</v>
      </c>
      <c r="ER52" s="444">
        <f t="shared" si="204"/>
        <v>650</v>
      </c>
      <c r="ES52" s="444">
        <f t="shared" si="205"/>
        <v>15076</v>
      </c>
      <c r="ET52" s="444">
        <f t="shared" si="206"/>
        <v>19450</v>
      </c>
      <c r="EU52" s="148">
        <v>73.001221809659683</v>
      </c>
      <c r="EV52" s="148">
        <v>9.2021559105339996</v>
      </c>
      <c r="EW52" s="148">
        <v>7.3931392886828986</v>
      </c>
      <c r="EX52" s="148">
        <v>6.2145573976645094</v>
      </c>
      <c r="EY52" s="148">
        <v>7.7405095398802956E-2</v>
      </c>
      <c r="EZ52" s="148">
        <v>1.7953218742036208</v>
      </c>
      <c r="FA52" s="148">
        <v>2.3161986238564887</v>
      </c>
      <c r="FB52" s="191">
        <f t="shared" si="255"/>
        <v>26.998778190340321</v>
      </c>
      <c r="FC52">
        <v>845404</v>
      </c>
      <c r="FD52">
        <v>608843</v>
      </c>
      <c r="FE52" s="11">
        <v>79328</v>
      </c>
      <c r="FF52">
        <v>64712</v>
      </c>
      <c r="FG52">
        <v>53201</v>
      </c>
      <c r="FH52">
        <v>701</v>
      </c>
      <c r="FI52" s="11">
        <v>14814</v>
      </c>
      <c r="FJ52">
        <v>23805</v>
      </c>
      <c r="FK52" s="189">
        <f t="shared" si="256"/>
        <v>72.01799376392826</v>
      </c>
      <c r="FL52" s="190">
        <f t="shared" si="257"/>
        <v>9.3834427090479817</v>
      </c>
      <c r="FM52" s="190">
        <f t="shared" si="258"/>
        <v>7.6545651546479547</v>
      </c>
      <c r="FN52" s="190">
        <f t="shared" si="259"/>
        <v>6.2929676225804458</v>
      </c>
      <c r="FO52" s="190">
        <f t="shared" si="260"/>
        <v>8.2918935798742377E-2</v>
      </c>
      <c r="FP52" s="190">
        <f t="shared" si="261"/>
        <v>1.7522983094473175</v>
      </c>
      <c r="FQ52" s="190">
        <f t="shared" si="262"/>
        <v>2.815813504549304</v>
      </c>
      <c r="FR52" s="199">
        <f t="shared" si="37"/>
        <v>27.982006236071747</v>
      </c>
      <c r="FS52" s="474">
        <v>850973</v>
      </c>
      <c r="FT52" s="474">
        <v>601247</v>
      </c>
      <c r="FU52" s="474">
        <v>82447</v>
      </c>
      <c r="FV52" s="474">
        <v>69577</v>
      </c>
      <c r="FW52" s="474">
        <v>54213</v>
      </c>
      <c r="FX52" s="474">
        <v>532</v>
      </c>
      <c r="FY52" s="474">
        <v>14722</v>
      </c>
      <c r="FZ52" s="480">
        <v>28235</v>
      </c>
      <c r="GA52" s="189">
        <f t="shared" si="39"/>
        <v>70.654063054879529</v>
      </c>
      <c r="GB52" s="190">
        <f t="shared" si="40"/>
        <v>9.6885565111936582</v>
      </c>
      <c r="GC52" s="190">
        <f t="shared" si="41"/>
        <v>8.17617010175411</v>
      </c>
      <c r="GD52" s="190">
        <f t="shared" si="42"/>
        <v>6.3707074137487325</v>
      </c>
      <c r="GE52" s="190">
        <f t="shared" si="43"/>
        <v>6.2516672091828998E-2</v>
      </c>
      <c r="GF52" s="190">
        <f t="shared" si="44"/>
        <v>1.730019636345689</v>
      </c>
      <c r="GG52" s="190">
        <f t="shared" si="45"/>
        <v>3.3179666099864509</v>
      </c>
      <c r="GH52" s="199">
        <f t="shared" si="46"/>
        <v>29.345936945120471</v>
      </c>
      <c r="GI52" s="474">
        <v>857235</v>
      </c>
      <c r="GJ52" s="474">
        <v>596696</v>
      </c>
      <c r="GK52" s="474">
        <v>85544</v>
      </c>
      <c r="GL52" s="474">
        <v>72887</v>
      </c>
      <c r="GM52" s="474">
        <v>55189</v>
      </c>
      <c r="GN52" s="474">
        <v>543</v>
      </c>
      <c r="GO52" s="474">
        <v>14624</v>
      </c>
      <c r="GP52" s="480">
        <v>31752</v>
      </c>
      <c r="GQ52" s="189">
        <f t="shared" si="310"/>
        <v>69.607050575396485</v>
      </c>
      <c r="GR52" s="190">
        <f t="shared" si="311"/>
        <v>9.9790605843205196</v>
      </c>
      <c r="GS52" s="190">
        <f t="shared" si="312"/>
        <v>8.5025693071328163</v>
      </c>
      <c r="GT52" s="190">
        <f t="shared" si="313"/>
        <v>6.4380245790244217</v>
      </c>
      <c r="GU52" s="190">
        <f t="shared" si="314"/>
        <v>6.3343190607009742E-2</v>
      </c>
      <c r="GV52" s="190">
        <f t="shared" si="315"/>
        <v>1.7059499437143841</v>
      </c>
      <c r="GW52" s="190">
        <f t="shared" si="316"/>
        <v>3.7040018198043709</v>
      </c>
      <c r="GX52" s="199">
        <f t="shared" si="55"/>
        <v>30.392949424603525</v>
      </c>
    </row>
    <row r="53" spans="1:206" s="11" customFormat="1">
      <c r="A53" s="113" t="s">
        <v>144</v>
      </c>
      <c r="C53" s="1"/>
      <c r="D53" s="1"/>
      <c r="E53" s="1"/>
      <c r="F53" s="1"/>
      <c r="G53" s="1"/>
      <c r="H53" s="52">
        <v>83.408948512062139</v>
      </c>
      <c r="I53" s="45">
        <v>14.892487213554743</v>
      </c>
      <c r="J53" s="45">
        <v>0.7289717965011131</v>
      </c>
      <c r="K53" s="45">
        <v>0.80529054447372284</v>
      </c>
      <c r="L53" s="43">
        <v>0.16430193340828197</v>
      </c>
      <c r="M53" s="264">
        <f t="shared" si="270"/>
        <v>16.591051487937861</v>
      </c>
      <c r="N53" s="66"/>
      <c r="O53" s="1"/>
      <c r="P53" s="1"/>
      <c r="Q53" s="1"/>
      <c r="R53" s="134">
        <v>17.403430948502447</v>
      </c>
      <c r="S53" s="52">
        <v>82.2878697289174</v>
      </c>
      <c r="T53" s="45">
        <v>15.738165096528306</v>
      </c>
      <c r="U53" s="45">
        <v>0.85066795324904365</v>
      </c>
      <c r="V53" s="45">
        <v>0.92165313523658254</v>
      </c>
      <c r="W53" s="45">
        <v>0.20164408606866746</v>
      </c>
      <c r="X53" s="261">
        <f t="shared" si="271"/>
        <v>17.7121302710826</v>
      </c>
      <c r="Y53" s="52">
        <v>82.2</v>
      </c>
      <c r="Z53" s="45">
        <v>15.8</v>
      </c>
      <c r="AA53" s="45">
        <v>0.9</v>
      </c>
      <c r="AB53" s="45">
        <v>1</v>
      </c>
      <c r="AC53" s="45">
        <v>0.2</v>
      </c>
      <c r="AD53" s="261">
        <f t="shared" si="272"/>
        <v>17.899999999999999</v>
      </c>
      <c r="AE53" s="52">
        <v>81.7</v>
      </c>
      <c r="AF53" s="45">
        <v>16.100000000000001</v>
      </c>
      <c r="AG53" s="45">
        <v>1</v>
      </c>
      <c r="AH53" s="45">
        <v>1</v>
      </c>
      <c r="AI53" s="45">
        <v>0.2</v>
      </c>
      <c r="AJ53" s="261">
        <f t="shared" si="273"/>
        <v>18.3</v>
      </c>
      <c r="AK53" s="258">
        <f>100-81.1</f>
        <v>18.900000000000006</v>
      </c>
      <c r="AL53" s="258">
        <f>100-80.7</f>
        <v>19.299999999999997</v>
      </c>
      <c r="AM53" s="258">
        <f>100-80.2</f>
        <v>19.799999999999997</v>
      </c>
      <c r="AN53" s="258">
        <f>100-79.7</f>
        <v>20.299999999999997</v>
      </c>
      <c r="AO53" s="77">
        <v>79.253766664037229</v>
      </c>
      <c r="AP53" s="68">
        <v>17.441801863392143</v>
      </c>
      <c r="AQ53" s="68">
        <v>1.826251391408763</v>
      </c>
      <c r="AR53" s="68">
        <v>1.1631958139412584</v>
      </c>
      <c r="AS53" s="68">
        <v>0.31498426722060074</v>
      </c>
      <c r="AT53" s="261">
        <f t="shared" si="274"/>
        <v>20.746233335962767</v>
      </c>
      <c r="AU53" s="68">
        <v>78.957388062326345</v>
      </c>
      <c r="AV53" s="68">
        <v>17.483007104920688</v>
      </c>
      <c r="AW53" s="68">
        <v>2.0155156343427949</v>
      </c>
      <c r="AX53" s="68">
        <v>1.2200590904294608</v>
      </c>
      <c r="AY53" s="68">
        <v>0.32403010798072523</v>
      </c>
      <c r="AZ53" s="261">
        <f t="shared" si="275"/>
        <v>21.042611937673669</v>
      </c>
      <c r="BA53" s="68">
        <v>77.920157499905358</v>
      </c>
      <c r="BB53" s="68">
        <v>18.166683794060219</v>
      </c>
      <c r="BC53" s="68">
        <v>2.3191212024512002</v>
      </c>
      <c r="BD53" s="68">
        <v>1.2694102948255439</v>
      </c>
      <c r="BE53" s="68">
        <v>0.32462720875768702</v>
      </c>
      <c r="BF53" s="261">
        <f t="shared" si="276"/>
        <v>22.079842500094649</v>
      </c>
      <c r="BG53" s="68">
        <v>77.739168444744195</v>
      </c>
      <c r="BH53" s="68">
        <v>17.953155889842716</v>
      </c>
      <c r="BI53" s="68">
        <v>2.59310484899127</v>
      </c>
      <c r="BJ53" s="68">
        <v>1.3589185167687521</v>
      </c>
      <c r="BK53" s="68">
        <v>0.35565229965306788</v>
      </c>
      <c r="BL53" s="199">
        <f t="shared" si="277"/>
        <v>22.260831555255809</v>
      </c>
      <c r="BM53" s="68">
        <v>77.349690595494607</v>
      </c>
      <c r="BN53" s="68">
        <v>17.937951226408114</v>
      </c>
      <c r="BO53" s="68">
        <v>2.8627785772583549</v>
      </c>
      <c r="BP53" s="68">
        <v>1.4657921097709534</v>
      </c>
      <c r="BQ53" s="68">
        <v>0.38378749106796739</v>
      </c>
      <c r="BR53" s="191">
        <f t="shared" si="278"/>
        <v>22.650309404505386</v>
      </c>
      <c r="BS53" s="77">
        <v>76.638462250941203</v>
      </c>
      <c r="BT53" s="68">
        <v>18.216202374401362</v>
      </c>
      <c r="BU53" s="68">
        <v>3.1601658485025141</v>
      </c>
      <c r="BV53" s="68">
        <v>1.5830795299142972</v>
      </c>
      <c r="BW53" s="68">
        <v>0.40208999624062197</v>
      </c>
      <c r="BX53" s="191">
        <f t="shared" si="279"/>
        <v>23.361537749058797</v>
      </c>
      <c r="BY53" s="38">
        <v>920353</v>
      </c>
      <c r="BZ53" s="6">
        <v>702435</v>
      </c>
      <c r="CA53" s="6">
        <v>166957</v>
      </c>
      <c r="CB53" s="6">
        <v>31693</v>
      </c>
      <c r="CC53" s="6">
        <v>15480</v>
      </c>
      <c r="CD53" s="6">
        <v>3788</v>
      </c>
      <c r="CE53" s="189">
        <f t="shared" si="280"/>
        <v>76.322345882503782</v>
      </c>
      <c r="CF53" s="190">
        <f t="shared" si="281"/>
        <v>18.140539553845102</v>
      </c>
      <c r="CG53" s="190">
        <f t="shared" si="282"/>
        <v>3.443570021502619</v>
      </c>
      <c r="CH53" s="190">
        <f t="shared" si="283"/>
        <v>1.6819633336339426</v>
      </c>
      <c r="CI53" s="190">
        <f t="shared" si="284"/>
        <v>0.41158120851455909</v>
      </c>
      <c r="CJ53" s="191">
        <f t="shared" si="285"/>
        <v>23.677654117496221</v>
      </c>
      <c r="CK53" s="38">
        <v>917188</v>
      </c>
      <c r="CL53" s="6">
        <v>698367</v>
      </c>
      <c r="CM53" s="6">
        <v>164520</v>
      </c>
      <c r="CN53" s="6">
        <v>33985</v>
      </c>
      <c r="CO53" s="6">
        <v>16335</v>
      </c>
      <c r="CP53" s="6">
        <v>3981</v>
      </c>
      <c r="CQ53" s="189">
        <f t="shared" si="286"/>
        <v>76.14218677086923</v>
      </c>
      <c r="CR53" s="190">
        <f t="shared" si="287"/>
        <v>17.937434855231423</v>
      </c>
      <c r="CS53" s="190">
        <f t="shared" si="288"/>
        <v>3.7053472134393384</v>
      </c>
      <c r="CT53" s="190">
        <f t="shared" si="289"/>
        <v>1.7809871040615446</v>
      </c>
      <c r="CU53" s="190">
        <f t="shared" si="290"/>
        <v>0.4340440563984701</v>
      </c>
      <c r="CV53" s="191">
        <f t="shared" si="291"/>
        <v>23.857813229130777</v>
      </c>
      <c r="CW53" s="38">
        <f t="shared" si="292"/>
        <v>917871</v>
      </c>
      <c r="CX53" s="6">
        <v>697682</v>
      </c>
      <c r="CY53" s="6">
        <v>163602</v>
      </c>
      <c r="CZ53" s="6">
        <v>35495</v>
      </c>
      <c r="DA53" s="6">
        <v>4052</v>
      </c>
      <c r="DB53" s="6">
        <v>17040</v>
      </c>
      <c r="DC53" s="6"/>
      <c r="DD53" s="189">
        <f t="shared" si="293"/>
        <v>76.010899135063639</v>
      </c>
      <c r="DE53" s="190">
        <f t="shared" si="294"/>
        <v>17.824073317492328</v>
      </c>
      <c r="DF53" s="190">
        <f t="shared" si="295"/>
        <v>3.8671011503795198</v>
      </c>
      <c r="DG53" s="190">
        <f t="shared" si="296"/>
        <v>1.8564700268338361</v>
      </c>
      <c r="DH53" s="190">
        <f t="shared" si="297"/>
        <v>0.44145637023067508</v>
      </c>
      <c r="DI53" s="190"/>
      <c r="DJ53" s="191">
        <f t="shared" si="20"/>
        <v>23.989100864936358</v>
      </c>
      <c r="DK53" s="382">
        <v>917982</v>
      </c>
      <c r="DL53" s="6">
        <v>695158</v>
      </c>
      <c r="DM53" s="6">
        <v>163176</v>
      </c>
      <c r="DN53" s="6">
        <v>37290</v>
      </c>
      <c r="DO53" s="6">
        <v>4289</v>
      </c>
      <c r="DP53" s="6">
        <v>18069</v>
      </c>
      <c r="DQ53" s="6"/>
      <c r="DR53" s="189">
        <f t="shared" si="298"/>
        <v>75.726757169530558</v>
      </c>
      <c r="DS53" s="190">
        <f t="shared" si="299"/>
        <v>17.775511938142579</v>
      </c>
      <c r="DT53" s="190">
        <f t="shared" si="300"/>
        <v>4.0621711536827521</v>
      </c>
      <c r="DU53" s="190">
        <f t="shared" si="301"/>
        <v>1.9683392484819964</v>
      </c>
      <c r="DV53" s="190">
        <f t="shared" si="302"/>
        <v>0.46722049016211648</v>
      </c>
      <c r="DW53" s="190"/>
      <c r="DX53" s="191">
        <f t="shared" si="303"/>
        <v>24.273242830469442</v>
      </c>
      <c r="DY53" s="382">
        <v>918710</v>
      </c>
      <c r="DZ53" s="6">
        <v>686147</v>
      </c>
      <c r="EA53" s="6">
        <v>156941</v>
      </c>
      <c r="EB53" s="6">
        <v>41691</v>
      </c>
      <c r="EC53" s="6">
        <v>4341</v>
      </c>
      <c r="ED53" s="6">
        <v>18080</v>
      </c>
      <c r="EE53" s="6">
        <v>11510</v>
      </c>
      <c r="EF53" s="189">
        <f t="shared" si="304"/>
        <v>74.685918298483742</v>
      </c>
      <c r="EG53" s="190">
        <f t="shared" si="305"/>
        <v>17.082757344537448</v>
      </c>
      <c r="EH53" s="190">
        <f t="shared" si="306"/>
        <v>4.5379934908730721</v>
      </c>
      <c r="EI53" s="190">
        <f t="shared" si="307"/>
        <v>1.9679768370867847</v>
      </c>
      <c r="EJ53" s="190">
        <f t="shared" si="308"/>
        <v>0.47251036779832595</v>
      </c>
      <c r="EK53" s="190"/>
      <c r="EL53" s="191">
        <f t="shared" si="309"/>
        <v>24.061238040295628</v>
      </c>
      <c r="EM53" s="11">
        <v>916584</v>
      </c>
      <c r="EN53" s="444">
        <f t="shared" si="200"/>
        <v>680249.00000000012</v>
      </c>
      <c r="EO53" s="444">
        <f t="shared" si="201"/>
        <v>153710.99999999997</v>
      </c>
      <c r="EP53" s="444">
        <f t="shared" si="202"/>
        <v>44581</v>
      </c>
      <c r="EQ53" s="444">
        <f t="shared" si="203"/>
        <v>17267</v>
      </c>
      <c r="ER53" s="444">
        <f t="shared" si="204"/>
        <v>1470</v>
      </c>
      <c r="ES53" s="444">
        <f t="shared" si="205"/>
        <v>4182</v>
      </c>
      <c r="ET53" s="444">
        <f t="shared" si="206"/>
        <v>15124</v>
      </c>
      <c r="EU53" s="148">
        <v>74.215674722665909</v>
      </c>
      <c r="EV53" s="148">
        <v>16.769985075017672</v>
      </c>
      <c r="EW53" s="148">
        <v>4.8638204463529799</v>
      </c>
      <c r="EX53" s="148">
        <v>1.8838426156249728</v>
      </c>
      <c r="EY53" s="148">
        <v>0.16037809955225052</v>
      </c>
      <c r="EZ53" s="148">
        <v>0.45625932811395353</v>
      </c>
      <c r="FA53" s="148">
        <v>1.6500397126722701</v>
      </c>
      <c r="FB53" s="191">
        <f t="shared" si="255"/>
        <v>25.784325277334101</v>
      </c>
      <c r="FC53">
        <v>917900</v>
      </c>
      <c r="FD53">
        <v>676377</v>
      </c>
      <c r="FE53" s="11">
        <v>152275</v>
      </c>
      <c r="FF53">
        <v>47269</v>
      </c>
      <c r="FG53">
        <v>17278</v>
      </c>
      <c r="FH53">
        <v>1686</v>
      </c>
      <c r="FI53" s="11">
        <v>4078</v>
      </c>
      <c r="FJ53">
        <v>18937</v>
      </c>
      <c r="FK53" s="189">
        <f t="shared" si="256"/>
        <v>73.68743871881469</v>
      </c>
      <c r="FL53" s="190">
        <f t="shared" si="257"/>
        <v>16.589497766641244</v>
      </c>
      <c r="FM53" s="190">
        <f t="shared" si="258"/>
        <v>5.1496895086610737</v>
      </c>
      <c r="FN53" s="190">
        <f t="shared" si="259"/>
        <v>1.8823401241965354</v>
      </c>
      <c r="FO53" s="190">
        <f t="shared" si="260"/>
        <v>0.1836801394487417</v>
      </c>
      <c r="FP53" s="190">
        <f t="shared" si="261"/>
        <v>0.44427497548752587</v>
      </c>
      <c r="FQ53" s="190">
        <f t="shared" si="262"/>
        <v>2.0630787667501904</v>
      </c>
      <c r="FR53" s="199">
        <f t="shared" si="37"/>
        <v>26.312561281185314</v>
      </c>
      <c r="FS53" s="474">
        <v>918288</v>
      </c>
      <c r="FT53" s="474">
        <v>672129</v>
      </c>
      <c r="FU53" s="474">
        <v>151159</v>
      </c>
      <c r="FV53" s="474">
        <v>49192</v>
      </c>
      <c r="FW53" s="474">
        <v>17679</v>
      </c>
      <c r="FX53" s="474">
        <v>1798</v>
      </c>
      <c r="FY53" s="474">
        <v>3991</v>
      </c>
      <c r="FZ53" s="480">
        <v>22340</v>
      </c>
      <c r="GA53" s="189">
        <f t="shared" si="39"/>
        <v>73.193703936020071</v>
      </c>
      <c r="GB53" s="190">
        <f t="shared" si="40"/>
        <v>16.460957782307947</v>
      </c>
      <c r="GC53" s="190">
        <f t="shared" si="41"/>
        <v>5.3569250605474537</v>
      </c>
      <c r="GD53" s="190">
        <f t="shared" si="42"/>
        <v>1.9252130050703049</v>
      </c>
      <c r="GE53" s="190">
        <f t="shared" si="43"/>
        <v>0.19579913926785494</v>
      </c>
      <c r="GF53" s="190">
        <f t="shared" si="44"/>
        <v>0.43461310612792503</v>
      </c>
      <c r="GG53" s="190">
        <f t="shared" si="45"/>
        <v>2.4327879706584428</v>
      </c>
      <c r="GH53" s="199">
        <f t="shared" si="46"/>
        <v>26.806296063979929</v>
      </c>
      <c r="GI53" s="474">
        <v>917785</v>
      </c>
      <c r="GJ53" s="474">
        <v>667031</v>
      </c>
      <c r="GK53" s="474">
        <v>149665</v>
      </c>
      <c r="GL53" s="474">
        <v>51426</v>
      </c>
      <c r="GM53" s="474">
        <v>17508</v>
      </c>
      <c r="GN53" s="474">
        <v>1937</v>
      </c>
      <c r="GO53" s="474">
        <v>3805</v>
      </c>
      <c r="GP53" s="480">
        <v>26413</v>
      </c>
      <c r="GQ53" s="189">
        <f t="shared" si="310"/>
        <v>72.678350594093388</v>
      </c>
      <c r="GR53" s="190">
        <f t="shared" si="311"/>
        <v>16.307196129812539</v>
      </c>
      <c r="GS53" s="190">
        <f t="shared" si="312"/>
        <v>5.6032730977298604</v>
      </c>
      <c r="GT53" s="190">
        <f t="shared" si="313"/>
        <v>1.9076363200531716</v>
      </c>
      <c r="GU53" s="190">
        <f t="shared" si="314"/>
        <v>0.21105160794739511</v>
      </c>
      <c r="GV53" s="190">
        <f t="shared" si="315"/>
        <v>0.41458511525030373</v>
      </c>
      <c r="GW53" s="190">
        <f t="shared" si="316"/>
        <v>2.8779071351133436</v>
      </c>
      <c r="GX53" s="199">
        <f t="shared" si="55"/>
        <v>27.321649405906616</v>
      </c>
    </row>
    <row r="54" spans="1:206" s="11" customFormat="1">
      <c r="A54" s="113" t="s">
        <v>146</v>
      </c>
      <c r="C54" s="1"/>
      <c r="D54" s="1"/>
      <c r="E54" s="1"/>
      <c r="F54" s="1"/>
      <c r="G54" s="1"/>
      <c r="H54" s="52">
        <v>91.375290616269297</v>
      </c>
      <c r="I54" s="45">
        <v>4.4417888286129221</v>
      </c>
      <c r="J54" s="45">
        <v>2.3760525681686455</v>
      </c>
      <c r="K54" s="45">
        <v>0.81437679498283977</v>
      </c>
      <c r="L54" s="43">
        <v>0.99249119196629176</v>
      </c>
      <c r="M54" s="264">
        <f t="shared" si="270"/>
        <v>8.6247093837306981</v>
      </c>
      <c r="N54" s="66"/>
      <c r="O54" s="1"/>
      <c r="P54" s="1"/>
      <c r="Q54" s="1"/>
      <c r="R54" s="134">
        <v>11.063190918297252</v>
      </c>
      <c r="S54" s="52">
        <v>88.303279234786757</v>
      </c>
      <c r="T54" s="45">
        <v>5.7008667225540783</v>
      </c>
      <c r="U54" s="45">
        <v>3.552825880314419</v>
      </c>
      <c r="V54" s="45">
        <v>1.1767924601100679</v>
      </c>
      <c r="W54" s="45">
        <v>1.266235702234678</v>
      </c>
      <c r="X54" s="261">
        <f t="shared" si="271"/>
        <v>11.696720765213243</v>
      </c>
      <c r="Y54" s="52">
        <v>87.8</v>
      </c>
      <c r="Z54" s="45">
        <v>5.8</v>
      </c>
      <c r="AA54" s="45">
        <v>3.8</v>
      </c>
      <c r="AB54" s="45">
        <v>1.2</v>
      </c>
      <c r="AC54" s="45">
        <v>1.3</v>
      </c>
      <c r="AD54" s="261">
        <f t="shared" si="272"/>
        <v>12.1</v>
      </c>
      <c r="AE54" s="52">
        <v>87.2</v>
      </c>
      <c r="AF54" s="45">
        <v>5.9</v>
      </c>
      <c r="AG54" s="45">
        <v>4.4000000000000004</v>
      </c>
      <c r="AH54" s="45">
        <v>1.3</v>
      </c>
      <c r="AI54" s="45">
        <v>1.4</v>
      </c>
      <c r="AJ54" s="261">
        <f t="shared" si="273"/>
        <v>13.000000000000002</v>
      </c>
      <c r="AK54" s="258">
        <f>100-86.4</f>
        <v>13.599999999999994</v>
      </c>
      <c r="AL54" s="258">
        <f>100-85.7</f>
        <v>14.299999999999997</v>
      </c>
      <c r="AM54" s="258">
        <f>100-84.8</f>
        <v>15.200000000000003</v>
      </c>
      <c r="AN54" s="258">
        <f>100-86</f>
        <v>14</v>
      </c>
      <c r="AO54" s="77">
        <v>83.026146143068289</v>
      </c>
      <c r="AP54" s="68">
        <v>6.6743769195559732</v>
      </c>
      <c r="AQ54" s="68">
        <v>7.2543929224071366</v>
      </c>
      <c r="AR54" s="68">
        <v>1.5181744171013876</v>
      </c>
      <c r="AS54" s="68">
        <v>1.5269095978672182</v>
      </c>
      <c r="AT54" s="261">
        <f t="shared" si="274"/>
        <v>16.973853856931715</v>
      </c>
      <c r="AU54" s="68">
        <v>81.758010487732165</v>
      </c>
      <c r="AV54" s="68">
        <v>6.8727967870359006</v>
      </c>
      <c r="AW54" s="68">
        <v>8.2284852417615184</v>
      </c>
      <c r="AX54" s="68">
        <v>1.5791227485574983</v>
      </c>
      <c r="AY54" s="68">
        <v>1.5615847349129237</v>
      </c>
      <c r="AZ54" s="261">
        <f t="shared" si="275"/>
        <v>18.241989512267839</v>
      </c>
      <c r="BA54" s="68">
        <v>80.647297496163304</v>
      </c>
      <c r="BB54" s="68">
        <v>6.9936440529498736</v>
      </c>
      <c r="BC54" s="68">
        <v>9.176529947232325</v>
      </c>
      <c r="BD54" s="68">
        <v>1.6173677829868047</v>
      </c>
      <c r="BE54" s="68">
        <v>1.5651607206676899</v>
      </c>
      <c r="BF54" s="261">
        <f t="shared" si="276"/>
        <v>19.352702503836696</v>
      </c>
      <c r="BG54" s="68">
        <v>79.51299633679109</v>
      </c>
      <c r="BH54" s="68">
        <v>7.1481603406854335</v>
      </c>
      <c r="BI54" s="68">
        <v>10.055263323784242</v>
      </c>
      <c r="BJ54" s="68">
        <v>1.6918701977292308</v>
      </c>
      <c r="BK54" s="68">
        <v>1.5917098010100093</v>
      </c>
      <c r="BL54" s="199">
        <f t="shared" si="277"/>
        <v>20.487003663208913</v>
      </c>
      <c r="BM54" s="68">
        <v>78.45647236676804</v>
      </c>
      <c r="BN54" s="68">
        <v>7.3851925210228124</v>
      </c>
      <c r="BO54" s="68">
        <v>10.767739474595905</v>
      </c>
      <c r="BP54" s="68">
        <v>1.7423651233023401</v>
      </c>
      <c r="BQ54" s="68">
        <v>1.6482305143109099</v>
      </c>
      <c r="BR54" s="191">
        <f t="shared" si="278"/>
        <v>21.543527633231964</v>
      </c>
      <c r="BS54" s="77">
        <v>77.479888084954965</v>
      </c>
      <c r="BT54" s="68">
        <v>7.5758950063841812</v>
      </c>
      <c r="BU54" s="68">
        <v>11.473036428207616</v>
      </c>
      <c r="BV54" s="68">
        <v>1.8137354088317996</v>
      </c>
      <c r="BW54" s="68">
        <v>1.6574450716214426</v>
      </c>
      <c r="BX54" s="191">
        <f t="shared" si="279"/>
        <v>22.520111915045039</v>
      </c>
      <c r="BY54" s="38">
        <v>287580</v>
      </c>
      <c r="BZ54" s="6">
        <v>219896</v>
      </c>
      <c r="CA54" s="6">
        <v>22227</v>
      </c>
      <c r="CB54" s="6">
        <v>35172</v>
      </c>
      <c r="CC54" s="6">
        <v>5345</v>
      </c>
      <c r="CD54" s="6">
        <v>4940</v>
      </c>
      <c r="CE54" s="189">
        <f t="shared" si="280"/>
        <v>76.464288198066626</v>
      </c>
      <c r="CF54" s="190">
        <f t="shared" si="281"/>
        <v>7.7289797621531404</v>
      </c>
      <c r="CG54" s="190">
        <f t="shared" si="282"/>
        <v>12.230335906530357</v>
      </c>
      <c r="CH54" s="190">
        <f t="shared" si="283"/>
        <v>1.8586132554419641</v>
      </c>
      <c r="CI54" s="190">
        <f t="shared" si="284"/>
        <v>1.7177828778079143</v>
      </c>
      <c r="CJ54" s="191">
        <f t="shared" si="285"/>
        <v>23.535711801933374</v>
      </c>
      <c r="CK54" s="38">
        <v>291244</v>
      </c>
      <c r="CL54" s="6">
        <v>219695</v>
      </c>
      <c r="CM54" s="6">
        <v>23286</v>
      </c>
      <c r="CN54" s="6">
        <v>37590</v>
      </c>
      <c r="CO54" s="6">
        <v>5699</v>
      </c>
      <c r="CP54" s="6">
        <v>4974</v>
      </c>
      <c r="CQ54" s="189">
        <f t="shared" si="286"/>
        <v>75.433313647663127</v>
      </c>
      <c r="CR54" s="190">
        <f t="shared" si="287"/>
        <v>7.995357844281771</v>
      </c>
      <c r="CS54" s="190">
        <f t="shared" si="288"/>
        <v>12.906703657414401</v>
      </c>
      <c r="CT54" s="190">
        <f t="shared" si="289"/>
        <v>1.9567785087418108</v>
      </c>
      <c r="CU54" s="190">
        <f t="shared" si="290"/>
        <v>1.7078463418988887</v>
      </c>
      <c r="CV54" s="191">
        <f t="shared" si="291"/>
        <v>24.56668635233687</v>
      </c>
      <c r="CW54" s="38">
        <f t="shared" si="292"/>
        <v>292590</v>
      </c>
      <c r="CX54" s="6">
        <v>218335</v>
      </c>
      <c r="CY54" s="6">
        <v>23610</v>
      </c>
      <c r="CZ54" s="6">
        <v>39568</v>
      </c>
      <c r="DA54" s="6">
        <v>5015</v>
      </c>
      <c r="DB54" s="6">
        <v>6062</v>
      </c>
      <c r="DC54" s="6"/>
      <c r="DD54" s="189">
        <f t="shared" si="293"/>
        <v>74.621483987832804</v>
      </c>
      <c r="DE54" s="190">
        <f t="shared" si="294"/>
        <v>8.0693120065620842</v>
      </c>
      <c r="DF54" s="190">
        <f t="shared" si="295"/>
        <v>13.523360333572576</v>
      </c>
      <c r="DG54" s="190">
        <f t="shared" si="296"/>
        <v>2.0718411428962029</v>
      </c>
      <c r="DH54" s="190">
        <f t="shared" si="297"/>
        <v>1.7140025291363343</v>
      </c>
      <c r="DI54" s="190"/>
      <c r="DJ54" s="191">
        <f t="shared" si="20"/>
        <v>25.3785160121672</v>
      </c>
      <c r="DK54" s="382">
        <v>295368</v>
      </c>
      <c r="DL54" s="6">
        <v>217912</v>
      </c>
      <c r="DM54" s="6">
        <v>23679</v>
      </c>
      <c r="DN54" s="6">
        <v>42190</v>
      </c>
      <c r="DO54" s="6">
        <v>5144</v>
      </c>
      <c r="DP54" s="6">
        <v>6443</v>
      </c>
      <c r="DQ54" s="6"/>
      <c r="DR54" s="189">
        <f t="shared" si="298"/>
        <v>73.776441591506199</v>
      </c>
      <c r="DS54" s="190">
        <f t="shared" si="299"/>
        <v>8.0167790688226219</v>
      </c>
      <c r="DT54" s="190">
        <f t="shared" si="300"/>
        <v>14.283876384713306</v>
      </c>
      <c r="DU54" s="190">
        <f t="shared" si="301"/>
        <v>2.1813466590829065</v>
      </c>
      <c r="DV54" s="190">
        <f t="shared" si="302"/>
        <v>1.7415562958749762</v>
      </c>
      <c r="DW54" s="190"/>
      <c r="DX54" s="191">
        <f t="shared" si="303"/>
        <v>26.223558408493808</v>
      </c>
      <c r="DY54" s="382">
        <v>298500</v>
      </c>
      <c r="DZ54" s="6">
        <v>211205</v>
      </c>
      <c r="EA54" s="6">
        <v>19990</v>
      </c>
      <c r="EB54" s="6">
        <v>47900</v>
      </c>
      <c r="EC54" s="6">
        <v>4413</v>
      </c>
      <c r="ED54" s="6">
        <v>6350</v>
      </c>
      <c r="EE54" s="6">
        <v>8642</v>
      </c>
      <c r="EF54" s="189">
        <f t="shared" si="304"/>
        <v>70.755443886097154</v>
      </c>
      <c r="EG54" s="190">
        <f t="shared" si="305"/>
        <v>6.6968174204355106</v>
      </c>
      <c r="EH54" s="190">
        <f t="shared" si="306"/>
        <v>16.046901172529314</v>
      </c>
      <c r="EI54" s="190">
        <f t="shared" si="307"/>
        <v>2.1273031825795643</v>
      </c>
      <c r="EJ54" s="190">
        <f t="shared" si="308"/>
        <v>1.478391959798995</v>
      </c>
      <c r="EK54" s="190"/>
      <c r="EL54" s="191">
        <f t="shared" si="309"/>
        <v>26.349413735343383</v>
      </c>
      <c r="EM54" s="11">
        <v>301296</v>
      </c>
      <c r="EN54" s="444">
        <f t="shared" si="200"/>
        <v>211405.99999999997</v>
      </c>
      <c r="EO54" s="444">
        <f t="shared" si="201"/>
        <v>20262</v>
      </c>
      <c r="EP54" s="444">
        <f t="shared" si="202"/>
        <v>49404.999999999993</v>
      </c>
      <c r="EQ54" s="444">
        <f t="shared" si="203"/>
        <v>6276</v>
      </c>
      <c r="ER54" s="444">
        <f t="shared" si="204"/>
        <v>355</v>
      </c>
      <c r="ES54" s="444">
        <f t="shared" si="205"/>
        <v>4381</v>
      </c>
      <c r="ET54" s="444">
        <f t="shared" si="206"/>
        <v>9211.0000000000018</v>
      </c>
      <c r="EU54" s="148">
        <v>70.165551484254678</v>
      </c>
      <c r="EV54" s="148">
        <v>6.7249482236737297</v>
      </c>
      <c r="EW54" s="148">
        <v>16.39749614996548</v>
      </c>
      <c r="EX54" s="148">
        <v>2.0830014338059581</v>
      </c>
      <c r="EY54" s="148">
        <v>0.11782433221815092</v>
      </c>
      <c r="EZ54" s="148">
        <v>1.454051829430195</v>
      </c>
      <c r="FA54" s="148">
        <v>3.0571265466517978</v>
      </c>
      <c r="FB54" s="191">
        <f t="shared" si="255"/>
        <v>29.834448515745315</v>
      </c>
      <c r="FC54">
        <v>303505</v>
      </c>
      <c r="FD54">
        <v>211167</v>
      </c>
      <c r="FE54" s="11">
        <v>20217</v>
      </c>
      <c r="FF54">
        <v>51068</v>
      </c>
      <c r="FG54">
        <v>6630</v>
      </c>
      <c r="FH54">
        <v>354</v>
      </c>
      <c r="FI54" s="11">
        <v>4327</v>
      </c>
      <c r="FJ54">
        <v>9742</v>
      </c>
      <c r="FK54" s="189">
        <f t="shared" si="256"/>
        <v>69.576119009571499</v>
      </c>
      <c r="FL54" s="190">
        <f t="shared" si="257"/>
        <v>6.6611752689412036</v>
      </c>
      <c r="FM54" s="190">
        <f t="shared" si="258"/>
        <v>16.826081942636858</v>
      </c>
      <c r="FN54" s="190">
        <f t="shared" si="259"/>
        <v>2.1844780151892063</v>
      </c>
      <c r="FO54" s="190">
        <f t="shared" si="260"/>
        <v>0.11663728768883544</v>
      </c>
      <c r="FP54" s="190">
        <f t="shared" si="261"/>
        <v>1.4256766774847203</v>
      </c>
      <c r="FQ54" s="190">
        <f t="shared" si="262"/>
        <v>3.2098317984876688</v>
      </c>
      <c r="FR54" s="199">
        <f t="shared" si="37"/>
        <v>30.423880990428493</v>
      </c>
      <c r="FS54" s="474">
        <v>307677</v>
      </c>
      <c r="FT54" s="474">
        <v>211878</v>
      </c>
      <c r="FU54" s="474">
        <v>20522</v>
      </c>
      <c r="FV54" s="474">
        <v>53309</v>
      </c>
      <c r="FW54" s="474">
        <v>7105</v>
      </c>
      <c r="FX54" s="474">
        <v>379</v>
      </c>
      <c r="FY54" s="474">
        <v>4383</v>
      </c>
      <c r="FZ54" s="480">
        <v>10101</v>
      </c>
      <c r="GA54" s="189">
        <f t="shared" si="39"/>
        <v>68.86377597285464</v>
      </c>
      <c r="GB54" s="190">
        <f t="shared" si="40"/>
        <v>6.6699818315961226</v>
      </c>
      <c r="GC54" s="190">
        <f t="shared" si="41"/>
        <v>17.326286982777393</v>
      </c>
      <c r="GD54" s="190">
        <f t="shared" si="42"/>
        <v>2.309239884684263</v>
      </c>
      <c r="GE54" s="190">
        <f t="shared" si="43"/>
        <v>0.12318112826113099</v>
      </c>
      <c r="GF54" s="190">
        <f t="shared" si="44"/>
        <v>1.42454587115709</v>
      </c>
      <c r="GG54" s="190">
        <f t="shared" si="45"/>
        <v>3.2829883286693513</v>
      </c>
      <c r="GH54" s="199">
        <f t="shared" si="46"/>
        <v>31.136224027145349</v>
      </c>
      <c r="GI54" s="474">
        <v>312635</v>
      </c>
      <c r="GJ54" s="474">
        <v>213120</v>
      </c>
      <c r="GK54" s="474">
        <v>21010</v>
      </c>
      <c r="GL54" s="474">
        <v>55458</v>
      </c>
      <c r="GM54" s="474">
        <v>7617</v>
      </c>
      <c r="GN54" s="474">
        <v>402</v>
      </c>
      <c r="GO54" s="474">
        <v>4449</v>
      </c>
      <c r="GP54" s="480">
        <v>10579</v>
      </c>
      <c r="GQ54" s="189">
        <f t="shared" si="310"/>
        <v>68.168951013162314</v>
      </c>
      <c r="GR54" s="190">
        <f t="shared" si="311"/>
        <v>6.7202968317686755</v>
      </c>
      <c r="GS54" s="190">
        <f t="shared" si="312"/>
        <v>17.738896796583877</v>
      </c>
      <c r="GT54" s="190">
        <f t="shared" si="313"/>
        <v>2.4363874806083774</v>
      </c>
      <c r="GU54" s="190">
        <f t="shared" si="314"/>
        <v>0.12858445151694467</v>
      </c>
      <c r="GV54" s="190">
        <f t="shared" si="315"/>
        <v>1.4230652358181266</v>
      </c>
      <c r="GW54" s="190">
        <f t="shared" si="316"/>
        <v>3.3838181905416862</v>
      </c>
      <c r="GX54" s="199">
        <f t="shared" si="55"/>
        <v>31.831048986837683</v>
      </c>
    </row>
    <row r="55" spans="1:206" s="11" customFormat="1">
      <c r="A55" s="113" t="s">
        <v>152</v>
      </c>
      <c r="B55" s="17"/>
      <c r="C55" s="15"/>
      <c r="D55" s="15"/>
      <c r="E55" s="15"/>
      <c r="F55" s="15"/>
      <c r="G55" s="15"/>
      <c r="H55" s="52">
        <v>92.413391072618253</v>
      </c>
      <c r="I55" s="45">
        <v>0.63374417055296473</v>
      </c>
      <c r="J55" s="45">
        <v>1.1059293804130579</v>
      </c>
      <c r="K55" s="45">
        <v>0.82861425716189208</v>
      </c>
      <c r="L55" s="43">
        <v>5.0183211192538311</v>
      </c>
      <c r="M55" s="264">
        <f t="shared" si="270"/>
        <v>7.5866089273817456</v>
      </c>
      <c r="N55" s="54"/>
      <c r="O55" s="15"/>
      <c r="P55" s="15"/>
      <c r="Q55" s="15"/>
      <c r="R55" s="134">
        <v>9.7201645409324584</v>
      </c>
      <c r="S55" s="52">
        <v>91.483039109521769</v>
      </c>
      <c r="T55" s="45">
        <v>0.75969343641659737</v>
      </c>
      <c r="U55" s="45">
        <v>0.76640895850646784</v>
      </c>
      <c r="V55" s="45">
        <v>0.73534966884081687</v>
      </c>
      <c r="W55" s="45">
        <v>6.2555088267143466</v>
      </c>
      <c r="X55" s="261">
        <f t="shared" si="271"/>
        <v>8.516960890478229</v>
      </c>
      <c r="Y55" s="52">
        <v>90.1</v>
      </c>
      <c r="Z55" s="45">
        <v>0.8</v>
      </c>
      <c r="AA55" s="45">
        <v>0.8</v>
      </c>
      <c r="AB55" s="45">
        <v>0.7</v>
      </c>
      <c r="AC55" s="45">
        <v>7.6</v>
      </c>
      <c r="AD55" s="261">
        <f t="shared" si="272"/>
        <v>9.8999999999999986</v>
      </c>
      <c r="AE55" s="52">
        <v>90.8</v>
      </c>
      <c r="AF55" s="45">
        <v>0.8</v>
      </c>
      <c r="AG55" s="45">
        <v>1.1000000000000001</v>
      </c>
      <c r="AH55" s="45">
        <v>0.8</v>
      </c>
      <c r="AI55" s="45">
        <v>6.6</v>
      </c>
      <c r="AJ55" s="261">
        <f t="shared" si="273"/>
        <v>9.3000000000000007</v>
      </c>
      <c r="AK55" s="258">
        <f>100-89.1</f>
        <v>10.900000000000006</v>
      </c>
      <c r="AL55" s="258">
        <f>100-88.9</f>
        <v>11.099999999999994</v>
      </c>
      <c r="AM55" s="257">
        <f>100-89.9</f>
        <v>10.099999999999994</v>
      </c>
      <c r="AN55" s="258">
        <f>100-89.4</f>
        <v>10.599999999999994</v>
      </c>
      <c r="AO55" s="77">
        <v>89.387459821796497</v>
      </c>
      <c r="AP55" s="68">
        <v>0.98350747703775609</v>
      </c>
      <c r="AQ55" s="68">
        <v>1.2481570681587164</v>
      </c>
      <c r="AR55" s="68">
        <v>0.78753857565406915</v>
      </c>
      <c r="AS55" s="68">
        <v>7.5933370573529544</v>
      </c>
      <c r="AT55" s="261">
        <f t="shared" si="274"/>
        <v>10.612540178203496</v>
      </c>
      <c r="AU55" s="68">
        <v>88.657859251086776</v>
      </c>
      <c r="AV55" s="68">
        <v>1.0731090931379483</v>
      </c>
      <c r="AW55" s="68">
        <v>1.3494016803869981</v>
      </c>
      <c r="AX55" s="68">
        <v>0.82227691495280386</v>
      </c>
      <c r="AY55" s="68">
        <v>8.0973530604354682</v>
      </c>
      <c r="AZ55" s="261">
        <f t="shared" si="275"/>
        <v>11.342140748913218</v>
      </c>
      <c r="BA55" s="68">
        <v>88.571839769728953</v>
      </c>
      <c r="BB55" s="68">
        <v>1.1273686735428161</v>
      </c>
      <c r="BC55" s="68">
        <v>1.3480450947469418</v>
      </c>
      <c r="BD55" s="68">
        <v>0.8827056848165028</v>
      </c>
      <c r="BE55" s="68">
        <v>8.0700407771647864</v>
      </c>
      <c r="BF55" s="261">
        <f t="shared" si="276"/>
        <v>11.428160230271047</v>
      </c>
      <c r="BG55" s="68">
        <v>87.997026400477338</v>
      </c>
      <c r="BH55" s="68">
        <v>1.2060684906047949</v>
      </c>
      <c r="BI55" s="68">
        <v>1.4310447702796552</v>
      </c>
      <c r="BJ55" s="68">
        <v>0.84317196991186805</v>
      </c>
      <c r="BK55" s="68">
        <v>8.5226883687263406</v>
      </c>
      <c r="BL55" s="199">
        <f t="shared" si="277"/>
        <v>12.002973599522658</v>
      </c>
      <c r="BM55" s="68">
        <v>87.237471769820814</v>
      </c>
      <c r="BN55" s="68">
        <v>1.2436202282291844</v>
      </c>
      <c r="BO55" s="68">
        <v>2.3688478107309505</v>
      </c>
      <c r="BP55" s="68">
        <v>0.8894371872295127</v>
      </c>
      <c r="BQ55" s="68">
        <v>8.2606230039895348</v>
      </c>
      <c r="BR55" s="191">
        <f t="shared" si="278"/>
        <v>12.762528230179182</v>
      </c>
      <c r="BS55" s="77">
        <v>87.169703814494881</v>
      </c>
      <c r="BT55" s="68">
        <v>1.5496067478607694</v>
      </c>
      <c r="BU55" s="68">
        <v>1.7022272417406874</v>
      </c>
      <c r="BV55" s="68">
        <v>0.9472645320146923</v>
      </c>
      <c r="BW55" s="68">
        <v>8.6311976638889725</v>
      </c>
      <c r="BX55" s="191">
        <f t="shared" si="279"/>
        <v>12.830296185505121</v>
      </c>
      <c r="BY55" s="38">
        <v>96670</v>
      </c>
      <c r="BZ55" s="6">
        <v>83895</v>
      </c>
      <c r="CA55" s="6">
        <v>1729</v>
      </c>
      <c r="CB55" s="6">
        <v>1732</v>
      </c>
      <c r="CC55" s="2">
        <v>959</v>
      </c>
      <c r="CD55" s="6">
        <v>8355</v>
      </c>
      <c r="CE55" s="189">
        <f t="shared" si="280"/>
        <v>86.784938450398258</v>
      </c>
      <c r="CF55" s="190">
        <f t="shared" si="281"/>
        <v>1.7885590152063722</v>
      </c>
      <c r="CG55" s="190">
        <f t="shared" si="282"/>
        <v>1.7916623564704666</v>
      </c>
      <c r="CH55" s="190">
        <f t="shared" si="283"/>
        <v>0.99203475742215774</v>
      </c>
      <c r="CI55" s="190">
        <f t="shared" si="284"/>
        <v>8.6428054205027411</v>
      </c>
      <c r="CJ55" s="191">
        <f t="shared" si="285"/>
        <v>13.215061549601737</v>
      </c>
      <c r="CK55" s="38">
        <v>95059</v>
      </c>
      <c r="CL55" s="6">
        <v>81741</v>
      </c>
      <c r="CM55" s="6">
        <v>1936</v>
      </c>
      <c r="CN55" s="6">
        <v>2005</v>
      </c>
      <c r="CO55" s="2">
        <v>981</v>
      </c>
      <c r="CP55" s="6">
        <v>8396</v>
      </c>
      <c r="CQ55" s="189">
        <f t="shared" si="286"/>
        <v>85.989753731892833</v>
      </c>
      <c r="CR55" s="190">
        <f t="shared" si="287"/>
        <v>2.0366298824940303</v>
      </c>
      <c r="CS55" s="190">
        <f t="shared" si="288"/>
        <v>2.1092163814052327</v>
      </c>
      <c r="CT55" s="190">
        <f t="shared" si="289"/>
        <v>1.0319906584331837</v>
      </c>
      <c r="CU55" s="190">
        <f t="shared" si="290"/>
        <v>8.8324093457747299</v>
      </c>
      <c r="CV55" s="191">
        <f t="shared" si="291"/>
        <v>14.010246268107178</v>
      </c>
      <c r="CW55" s="38">
        <f t="shared" si="292"/>
        <v>94728</v>
      </c>
      <c r="CX55" s="6">
        <v>80799</v>
      </c>
      <c r="CY55" s="6">
        <v>2113</v>
      </c>
      <c r="CZ55" s="6">
        <v>2105</v>
      </c>
      <c r="DA55" s="2">
        <v>8705</v>
      </c>
      <c r="DB55" s="2">
        <v>1006</v>
      </c>
      <c r="DC55" s="2"/>
      <c r="DD55" s="189">
        <f t="shared" si="293"/>
        <v>85.295794274132248</v>
      </c>
      <c r="DE55" s="190">
        <f t="shared" si="294"/>
        <v>2.2305970779494975</v>
      </c>
      <c r="DF55" s="190">
        <f t="shared" si="295"/>
        <v>2.2221518452833373</v>
      </c>
      <c r="DG55" s="190">
        <f t="shared" si="296"/>
        <v>1.0619880077696142</v>
      </c>
      <c r="DH55" s="190">
        <f t="shared" si="297"/>
        <v>9.1894687948652987</v>
      </c>
      <c r="DI55" s="190"/>
      <c r="DJ55" s="191">
        <f t="shared" si="20"/>
        <v>14.704205725867748</v>
      </c>
      <c r="DK55" s="382">
        <v>95073</v>
      </c>
      <c r="DL55" s="6">
        <v>80361</v>
      </c>
      <c r="DM55" s="6">
        <v>2247</v>
      </c>
      <c r="DN55" s="6">
        <v>2368</v>
      </c>
      <c r="DO55" s="2">
        <v>8929</v>
      </c>
      <c r="DP55" s="2">
        <v>1168</v>
      </c>
      <c r="DQ55" s="2"/>
      <c r="DR55" s="189">
        <f t="shared" si="298"/>
        <v>84.525575084408828</v>
      </c>
      <c r="DS55" s="190">
        <f t="shared" si="299"/>
        <v>2.3634470354359283</v>
      </c>
      <c r="DT55" s="190">
        <f t="shared" si="300"/>
        <v>2.4907176590619842</v>
      </c>
      <c r="DU55" s="190">
        <f t="shared" si="301"/>
        <v>1.2285296561589516</v>
      </c>
      <c r="DV55" s="190">
        <f t="shared" si="302"/>
        <v>9.3917305649343135</v>
      </c>
      <c r="DW55" s="190"/>
      <c r="DX55" s="191">
        <f t="shared" si="303"/>
        <v>15.474424915591177</v>
      </c>
      <c r="DY55" s="382">
        <v>96323</v>
      </c>
      <c r="DZ55" s="6">
        <v>80661</v>
      </c>
      <c r="EA55" s="6">
        <v>2318</v>
      </c>
      <c r="EB55" s="6">
        <v>95</v>
      </c>
      <c r="EC55" s="2">
        <v>8789</v>
      </c>
      <c r="ED55" s="2">
        <v>1267</v>
      </c>
      <c r="EE55" s="2">
        <v>3193</v>
      </c>
      <c r="EF55" s="189">
        <f t="shared" si="304"/>
        <v>83.740124373202661</v>
      </c>
      <c r="EG55" s="190">
        <f t="shared" si="305"/>
        <v>2.4064865089334844</v>
      </c>
      <c r="EH55" s="190">
        <f t="shared" si="306"/>
        <v>9.8626496267765734E-2</v>
      </c>
      <c r="EI55" s="190">
        <f t="shared" si="307"/>
        <v>1.3153660081185179</v>
      </c>
      <c r="EJ55" s="190">
        <f t="shared" si="308"/>
        <v>9.1245081652357172</v>
      </c>
      <c r="EK55" s="190"/>
      <c r="EL55" s="191">
        <f t="shared" si="309"/>
        <v>12.944987178555486</v>
      </c>
      <c r="EM55" s="11">
        <v>97646</v>
      </c>
      <c r="EN55" s="444">
        <f t="shared" si="200"/>
        <v>81237.000000000015</v>
      </c>
      <c r="EO55" s="444">
        <f t="shared" si="201"/>
        <v>2549</v>
      </c>
      <c r="EP55" s="444">
        <f t="shared" si="202"/>
        <v>2783</v>
      </c>
      <c r="EQ55" s="444">
        <f t="shared" si="203"/>
        <v>1134</v>
      </c>
      <c r="ER55" s="444">
        <f t="shared" si="204"/>
        <v>220</v>
      </c>
      <c r="ES55" s="444">
        <f t="shared" si="205"/>
        <v>8866</v>
      </c>
      <c r="ET55" s="444">
        <f t="shared" si="206"/>
        <v>857</v>
      </c>
      <c r="EU55" s="148">
        <v>83.195420191303285</v>
      </c>
      <c r="EV55" s="148">
        <v>2.6104499928312475</v>
      </c>
      <c r="EW55" s="148">
        <v>2.8500911455666387</v>
      </c>
      <c r="EX55" s="148">
        <v>1.1613378940253569</v>
      </c>
      <c r="EY55" s="148">
        <v>0.22530364787088053</v>
      </c>
      <c r="EZ55" s="148">
        <v>9.0797370091964851</v>
      </c>
      <c r="FA55" s="148">
        <v>0.87766011920611187</v>
      </c>
      <c r="FB55" s="191">
        <f t="shared" si="255"/>
        <v>16.804579808696719</v>
      </c>
      <c r="FC55">
        <v>101111</v>
      </c>
      <c r="FD55">
        <v>83037</v>
      </c>
      <c r="FE55" s="11">
        <v>2895</v>
      </c>
      <c r="FF55">
        <v>3363</v>
      </c>
      <c r="FG55">
        <v>1280</v>
      </c>
      <c r="FH55">
        <v>237</v>
      </c>
      <c r="FI55" s="11">
        <v>9086</v>
      </c>
      <c r="FJ55">
        <v>1213</v>
      </c>
      <c r="FK55" s="189">
        <f t="shared" si="256"/>
        <v>82.124595741313996</v>
      </c>
      <c r="FL55" s="190">
        <f t="shared" si="257"/>
        <v>2.8631899595494064</v>
      </c>
      <c r="FM55" s="190">
        <f t="shared" si="258"/>
        <v>3.3260476110413308</v>
      </c>
      <c r="FN55" s="190">
        <f t="shared" si="259"/>
        <v>1.2659354570719308</v>
      </c>
      <c r="FO55" s="190">
        <f t="shared" si="260"/>
        <v>0.23439586197347467</v>
      </c>
      <c r="FP55" s="190">
        <f t="shared" si="261"/>
        <v>8.9861637210590342</v>
      </c>
      <c r="FQ55" s="190">
        <f t="shared" si="262"/>
        <v>1.199671647990822</v>
      </c>
      <c r="FR55" s="199">
        <f t="shared" si="37"/>
        <v>17.875404258686</v>
      </c>
      <c r="FS55" s="474">
        <v>103947</v>
      </c>
      <c r="FT55" s="474">
        <v>84588</v>
      </c>
      <c r="FU55" s="474">
        <v>3271</v>
      </c>
      <c r="FV55" s="474">
        <v>3817</v>
      </c>
      <c r="FW55" s="474">
        <v>1407</v>
      </c>
      <c r="FX55" s="474">
        <v>241</v>
      </c>
      <c r="FY55" s="474">
        <v>9078</v>
      </c>
      <c r="FZ55" s="480">
        <v>1545</v>
      </c>
      <c r="GA55" s="189">
        <f t="shared" si="39"/>
        <v>81.376085889924681</v>
      </c>
      <c r="GB55" s="190">
        <f t="shared" si="40"/>
        <v>3.1467959633274654</v>
      </c>
      <c r="GC55" s="190">
        <f t="shared" si="41"/>
        <v>3.672063647820524</v>
      </c>
      <c r="GD55" s="190">
        <f t="shared" si="42"/>
        <v>1.3535744177321134</v>
      </c>
      <c r="GE55" s="190">
        <f t="shared" si="43"/>
        <v>0.23184892300884105</v>
      </c>
      <c r="GF55" s="190">
        <f t="shared" si="44"/>
        <v>8.7332967762417386</v>
      </c>
      <c r="GG55" s="190">
        <f t="shared" si="45"/>
        <v>1.4863343819446448</v>
      </c>
      <c r="GH55" s="199">
        <f t="shared" si="46"/>
        <v>18.623914110075326</v>
      </c>
      <c r="GI55" s="474">
        <v>106586</v>
      </c>
      <c r="GJ55" s="474">
        <v>85539</v>
      </c>
      <c r="GK55" s="474">
        <v>3866</v>
      </c>
      <c r="GL55" s="474">
        <v>4324</v>
      </c>
      <c r="GM55" s="474">
        <v>1536</v>
      </c>
      <c r="GN55" s="474">
        <v>268</v>
      </c>
      <c r="GO55" s="474">
        <v>9311</v>
      </c>
      <c r="GP55" s="480">
        <v>1742</v>
      </c>
      <c r="GQ55" s="189">
        <f t="shared" si="310"/>
        <v>80.253504212560742</v>
      </c>
      <c r="GR55" s="190">
        <f t="shared" si="311"/>
        <v>3.6271180079935452</v>
      </c>
      <c r="GS55" s="190">
        <f t="shared" si="312"/>
        <v>4.0568179685887458</v>
      </c>
      <c r="GT55" s="190">
        <f t="shared" si="313"/>
        <v>1.4410898241795358</v>
      </c>
      <c r="GU55" s="190">
        <f t="shared" si="314"/>
        <v>0.2514401516146586</v>
      </c>
      <c r="GV55" s="190">
        <f t="shared" si="315"/>
        <v>8.7356688495674852</v>
      </c>
      <c r="GW55" s="190">
        <f t="shared" si="316"/>
        <v>1.6343609854952807</v>
      </c>
      <c r="GX55" s="199">
        <f t="shared" si="55"/>
        <v>19.746495787439251</v>
      </c>
    </row>
    <row r="56" spans="1:206" s="11" customFormat="1">
      <c r="A56" s="113" t="s">
        <v>153</v>
      </c>
      <c r="B56" s="17"/>
      <c r="C56" s="15"/>
      <c r="D56" s="15"/>
      <c r="E56" s="15"/>
      <c r="F56" s="15"/>
      <c r="G56" s="15"/>
      <c r="H56" s="52">
        <v>83.117856016341975</v>
      </c>
      <c r="I56" s="45">
        <v>15.026210252790003</v>
      </c>
      <c r="J56" s="45">
        <v>1.0157411718761735</v>
      </c>
      <c r="K56" s="45">
        <v>0.73480080708553008</v>
      </c>
      <c r="L56" s="43">
        <v>0.10539175190631399</v>
      </c>
      <c r="M56" s="264">
        <f t="shared" si="270"/>
        <v>16.882143983658022</v>
      </c>
      <c r="N56" s="54"/>
      <c r="O56" s="15"/>
      <c r="P56" s="15"/>
      <c r="Q56" s="15"/>
      <c r="R56" s="134">
        <v>16.981905627175593</v>
      </c>
      <c r="S56" s="52">
        <v>82.811879259765021</v>
      </c>
      <c r="T56" s="45">
        <v>14.779745457080603</v>
      </c>
      <c r="U56" s="45">
        <v>1.3390006628606586</v>
      </c>
      <c r="V56" s="45">
        <v>0.96214390605305766</v>
      </c>
      <c r="W56" s="45">
        <v>0.10723071424065937</v>
      </c>
      <c r="X56" s="261">
        <f t="shared" si="271"/>
        <v>17.188120740234979</v>
      </c>
      <c r="Y56" s="52">
        <v>82.5</v>
      </c>
      <c r="Z56" s="45">
        <v>15.1</v>
      </c>
      <c r="AA56" s="45">
        <v>1.4</v>
      </c>
      <c r="AB56" s="45">
        <v>1</v>
      </c>
      <c r="AC56" s="45">
        <v>0.1</v>
      </c>
      <c r="AD56" s="261">
        <f t="shared" si="272"/>
        <v>17.600000000000001</v>
      </c>
      <c r="AE56" s="52">
        <v>82.2</v>
      </c>
      <c r="AF56" s="45">
        <v>15.3</v>
      </c>
      <c r="AG56" s="45">
        <v>1.4</v>
      </c>
      <c r="AH56" s="45">
        <v>1</v>
      </c>
      <c r="AI56" s="45">
        <v>0.1</v>
      </c>
      <c r="AJ56" s="261">
        <f t="shared" si="273"/>
        <v>17.8</v>
      </c>
      <c r="AK56" s="258">
        <f>100-82</f>
        <v>18</v>
      </c>
      <c r="AL56" s="258">
        <f>100-81.7</f>
        <v>18.299999999999997</v>
      </c>
      <c r="AM56" s="257">
        <f>100-81.5</f>
        <v>18.5</v>
      </c>
      <c r="AN56" s="258">
        <f>100-81.1</f>
        <v>18.900000000000006</v>
      </c>
      <c r="AO56" s="77">
        <v>80.712395145851687</v>
      </c>
      <c r="AP56" s="68">
        <v>16.341470990692891</v>
      </c>
      <c r="AQ56" s="68">
        <v>1.6919984153011718</v>
      </c>
      <c r="AR56" s="68">
        <v>1.1292341512406481</v>
      </c>
      <c r="AS56" s="68">
        <v>0.1249012969135974</v>
      </c>
      <c r="AT56" s="261">
        <f t="shared" si="274"/>
        <v>19.287604854148309</v>
      </c>
      <c r="AU56" s="68">
        <v>80.115657302744879</v>
      </c>
      <c r="AV56" s="68">
        <v>16.710612303041422</v>
      </c>
      <c r="AW56" s="68">
        <v>1.8539201595456629</v>
      </c>
      <c r="AX56" s="68">
        <v>1.1877793254672768</v>
      </c>
      <c r="AY56" s="68">
        <v>0.1320309092007585</v>
      </c>
      <c r="AZ56" s="261">
        <f t="shared" si="275"/>
        <v>19.884342697255118</v>
      </c>
      <c r="BA56" s="68">
        <v>79.748982924196724</v>
      </c>
      <c r="BB56" s="68">
        <v>16.899122685633632</v>
      </c>
      <c r="BC56" s="68">
        <v>1.9894279467522764</v>
      </c>
      <c r="BD56" s="68">
        <v>1.225915368222954</v>
      </c>
      <c r="BE56" s="68">
        <v>0.13655107519442061</v>
      </c>
      <c r="BF56" s="261">
        <f t="shared" si="276"/>
        <v>20.251017075803283</v>
      </c>
      <c r="BG56" s="68">
        <v>79.40536436267432</v>
      </c>
      <c r="BH56" s="68">
        <v>17.032551055789881</v>
      </c>
      <c r="BI56" s="68">
        <v>2.1388434340725127</v>
      </c>
      <c r="BJ56" s="68">
        <v>1.2833834826383494</v>
      </c>
      <c r="BK56" s="68">
        <v>0.13985766482494014</v>
      </c>
      <c r="BL56" s="199">
        <f t="shared" si="277"/>
        <v>20.594635637325684</v>
      </c>
      <c r="BM56" s="68">
        <v>79.117551818876791</v>
      </c>
      <c r="BN56" s="68">
        <v>17.112831452197106</v>
      </c>
      <c r="BO56" s="68">
        <v>2.2768925699291946</v>
      </c>
      <c r="BP56" s="68">
        <v>1.3501227940742817</v>
      </c>
      <c r="BQ56" s="68">
        <v>0.1426013649226236</v>
      </c>
      <c r="BR56" s="191">
        <f t="shared" si="278"/>
        <v>20.882448181123205</v>
      </c>
      <c r="BS56" s="77">
        <v>78.973701563188328</v>
      </c>
      <c r="BT56" s="68">
        <v>17.06106970389482</v>
      </c>
      <c r="BU56" s="68">
        <v>2.4239832184918195</v>
      </c>
      <c r="BV56" s="68">
        <v>1.3975284460968869</v>
      </c>
      <c r="BW56" s="68">
        <v>0.14371706832814168</v>
      </c>
      <c r="BX56" s="191">
        <f t="shared" si="279"/>
        <v>21.026298436811668</v>
      </c>
      <c r="BY56" s="38">
        <v>1780816</v>
      </c>
      <c r="BZ56" s="6">
        <v>1403004</v>
      </c>
      <c r="CA56" s="6">
        <v>303852</v>
      </c>
      <c r="CB56" s="6">
        <v>45601</v>
      </c>
      <c r="CC56" s="6">
        <v>25802</v>
      </c>
      <c r="CD56" s="6">
        <v>2557</v>
      </c>
      <c r="CE56" s="189">
        <f t="shared" si="280"/>
        <v>78.784332575628241</v>
      </c>
      <c r="CF56" s="190">
        <f t="shared" si="281"/>
        <v>17.062515161588845</v>
      </c>
      <c r="CG56" s="190">
        <f t="shared" si="282"/>
        <v>2.5606800477983129</v>
      </c>
      <c r="CH56" s="190">
        <f t="shared" si="283"/>
        <v>1.448886353222343</v>
      </c>
      <c r="CI56" s="190">
        <f t="shared" si="284"/>
        <v>0.14358586176224833</v>
      </c>
      <c r="CJ56" s="191">
        <f t="shared" si="285"/>
        <v>21.215667424371748</v>
      </c>
      <c r="CK56" s="38">
        <v>1765893</v>
      </c>
      <c r="CL56" s="6">
        <v>1387417</v>
      </c>
      <c r="CM56" s="6">
        <v>301118</v>
      </c>
      <c r="CN56" s="6">
        <v>47701</v>
      </c>
      <c r="CO56" s="6">
        <v>27077</v>
      </c>
      <c r="CP56" s="6">
        <v>2580</v>
      </c>
      <c r="CQ56" s="189">
        <f t="shared" si="286"/>
        <v>78.567444346854543</v>
      </c>
      <c r="CR56" s="190">
        <f t="shared" si="287"/>
        <v>17.051882531954089</v>
      </c>
      <c r="CS56" s="190">
        <f t="shared" si="288"/>
        <v>2.7012395428262073</v>
      </c>
      <c r="CT56" s="190">
        <f t="shared" si="289"/>
        <v>1.5333318609904449</v>
      </c>
      <c r="CU56" s="190">
        <f t="shared" si="290"/>
        <v>0.14610171737472202</v>
      </c>
      <c r="CV56" s="191">
        <f t="shared" si="291"/>
        <v>21.432555653145464</v>
      </c>
      <c r="CW56" s="38">
        <f t="shared" si="292"/>
        <v>1749614</v>
      </c>
      <c r="CX56" s="6">
        <v>1372263</v>
      </c>
      <c r="CY56" s="6">
        <v>295201</v>
      </c>
      <c r="CZ56" s="6">
        <v>49440</v>
      </c>
      <c r="DA56" s="6">
        <v>2536</v>
      </c>
      <c r="DB56" s="6">
        <v>30174</v>
      </c>
      <c r="DC56" s="6"/>
      <c r="DD56" s="189">
        <f t="shared" si="293"/>
        <v>78.432328502172481</v>
      </c>
      <c r="DE56" s="190">
        <f t="shared" si="294"/>
        <v>16.872350129800058</v>
      </c>
      <c r="DF56" s="190">
        <f t="shared" si="295"/>
        <v>2.8257661404172576</v>
      </c>
      <c r="DG56" s="190">
        <f t="shared" si="296"/>
        <v>1.7246089708930084</v>
      </c>
      <c r="DH56" s="190">
        <f t="shared" si="297"/>
        <v>0.14494625671719591</v>
      </c>
      <c r="DI56" s="190"/>
      <c r="DJ56" s="191">
        <f t="shared" si="20"/>
        <v>21.567671497827519</v>
      </c>
      <c r="DK56" s="382">
        <v>1691822</v>
      </c>
      <c r="DL56" s="6">
        <v>1321407</v>
      </c>
      <c r="DM56" s="6">
        <v>287747</v>
      </c>
      <c r="DN56" s="6">
        <v>50753</v>
      </c>
      <c r="DO56" s="6">
        <v>2485</v>
      </c>
      <c r="DP56" s="6">
        <v>29430</v>
      </c>
      <c r="DQ56" s="6"/>
      <c r="DR56" s="189">
        <f t="shared" si="298"/>
        <v>78.105557204008463</v>
      </c>
      <c r="DS56" s="190">
        <f t="shared" si="299"/>
        <v>17.008113146654907</v>
      </c>
      <c r="DT56" s="190">
        <f t="shared" si="300"/>
        <v>2.9999018809307363</v>
      </c>
      <c r="DU56" s="190">
        <f t="shared" si="301"/>
        <v>1.7395447038754668</v>
      </c>
      <c r="DV56" s="190">
        <f t="shared" si="302"/>
        <v>0.14688306453042932</v>
      </c>
      <c r="DW56" s="190"/>
      <c r="DX56" s="191">
        <f t="shared" si="303"/>
        <v>21.894442795991537</v>
      </c>
      <c r="DY56" s="382">
        <v>1754191</v>
      </c>
      <c r="DZ56" s="6">
        <v>1301921</v>
      </c>
      <c r="EA56" s="6">
        <v>285091</v>
      </c>
      <c r="EB56" s="6">
        <v>60506</v>
      </c>
      <c r="EC56" s="6">
        <v>2519</v>
      </c>
      <c r="ED56" s="6">
        <v>30641</v>
      </c>
      <c r="EE56" s="6">
        <v>73513</v>
      </c>
      <c r="EF56" s="189">
        <f t="shared" si="304"/>
        <v>74.217744817981625</v>
      </c>
      <c r="EG56" s="190">
        <f t="shared" si="305"/>
        <v>16.251993083991422</v>
      </c>
      <c r="EH56" s="190">
        <f t="shared" si="306"/>
        <v>3.4492253124089682</v>
      </c>
      <c r="EI56" s="190">
        <f t="shared" si="307"/>
        <v>1.7467311142287243</v>
      </c>
      <c r="EJ56" s="190">
        <f t="shared" si="308"/>
        <v>0.14359895815221946</v>
      </c>
      <c r="EK56" s="190"/>
      <c r="EL56" s="191">
        <f t="shared" si="309"/>
        <v>21.591548468781333</v>
      </c>
      <c r="EM56" s="11">
        <v>1740030</v>
      </c>
      <c r="EN56" s="444">
        <f t="shared" si="200"/>
        <v>1282799</v>
      </c>
      <c r="EO56" s="444">
        <f t="shared" si="201"/>
        <v>281996</v>
      </c>
      <c r="EP56" s="444">
        <f t="shared" si="202"/>
        <v>66119.999999999985</v>
      </c>
      <c r="EQ56" s="444">
        <f t="shared" si="203"/>
        <v>30922.999999999996</v>
      </c>
      <c r="ER56" s="444">
        <f t="shared" si="204"/>
        <v>0</v>
      </c>
      <c r="ES56" s="444">
        <f t="shared" si="205"/>
        <v>2442.0000000000005</v>
      </c>
      <c r="ET56" s="444">
        <f t="shared" si="206"/>
        <v>74963</v>
      </c>
      <c r="EU56" s="148">
        <v>73.722809376849824</v>
      </c>
      <c r="EV56" s="148">
        <v>16.206387246196904</v>
      </c>
      <c r="EW56" s="148">
        <v>3.7999344838882085</v>
      </c>
      <c r="EX56" s="148">
        <v>1.7771532674723998</v>
      </c>
      <c r="EY56" s="443">
        <v>0</v>
      </c>
      <c r="EZ56" s="148">
        <v>0.14034240788951916</v>
      </c>
      <c r="FA56" s="148">
        <v>4.308144112457831</v>
      </c>
      <c r="FB56" s="191">
        <f t="shared" si="255"/>
        <v>26.231961517904864</v>
      </c>
      <c r="FC56">
        <v>1729916</v>
      </c>
      <c r="FD56">
        <v>1267331</v>
      </c>
      <c r="FE56" s="11">
        <v>279663</v>
      </c>
      <c r="FF56">
        <v>72789</v>
      </c>
      <c r="FG56">
        <v>31951</v>
      </c>
      <c r="FH56">
        <v>908</v>
      </c>
      <c r="FI56" s="11">
        <v>2321</v>
      </c>
      <c r="FJ56">
        <v>74953</v>
      </c>
      <c r="FK56" s="189">
        <f t="shared" si="256"/>
        <v>73.259684285248525</v>
      </c>
      <c r="FL56" s="190">
        <f t="shared" si="257"/>
        <v>16.166276281622924</v>
      </c>
      <c r="FM56" s="190">
        <f t="shared" si="258"/>
        <v>4.2076609500114461</v>
      </c>
      <c r="FN56" s="190">
        <f t="shared" si="259"/>
        <v>1.8469682921020443</v>
      </c>
      <c r="FO56" s="190">
        <f t="shared" si="260"/>
        <v>5.2488097687980226E-2</v>
      </c>
      <c r="FP56" s="190">
        <f t="shared" si="261"/>
        <v>0.13416836424427545</v>
      </c>
      <c r="FQ56" s="190">
        <f t="shared" si="262"/>
        <v>4.3327537290827989</v>
      </c>
      <c r="FR56" s="199">
        <f t="shared" si="37"/>
        <v>26.740315714751471</v>
      </c>
      <c r="FS56" s="474">
        <v>1724111</v>
      </c>
      <c r="FT56" s="474">
        <v>1252086</v>
      </c>
      <c r="FU56" s="474">
        <v>280171</v>
      </c>
      <c r="FV56" s="474">
        <v>78202</v>
      </c>
      <c r="FW56" s="474">
        <v>33206</v>
      </c>
      <c r="FX56" s="474">
        <v>1068</v>
      </c>
      <c r="FY56" s="474">
        <v>2223</v>
      </c>
      <c r="FZ56" s="480">
        <v>77155</v>
      </c>
      <c r="GA56" s="189">
        <f t="shared" si="39"/>
        <v>72.62212235755122</v>
      </c>
      <c r="GB56" s="190">
        <f t="shared" si="40"/>
        <v>16.25017182768395</v>
      </c>
      <c r="GC56" s="190">
        <f t="shared" si="41"/>
        <v>4.5357868489905817</v>
      </c>
      <c r="GD56" s="190">
        <f t="shared" si="42"/>
        <v>1.9259780837776685</v>
      </c>
      <c r="GE56" s="190">
        <f t="shared" si="43"/>
        <v>6.1944967580393605E-2</v>
      </c>
      <c r="GF56" s="190">
        <f t="shared" si="44"/>
        <v>0.12893601398053836</v>
      </c>
      <c r="GG56" s="190">
        <f t="shared" si="45"/>
        <v>4.4750599004356451</v>
      </c>
      <c r="GH56" s="199">
        <f t="shared" si="46"/>
        <v>27.37787764244878</v>
      </c>
      <c r="GI56" s="474">
        <v>1724810</v>
      </c>
      <c r="GJ56" s="474">
        <v>1239279</v>
      </c>
      <c r="GK56" s="474">
        <v>282227</v>
      </c>
      <c r="GL56" s="474">
        <v>83990</v>
      </c>
      <c r="GM56" s="474">
        <v>35026</v>
      </c>
      <c r="GN56" s="474">
        <v>1206</v>
      </c>
      <c r="GO56" s="474">
        <v>2189</v>
      </c>
      <c r="GP56" s="480">
        <v>80893</v>
      </c>
      <c r="GQ56" s="189">
        <f t="shared" si="310"/>
        <v>71.850174801862238</v>
      </c>
      <c r="GR56" s="190">
        <f t="shared" si="311"/>
        <v>16.362787785321281</v>
      </c>
      <c r="GS56" s="190">
        <f t="shared" si="312"/>
        <v>4.869521860378824</v>
      </c>
      <c r="GT56" s="190">
        <f t="shared" si="313"/>
        <v>2.0307164267368583</v>
      </c>
      <c r="GU56" s="190">
        <f t="shared" si="314"/>
        <v>6.992074489364046E-2</v>
      </c>
      <c r="GV56" s="190">
        <f t="shared" si="315"/>
        <v>0.12691252949600246</v>
      </c>
      <c r="GW56" s="190">
        <f t="shared" si="316"/>
        <v>4.6899658513111593</v>
      </c>
      <c r="GX56" s="199">
        <f t="shared" si="55"/>
        <v>28.149825198137769</v>
      </c>
    </row>
    <row r="57" spans="1:206" s="11" customFormat="1">
      <c r="A57" s="113" t="s">
        <v>157</v>
      </c>
      <c r="C57" s="1"/>
      <c r="D57" s="1"/>
      <c r="E57" s="1"/>
      <c r="F57" s="1"/>
      <c r="G57" s="1"/>
      <c r="H57" s="52">
        <v>90.633034379671145</v>
      </c>
      <c r="I57" s="45">
        <v>0.54409566517189834</v>
      </c>
      <c r="J57" s="45">
        <v>0.60014947683109121</v>
      </c>
      <c r="K57" s="45">
        <v>0.66890881913303435</v>
      </c>
      <c r="L57" s="43">
        <v>7.5538116591928253</v>
      </c>
      <c r="M57" s="264">
        <f t="shared" si="270"/>
        <v>9.3669656203288483</v>
      </c>
      <c r="N57" s="66"/>
      <c r="O57" s="1"/>
      <c r="P57" s="1"/>
      <c r="Q57" s="1"/>
      <c r="R57" s="134">
        <v>10.851359485186478</v>
      </c>
      <c r="S57" s="52">
        <v>84.896201645370212</v>
      </c>
      <c r="T57" s="45">
        <v>0.7057587957290391</v>
      </c>
      <c r="U57" s="45">
        <v>0.63434272711360051</v>
      </c>
      <c r="V57" s="45">
        <v>0.71416068615438477</v>
      </c>
      <c r="W57" s="45">
        <v>13.049536145632768</v>
      </c>
      <c r="X57" s="261">
        <f t="shared" si="271"/>
        <v>15.103798354629792</v>
      </c>
      <c r="Y57" s="52">
        <v>84.2</v>
      </c>
      <c r="Z57" s="45">
        <v>0.8</v>
      </c>
      <c r="AA57" s="45">
        <v>0.7</v>
      </c>
      <c r="AB57" s="45">
        <v>0.8</v>
      </c>
      <c r="AC57" s="45">
        <v>13.6</v>
      </c>
      <c r="AD57" s="261">
        <f t="shared" si="272"/>
        <v>15.899999999999999</v>
      </c>
      <c r="AE57" s="52">
        <v>83.7</v>
      </c>
      <c r="AF57" s="45">
        <v>0.9</v>
      </c>
      <c r="AG57" s="45">
        <v>0.7</v>
      </c>
      <c r="AH57" s="45">
        <v>0.7</v>
      </c>
      <c r="AI57" s="45">
        <v>13.9</v>
      </c>
      <c r="AJ57" s="261">
        <f t="shared" si="273"/>
        <v>16.2</v>
      </c>
      <c r="AK57" s="258">
        <f>100-83.7</f>
        <v>16.299999999999997</v>
      </c>
      <c r="AL57" s="258">
        <f>100-82.9</f>
        <v>17.099999999999994</v>
      </c>
      <c r="AM57" s="258">
        <f>100-87.5</f>
        <v>12.5</v>
      </c>
      <c r="AN57" s="258">
        <f>100-87</f>
        <v>13</v>
      </c>
      <c r="AO57" s="77">
        <v>86.510423551550119</v>
      </c>
      <c r="AP57" s="68">
        <v>1.1858199264402851</v>
      </c>
      <c r="AQ57" s="68">
        <v>1.2324751366608866</v>
      </c>
      <c r="AR57" s="68">
        <v>0.93310420441202768</v>
      </c>
      <c r="AS57" s="68">
        <v>10.138177180936681</v>
      </c>
      <c r="AT57" s="261">
        <f t="shared" si="274"/>
        <v>13.489576448449881</v>
      </c>
      <c r="AU57" s="68">
        <v>86.170045945649278</v>
      </c>
      <c r="AV57" s="68">
        <v>1.2819306581361434</v>
      </c>
      <c r="AW57" s="68">
        <v>1.3673927020118861</v>
      </c>
      <c r="AX57" s="68">
        <v>0.98477364319204652</v>
      </c>
      <c r="AY57" s="68">
        <v>10.195857051010647</v>
      </c>
      <c r="AZ57" s="261">
        <f t="shared" si="275"/>
        <v>13.829954054350722</v>
      </c>
      <c r="BA57" s="68">
        <v>85.331812963237766</v>
      </c>
      <c r="BB57" s="68">
        <v>1.4690836385788706</v>
      </c>
      <c r="BC57" s="68">
        <v>1.587797467958981</v>
      </c>
      <c r="BD57" s="68">
        <v>1.0317168987574099</v>
      </c>
      <c r="BE57" s="68">
        <v>10.579589031466975</v>
      </c>
      <c r="BF57" s="261">
        <f t="shared" si="276"/>
        <v>14.668187036762237</v>
      </c>
      <c r="BG57" s="68">
        <v>84.94547424265356</v>
      </c>
      <c r="BH57" s="68">
        <v>1.5158877462421438</v>
      </c>
      <c r="BI57" s="68">
        <v>1.806638680229733</v>
      </c>
      <c r="BJ57" s="68">
        <v>1.043517050749978</v>
      </c>
      <c r="BK57" s="68">
        <v>10.688482280124585</v>
      </c>
      <c r="BL57" s="199">
        <f t="shared" si="277"/>
        <v>15.05452575734644</v>
      </c>
      <c r="BM57" s="68">
        <v>84.594211632111268</v>
      </c>
      <c r="BN57" s="68">
        <v>1.6124041108161371</v>
      </c>
      <c r="BO57" s="68">
        <v>1.9080115311324288</v>
      </c>
      <c r="BP57" s="68">
        <v>1.0195605791625271</v>
      </c>
      <c r="BQ57" s="68">
        <v>10.865812146777634</v>
      </c>
      <c r="BR57" s="191">
        <f t="shared" si="278"/>
        <v>15.405788367888727</v>
      </c>
      <c r="BS57" s="77">
        <v>84.971969970166867</v>
      </c>
      <c r="BT57" s="68">
        <v>1.5588630626495754</v>
      </c>
      <c r="BU57" s="68">
        <v>1.967839228928302</v>
      </c>
      <c r="BV57" s="68">
        <v>1.0310461266104973</v>
      </c>
      <c r="BW57" s="68">
        <v>10.470281611644756</v>
      </c>
      <c r="BX57" s="191">
        <f t="shared" si="279"/>
        <v>15.028030029833131</v>
      </c>
      <c r="BY57" s="38">
        <v>121158</v>
      </c>
      <c r="BZ57" s="6">
        <v>102406</v>
      </c>
      <c r="CA57" s="6">
        <v>2110</v>
      </c>
      <c r="CB57" s="6">
        <v>2525</v>
      </c>
      <c r="CC57" s="6">
        <v>1223</v>
      </c>
      <c r="CD57" s="6">
        <v>12894</v>
      </c>
      <c r="CE57" s="189">
        <f t="shared" si="280"/>
        <v>84.522689380808529</v>
      </c>
      <c r="CF57" s="190">
        <f t="shared" si="281"/>
        <v>1.7415275920698592</v>
      </c>
      <c r="CG57" s="190">
        <f t="shared" si="282"/>
        <v>2.0840555307944997</v>
      </c>
      <c r="CH57" s="190">
        <f t="shared" si="283"/>
        <v>1.0094257085788805</v>
      </c>
      <c r="CI57" s="190">
        <f t="shared" si="284"/>
        <v>10.642301787748229</v>
      </c>
      <c r="CJ57" s="191">
        <f t="shared" si="285"/>
        <v>15.477310619191467</v>
      </c>
      <c r="CK57" s="38">
        <v>121606</v>
      </c>
      <c r="CL57" s="6">
        <v>101198</v>
      </c>
      <c r="CM57" s="6">
        <v>2440</v>
      </c>
      <c r="CN57" s="6">
        <v>2915</v>
      </c>
      <c r="CO57" s="6">
        <v>1398</v>
      </c>
      <c r="CP57" s="6">
        <v>13655</v>
      </c>
      <c r="CQ57" s="189">
        <f t="shared" si="286"/>
        <v>83.217933325658279</v>
      </c>
      <c r="CR57" s="190">
        <f t="shared" si="287"/>
        <v>2.0064799434238441</v>
      </c>
      <c r="CS57" s="190">
        <f t="shared" si="288"/>
        <v>2.3970856701149614</v>
      </c>
      <c r="CT57" s="190">
        <f t="shared" si="289"/>
        <v>1.1496143282403828</v>
      </c>
      <c r="CU57" s="190">
        <f t="shared" si="290"/>
        <v>11.228886732562538</v>
      </c>
      <c r="CV57" s="191">
        <f t="shared" si="291"/>
        <v>16.782066674341728</v>
      </c>
      <c r="CW57" s="38">
        <f t="shared" si="292"/>
        <v>126764</v>
      </c>
      <c r="CX57" s="6">
        <v>103116</v>
      </c>
      <c r="CY57" s="6">
        <v>3150</v>
      </c>
      <c r="CZ57" s="6">
        <v>3463</v>
      </c>
      <c r="DA57" s="6">
        <v>15445</v>
      </c>
      <c r="DB57" s="6">
        <v>1590</v>
      </c>
      <c r="DC57" s="6"/>
      <c r="DD57" s="189">
        <f t="shared" si="293"/>
        <v>81.344861317093176</v>
      </c>
      <c r="DE57" s="190">
        <f t="shared" si="294"/>
        <v>2.484932630715345</v>
      </c>
      <c r="DF57" s="190">
        <f t="shared" si="295"/>
        <v>2.7318481587832508</v>
      </c>
      <c r="DG57" s="190">
        <f t="shared" si="296"/>
        <v>1.2542993278848884</v>
      </c>
      <c r="DH57" s="190">
        <f t="shared" si="297"/>
        <v>12.184058565523333</v>
      </c>
      <c r="DI57" s="190"/>
      <c r="DJ57" s="191">
        <f t="shared" si="20"/>
        <v>18.655138682906816</v>
      </c>
      <c r="DK57" s="382">
        <v>123713</v>
      </c>
      <c r="DL57" s="6">
        <v>100578</v>
      </c>
      <c r="DM57" s="6">
        <v>3158</v>
      </c>
      <c r="DN57" s="6">
        <v>3449</v>
      </c>
      <c r="DO57" s="6">
        <v>14814</v>
      </c>
      <c r="DP57" s="6">
        <v>1714</v>
      </c>
      <c r="DQ57" s="6"/>
      <c r="DR57" s="189">
        <f t="shared" si="298"/>
        <v>81.299459232255302</v>
      </c>
      <c r="DS57" s="190">
        <f t="shared" si="299"/>
        <v>2.552682418177556</v>
      </c>
      <c r="DT57" s="190">
        <f t="shared" si="300"/>
        <v>2.787904262284481</v>
      </c>
      <c r="DU57" s="190">
        <f t="shared" si="301"/>
        <v>1.3854647450146711</v>
      </c>
      <c r="DV57" s="190">
        <f t="shared" si="302"/>
        <v>11.97448934226799</v>
      </c>
      <c r="DW57" s="190"/>
      <c r="DX57" s="191">
        <f t="shared" si="303"/>
        <v>18.700540767744698</v>
      </c>
      <c r="DY57" s="382">
        <v>126128</v>
      </c>
      <c r="DZ57" s="6">
        <v>100680</v>
      </c>
      <c r="EA57" s="6">
        <v>3144</v>
      </c>
      <c r="EB57" s="6">
        <v>4352</v>
      </c>
      <c r="EC57" s="6">
        <v>14683</v>
      </c>
      <c r="ED57" s="6">
        <v>1868</v>
      </c>
      <c r="EE57" s="6">
        <v>1401</v>
      </c>
      <c r="EF57" s="189">
        <f t="shared" si="304"/>
        <v>79.823671191170874</v>
      </c>
      <c r="EG57" s="190">
        <f t="shared" si="305"/>
        <v>2.4927058226563492</v>
      </c>
      <c r="EH57" s="190">
        <f t="shared" si="306"/>
        <v>3.4504630216922489</v>
      </c>
      <c r="EI57" s="190">
        <f t="shared" si="307"/>
        <v>1.4810351389065077</v>
      </c>
      <c r="EJ57" s="190">
        <f t="shared" si="308"/>
        <v>11.641348471394139</v>
      </c>
      <c r="EK57" s="190"/>
      <c r="EL57" s="191">
        <f t="shared" si="309"/>
        <v>19.065552454649243</v>
      </c>
      <c r="EM57" s="11">
        <v>128016</v>
      </c>
      <c r="EN57" s="444">
        <f t="shared" si="200"/>
        <v>100417</v>
      </c>
      <c r="EO57" s="444">
        <f t="shared" si="201"/>
        <v>3389.9999999999995</v>
      </c>
      <c r="EP57" s="444">
        <f t="shared" si="202"/>
        <v>4993</v>
      </c>
      <c r="EQ57" s="444">
        <f t="shared" si="203"/>
        <v>1966</v>
      </c>
      <c r="ER57" s="444">
        <f t="shared" si="204"/>
        <v>124</v>
      </c>
      <c r="ES57" s="444">
        <f t="shared" si="205"/>
        <v>14950</v>
      </c>
      <c r="ET57" s="444">
        <f t="shared" si="206"/>
        <v>2176</v>
      </c>
      <c r="EU57" s="148">
        <v>78.440976127984001</v>
      </c>
      <c r="EV57" s="148">
        <v>2.6481064866891635</v>
      </c>
      <c r="EW57" s="148">
        <v>3.9002937132858393</v>
      </c>
      <c r="EX57" s="148">
        <v>1.535745531808524</v>
      </c>
      <c r="EY57" s="148">
        <v>9.686289213848269E-2</v>
      </c>
      <c r="EZ57" s="148">
        <v>11.678227721534808</v>
      </c>
      <c r="FA57" s="148">
        <v>1.6997875265591802</v>
      </c>
      <c r="FB57" s="191">
        <f t="shared" si="255"/>
        <v>21.559023872015999</v>
      </c>
      <c r="FC57">
        <v>130471</v>
      </c>
      <c r="FD57">
        <v>101242</v>
      </c>
      <c r="FE57" s="11">
        <v>3584</v>
      </c>
      <c r="FF57">
        <v>5571</v>
      </c>
      <c r="FG57">
        <v>2211</v>
      </c>
      <c r="FH57">
        <v>138</v>
      </c>
      <c r="FI57" s="11">
        <v>14977</v>
      </c>
      <c r="FJ57">
        <v>2748</v>
      </c>
      <c r="FK57" s="189">
        <f t="shared" si="256"/>
        <v>77.597320477347452</v>
      </c>
      <c r="FL57" s="190">
        <f t="shared" si="257"/>
        <v>2.7469705911658528</v>
      </c>
      <c r="FM57" s="190">
        <f t="shared" si="258"/>
        <v>4.2699143871051799</v>
      </c>
      <c r="FN57" s="190">
        <f t="shared" si="259"/>
        <v>1.6946294578871934</v>
      </c>
      <c r="FO57" s="190">
        <f t="shared" si="260"/>
        <v>0.10577063102145304</v>
      </c>
      <c r="FP57" s="190">
        <f t="shared" si="261"/>
        <v>11.479179281219581</v>
      </c>
      <c r="FQ57" s="190">
        <f t="shared" si="262"/>
        <v>2.1062151742532826</v>
      </c>
      <c r="FR57" s="199">
        <f t="shared" si="37"/>
        <v>22.402679522652544</v>
      </c>
      <c r="FS57" s="474">
        <v>130890</v>
      </c>
      <c r="FT57" s="474">
        <v>100589</v>
      </c>
      <c r="FU57" s="474">
        <v>3532</v>
      </c>
      <c r="FV57" s="474">
        <v>5916</v>
      </c>
      <c r="FW57" s="474">
        <v>2257</v>
      </c>
      <c r="FX57" s="474">
        <v>119</v>
      </c>
      <c r="FY57" s="474">
        <v>15040</v>
      </c>
      <c r="FZ57" s="480">
        <v>3437</v>
      </c>
      <c r="GA57" s="189">
        <f t="shared" si="39"/>
        <v>76.850026740010691</v>
      </c>
      <c r="GB57" s="190">
        <f t="shared" si="40"/>
        <v>2.6984490793796319</v>
      </c>
      <c r="GC57" s="190">
        <f t="shared" si="41"/>
        <v>4.5198258079303226</v>
      </c>
      <c r="GD57" s="190">
        <f t="shared" si="42"/>
        <v>1.7243486897394757</v>
      </c>
      <c r="GE57" s="190">
        <f t="shared" si="43"/>
        <v>9.0916036366414543E-2</v>
      </c>
      <c r="GF57" s="190">
        <f t="shared" si="44"/>
        <v>11.490564596225838</v>
      </c>
      <c r="GG57" s="190">
        <f t="shared" si="45"/>
        <v>2.6258690503476201</v>
      </c>
      <c r="GH57" s="199">
        <f t="shared" si="46"/>
        <v>23.149973259989302</v>
      </c>
      <c r="GI57" s="474">
        <v>133040</v>
      </c>
      <c r="GJ57" s="474">
        <v>101163</v>
      </c>
      <c r="GK57" s="474">
        <v>3792</v>
      </c>
      <c r="GL57" s="474">
        <v>6477</v>
      </c>
      <c r="GM57" s="474">
        <v>2318</v>
      </c>
      <c r="GN57" s="474">
        <v>120</v>
      </c>
      <c r="GO57" s="474">
        <v>15194</v>
      </c>
      <c r="GP57" s="480">
        <v>3976</v>
      </c>
      <c r="GQ57" s="189">
        <f t="shared" si="310"/>
        <v>76.039536981358992</v>
      </c>
      <c r="GR57" s="190">
        <f t="shared" si="311"/>
        <v>2.8502705953096812</v>
      </c>
      <c r="GS57" s="190">
        <f t="shared" si="312"/>
        <v>4.8684606133493684</v>
      </c>
      <c r="GT57" s="190">
        <f t="shared" si="313"/>
        <v>1.7423331328923632</v>
      </c>
      <c r="GU57" s="190">
        <f t="shared" si="314"/>
        <v>9.0198436560432957E-2</v>
      </c>
      <c r="GV57" s="190">
        <f t="shared" si="315"/>
        <v>11.42062537582682</v>
      </c>
      <c r="GW57" s="190">
        <f t="shared" si="316"/>
        <v>2.9885748647023451</v>
      </c>
      <c r="GX57" s="199">
        <f t="shared" si="55"/>
        <v>23.960463018641008</v>
      </c>
    </row>
    <row r="58" spans="1:206" s="11" customFormat="1">
      <c r="A58" s="114" t="s">
        <v>161</v>
      </c>
      <c r="B58" s="14"/>
      <c r="C58" s="14"/>
      <c r="D58" s="14"/>
      <c r="E58" s="14"/>
      <c r="F58" s="14"/>
      <c r="G58" s="14"/>
      <c r="H58" s="53">
        <v>86.569867859128607</v>
      </c>
      <c r="I58" s="46">
        <v>8.8825401332055698</v>
      </c>
      <c r="J58" s="46">
        <v>1.931244158947605</v>
      </c>
      <c r="K58" s="46">
        <v>1.651760892453656</v>
      </c>
      <c r="L58" s="44">
        <v>0.9645869562645657</v>
      </c>
      <c r="M58" s="263">
        <f t="shared" si="270"/>
        <v>13.430132140871395</v>
      </c>
      <c r="N58" s="81"/>
      <c r="O58" s="14"/>
      <c r="P58" s="14"/>
      <c r="Q58" s="14"/>
      <c r="R58" s="135">
        <v>15.302231090587952</v>
      </c>
      <c r="S58" s="53">
        <v>84.328810036954934</v>
      </c>
      <c r="T58" s="46">
        <v>9.0575722066680022</v>
      </c>
      <c r="U58" s="46">
        <v>2.9150439395213987</v>
      </c>
      <c r="V58" s="46">
        <v>2.391229394277969</v>
      </c>
      <c r="W58" s="46">
        <v>1.3073444225776985</v>
      </c>
      <c r="X58" s="262">
        <f t="shared" si="271"/>
        <v>15.671189963045068</v>
      </c>
      <c r="Y58" s="53">
        <v>83.7</v>
      </c>
      <c r="Z58" s="46">
        <v>9.3000000000000007</v>
      </c>
      <c r="AA58" s="46">
        <v>3.1</v>
      </c>
      <c r="AB58" s="46">
        <v>2.6</v>
      </c>
      <c r="AC58" s="46">
        <v>1.3</v>
      </c>
      <c r="AD58" s="262">
        <f t="shared" si="272"/>
        <v>16.3</v>
      </c>
      <c r="AE58" s="53">
        <v>83.2</v>
      </c>
      <c r="AF58" s="46">
        <v>9.4</v>
      </c>
      <c r="AG58" s="46">
        <v>3.3</v>
      </c>
      <c r="AH58" s="46">
        <v>2.8</v>
      </c>
      <c r="AI58" s="46">
        <v>1.3</v>
      </c>
      <c r="AJ58" s="262">
        <f t="shared" si="273"/>
        <v>16.8</v>
      </c>
      <c r="AK58" s="256">
        <f>100-82.6</f>
        <v>17.400000000000006</v>
      </c>
      <c r="AL58" s="256">
        <f>100-82.2</f>
        <v>17.799999999999997</v>
      </c>
      <c r="AM58" s="256">
        <f>100-81.9</f>
        <v>18.099999999999994</v>
      </c>
      <c r="AN58" s="256">
        <f>100-81.4</f>
        <v>18.599999999999994</v>
      </c>
      <c r="AO58" s="78">
        <v>80.725795814780625</v>
      </c>
      <c r="AP58" s="79">
        <v>10.034725222746271</v>
      </c>
      <c r="AQ58" s="79">
        <v>4.5433871987410681</v>
      </c>
      <c r="AR58" s="79">
        <v>3.2927561411567798</v>
      </c>
      <c r="AS58" s="79">
        <v>1.4033356225752607</v>
      </c>
      <c r="AT58" s="262">
        <f t="shared" si="274"/>
        <v>19.274204185219379</v>
      </c>
      <c r="AU58" s="79">
        <v>80.108055735926428</v>
      </c>
      <c r="AV58" s="79">
        <v>10.154305228455662</v>
      </c>
      <c r="AW58" s="79">
        <v>4.9605338421876795</v>
      </c>
      <c r="AX58" s="79">
        <v>3.3533440759824464</v>
      </c>
      <c r="AY58" s="79">
        <v>1.4237611174477831</v>
      </c>
      <c r="AZ58" s="262">
        <f t="shared" si="275"/>
        <v>19.891944264073569</v>
      </c>
      <c r="BA58" s="79">
        <v>79.453854891623195</v>
      </c>
      <c r="BB58" s="79">
        <v>10.360393585790787</v>
      </c>
      <c r="BC58" s="79">
        <v>5.3780450301907212</v>
      </c>
      <c r="BD58" s="79">
        <v>3.3466820844931697</v>
      </c>
      <c r="BE58" s="79">
        <v>1.461024407902128</v>
      </c>
      <c r="BF58" s="262">
        <f t="shared" si="276"/>
        <v>20.546145108376805</v>
      </c>
      <c r="BG58" s="78">
        <v>78.834381970635121</v>
      </c>
      <c r="BH58" s="79">
        <v>10.51690224548908</v>
      </c>
      <c r="BI58" s="79">
        <v>5.8295673675131905</v>
      </c>
      <c r="BJ58" s="79">
        <v>3.3705630824368686</v>
      </c>
      <c r="BK58" s="79">
        <v>1.4485853339257366</v>
      </c>
      <c r="BL58" s="201">
        <f t="shared" si="277"/>
        <v>21.165618029364875</v>
      </c>
      <c r="BM58" s="78">
        <v>78.28892972245383</v>
      </c>
      <c r="BN58" s="79">
        <v>10.496590371630411</v>
      </c>
      <c r="BO58" s="79">
        <v>6.3022328816072033</v>
      </c>
      <c r="BP58" s="79">
        <v>3.4490614126280565</v>
      </c>
      <c r="BQ58" s="79">
        <v>1.4631856116805069</v>
      </c>
      <c r="BR58" s="194">
        <f t="shared" si="278"/>
        <v>21.711070277546177</v>
      </c>
      <c r="BS58" s="78">
        <v>77.785674620132681</v>
      </c>
      <c r="BT58" s="79">
        <v>10.467175670209581</v>
      </c>
      <c r="BU58" s="79">
        <v>6.7428877000459337</v>
      </c>
      <c r="BV58" s="79">
        <v>3.5540361116760781</v>
      </c>
      <c r="BW58" s="79">
        <v>1.4502258979357248</v>
      </c>
      <c r="BX58" s="194">
        <f t="shared" si="279"/>
        <v>22.214325379867319</v>
      </c>
      <c r="BY58" s="73">
        <v>876700</v>
      </c>
      <c r="BZ58" s="12">
        <v>677327</v>
      </c>
      <c r="CA58" s="12">
        <v>92016</v>
      </c>
      <c r="CB58" s="12">
        <v>63130</v>
      </c>
      <c r="CC58" s="12">
        <v>31403</v>
      </c>
      <c r="CD58" s="12">
        <v>12824</v>
      </c>
      <c r="CE58" s="192">
        <f t="shared" si="280"/>
        <v>77.258697387932017</v>
      </c>
      <c r="CF58" s="193">
        <f t="shared" si="281"/>
        <v>10.495722596099007</v>
      </c>
      <c r="CG58" s="193">
        <f t="shared" si="282"/>
        <v>7.2008668871906014</v>
      </c>
      <c r="CH58" s="193">
        <f t="shared" si="283"/>
        <v>3.5819550587430138</v>
      </c>
      <c r="CI58" s="193">
        <f t="shared" si="284"/>
        <v>1.46275807003536</v>
      </c>
      <c r="CJ58" s="194">
        <f t="shared" si="285"/>
        <v>22.74130261206798</v>
      </c>
      <c r="CK58" s="73">
        <v>874633</v>
      </c>
      <c r="CL58" s="12">
        <v>672138</v>
      </c>
      <c r="CM58" s="12">
        <v>91467</v>
      </c>
      <c r="CN58" s="12">
        <v>66642</v>
      </c>
      <c r="CO58" s="12">
        <v>31631</v>
      </c>
      <c r="CP58" s="12">
        <v>12755</v>
      </c>
      <c r="CQ58" s="192">
        <f t="shared" si="286"/>
        <v>76.848003676970805</v>
      </c>
      <c r="CR58" s="193">
        <f t="shared" si="287"/>
        <v>10.457757710948478</v>
      </c>
      <c r="CS58" s="193">
        <f t="shared" si="288"/>
        <v>7.6194243757095839</v>
      </c>
      <c r="CT58" s="193">
        <f t="shared" si="289"/>
        <v>3.6164882870872694</v>
      </c>
      <c r="CU58" s="193">
        <f t="shared" si="290"/>
        <v>1.4583259492838709</v>
      </c>
      <c r="CV58" s="194">
        <f t="shared" si="291"/>
        <v>23.151996323029202</v>
      </c>
      <c r="CW58" s="73">
        <f t="shared" si="292"/>
        <v>873586</v>
      </c>
      <c r="CX58" s="12">
        <v>666959</v>
      </c>
      <c r="CY58" s="12">
        <v>91647</v>
      </c>
      <c r="CZ58" s="12">
        <v>69972</v>
      </c>
      <c r="DA58" s="12">
        <v>12947</v>
      </c>
      <c r="DB58" s="12">
        <v>32061</v>
      </c>
      <c r="DC58" s="12"/>
      <c r="DD58" s="192">
        <f t="shared" si="293"/>
        <v>76.347262891117765</v>
      </c>
      <c r="DE58" s="193">
        <f t="shared" si="294"/>
        <v>10.490896145313684</v>
      </c>
      <c r="DF58" s="193">
        <f t="shared" si="295"/>
        <v>8.0097437458933634</v>
      </c>
      <c r="DG58" s="193">
        <f t="shared" si="296"/>
        <v>3.6700450785612402</v>
      </c>
      <c r="DH58" s="193">
        <f t="shared" si="297"/>
        <v>1.482052139113951</v>
      </c>
      <c r="DI58" s="193"/>
      <c r="DJ58" s="194">
        <f t="shared" si="20"/>
        <v>23.652737108882238</v>
      </c>
      <c r="DK58" s="383">
        <v>872436</v>
      </c>
      <c r="DL58" s="12">
        <v>662699</v>
      </c>
      <c r="DM58" s="12">
        <v>91069</v>
      </c>
      <c r="DN58" s="12">
        <v>73472</v>
      </c>
      <c r="DO58" s="12">
        <v>13045</v>
      </c>
      <c r="DP58" s="12">
        <v>32151</v>
      </c>
      <c r="DQ58" s="12"/>
      <c r="DR58" s="192">
        <f t="shared" si="298"/>
        <v>75.959611937150697</v>
      </c>
      <c r="DS58" s="193">
        <f t="shared" si="299"/>
        <v>10.438473423838539</v>
      </c>
      <c r="DT58" s="193">
        <f t="shared" si="300"/>
        <v>8.4214773347271308</v>
      </c>
      <c r="DU58" s="193">
        <f t="shared" si="301"/>
        <v>3.6851986850611391</v>
      </c>
      <c r="DV58" s="193">
        <f t="shared" si="302"/>
        <v>1.4952386192224989</v>
      </c>
      <c r="DW58" s="193"/>
      <c r="DX58" s="194">
        <f t="shared" si="303"/>
        <v>24.040388062849306</v>
      </c>
      <c r="DY58" s="383">
        <v>872286</v>
      </c>
      <c r="DZ58" s="12">
        <v>648801</v>
      </c>
      <c r="EA58" s="12">
        <v>86665</v>
      </c>
      <c r="EB58" s="12">
        <v>80826</v>
      </c>
      <c r="EC58" s="12">
        <v>11625</v>
      </c>
      <c r="ED58" s="12">
        <v>31165</v>
      </c>
      <c r="EE58" s="12">
        <v>13204</v>
      </c>
      <c r="EF58" s="192">
        <f t="shared" si="304"/>
        <v>74.379389328729346</v>
      </c>
      <c r="EG58" s="193">
        <f t="shared" si="305"/>
        <v>9.9353881639737427</v>
      </c>
      <c r="EH58" s="193">
        <f t="shared" si="306"/>
        <v>9.265997620046635</v>
      </c>
      <c r="EI58" s="193">
        <f t="shared" si="307"/>
        <v>3.5727960783504495</v>
      </c>
      <c r="EJ58" s="193">
        <f t="shared" si="308"/>
        <v>1.3327050990156897</v>
      </c>
      <c r="EK58" s="193"/>
      <c r="EL58" s="194">
        <f t="shared" si="309"/>
        <v>24.106886961386518</v>
      </c>
      <c r="EM58" s="14">
        <v>871105</v>
      </c>
      <c r="EN58" s="445">
        <f t="shared" si="200"/>
        <v>642176.00000000012</v>
      </c>
      <c r="EO58" s="445">
        <f t="shared" si="201"/>
        <v>85495</v>
      </c>
      <c r="EP58" s="445">
        <f t="shared" si="202"/>
        <v>84561</v>
      </c>
      <c r="EQ58" s="445">
        <f t="shared" si="203"/>
        <v>30742</v>
      </c>
      <c r="ER58" s="445">
        <f t="shared" si="204"/>
        <v>665</v>
      </c>
      <c r="ES58" s="445">
        <f t="shared" si="205"/>
        <v>11277</v>
      </c>
      <c r="ET58" s="445">
        <f t="shared" si="206"/>
        <v>16189</v>
      </c>
      <c r="EU58" s="79">
        <v>73.719700839738039</v>
      </c>
      <c r="EV58" s="79">
        <v>9.8145458928602167</v>
      </c>
      <c r="EW58" s="79">
        <v>9.7073257529230119</v>
      </c>
      <c r="EX58" s="79">
        <v>3.529080880031684</v>
      </c>
      <c r="EY58" s="79">
        <v>7.6339821261501198E-2</v>
      </c>
      <c r="EZ58" s="79">
        <v>1.2945626531818781</v>
      </c>
      <c r="FA58" s="79">
        <v>1.8584441600036736</v>
      </c>
      <c r="FB58" s="191">
        <f t="shared" si="255"/>
        <v>26.280299160261968</v>
      </c>
      <c r="FC58">
        <v>872436</v>
      </c>
      <c r="FD58">
        <v>637518</v>
      </c>
      <c r="FE58" s="11">
        <v>85158</v>
      </c>
      <c r="FF58">
        <v>88132</v>
      </c>
      <c r="FG58">
        <v>31034</v>
      </c>
      <c r="FH58">
        <v>683</v>
      </c>
      <c r="FI58" s="11">
        <v>11040</v>
      </c>
      <c r="FJ58">
        <v>18871</v>
      </c>
      <c r="FK58" s="189">
        <f t="shared" si="256"/>
        <v>73.07332572245987</v>
      </c>
      <c r="FL58" s="190">
        <f t="shared" si="257"/>
        <v>9.7609452154656626</v>
      </c>
      <c r="FM58" s="190">
        <f t="shared" si="258"/>
        <v>10.101829819035437</v>
      </c>
      <c r="FN58" s="190">
        <f t="shared" si="259"/>
        <v>3.5571663709429693</v>
      </c>
      <c r="FO58" s="190">
        <f t="shared" si="260"/>
        <v>7.8286544800994007E-2</v>
      </c>
      <c r="FP58" s="190">
        <f t="shared" si="261"/>
        <v>1.2654223347042075</v>
      </c>
      <c r="FQ58" s="190">
        <f t="shared" si="262"/>
        <v>2.1630239925908605</v>
      </c>
      <c r="FR58" s="199">
        <f t="shared" si="37"/>
        <v>26.926674277540133</v>
      </c>
      <c r="FS58" s="474">
        <v>874414</v>
      </c>
      <c r="FT58" s="474">
        <v>632868</v>
      </c>
      <c r="FU58" s="474">
        <v>85220</v>
      </c>
      <c r="FV58" s="474">
        <v>91832</v>
      </c>
      <c r="FW58" s="474">
        <v>31659</v>
      </c>
      <c r="FX58" s="474">
        <v>722</v>
      </c>
      <c r="FY58" s="474">
        <v>10912</v>
      </c>
      <c r="FZ58" s="480">
        <v>21201</v>
      </c>
      <c r="GA58" s="189">
        <f t="shared" si="39"/>
        <v>72.376242832342569</v>
      </c>
      <c r="GB58" s="190">
        <f t="shared" si="40"/>
        <v>9.7459555771064963</v>
      </c>
      <c r="GC58" s="190">
        <f t="shared" si="41"/>
        <v>10.502119133499692</v>
      </c>
      <c r="GD58" s="190">
        <f t="shared" si="42"/>
        <v>3.6205961935650621</v>
      </c>
      <c r="GE58" s="190">
        <f t="shared" si="43"/>
        <v>8.2569583744084615E-2</v>
      </c>
      <c r="GF58" s="190">
        <f t="shared" si="44"/>
        <v>1.2479214651183534</v>
      </c>
      <c r="GG58" s="190">
        <f t="shared" si="45"/>
        <v>2.4245952146237366</v>
      </c>
      <c r="GH58" s="199">
        <f t="shared" si="46"/>
        <v>27.623757167657427</v>
      </c>
      <c r="GI58" s="474">
        <v>871432</v>
      </c>
      <c r="GJ58" s="474">
        <v>625799</v>
      </c>
      <c r="GK58" s="474">
        <v>83935</v>
      </c>
      <c r="GL58" s="474">
        <v>94886</v>
      </c>
      <c r="GM58" s="474">
        <v>32032</v>
      </c>
      <c r="GN58" s="474">
        <v>722</v>
      </c>
      <c r="GO58" s="474">
        <v>10734</v>
      </c>
      <c r="GP58" s="480">
        <v>23324</v>
      </c>
      <c r="GQ58" s="189">
        <f t="shared" si="310"/>
        <v>71.812717458160819</v>
      </c>
      <c r="GR58" s="190">
        <f t="shared" si="311"/>
        <v>9.6318473501087869</v>
      </c>
      <c r="GS58" s="190">
        <f t="shared" si="312"/>
        <v>10.888514536991986</v>
      </c>
      <c r="GT58" s="190">
        <f t="shared" si="313"/>
        <v>3.6757888165685904</v>
      </c>
      <c r="GU58" s="190">
        <f t="shared" si="314"/>
        <v>8.2852133040788034E-2</v>
      </c>
      <c r="GV58" s="190">
        <f t="shared" si="315"/>
        <v>1.2317656455122146</v>
      </c>
      <c r="GW58" s="190">
        <f t="shared" si="316"/>
        <v>2.6765140596168147</v>
      </c>
      <c r="GX58" s="199">
        <f t="shared" si="55"/>
        <v>28.187282541839181</v>
      </c>
    </row>
    <row r="59" spans="1:206" s="11" customFormat="1">
      <c r="A59" s="113"/>
      <c r="H59" s="52"/>
      <c r="I59" s="146"/>
      <c r="J59" s="146"/>
      <c r="K59" s="146"/>
      <c r="L59" s="147"/>
      <c r="M59" s="265"/>
      <c r="N59" s="66"/>
      <c r="R59" s="134"/>
      <c r="S59" s="52"/>
      <c r="T59" s="146"/>
      <c r="U59" s="146"/>
      <c r="V59" s="146"/>
      <c r="W59" s="146"/>
      <c r="X59" s="261"/>
      <c r="Y59" s="52"/>
      <c r="Z59" s="146"/>
      <c r="AA59" s="146"/>
      <c r="AB59" s="146"/>
      <c r="AC59" s="146"/>
      <c r="AD59" s="261"/>
      <c r="AE59" s="52"/>
      <c r="AF59" s="146"/>
      <c r="AG59" s="146"/>
      <c r="AH59" s="146"/>
      <c r="AI59" s="146"/>
      <c r="AJ59" s="261"/>
      <c r="AK59" s="259"/>
      <c r="AL59" s="259"/>
      <c r="AM59" s="259"/>
      <c r="AN59" s="259"/>
      <c r="AO59" s="77"/>
      <c r="AP59" s="148"/>
      <c r="AQ59" s="148"/>
      <c r="AR59" s="148"/>
      <c r="AS59" s="148"/>
      <c r="AT59" s="261"/>
      <c r="AU59" s="148"/>
      <c r="AV59" s="148"/>
      <c r="AW59" s="148"/>
      <c r="AX59" s="148"/>
      <c r="AY59" s="148"/>
      <c r="AZ59" s="261"/>
      <c r="BA59" s="148"/>
      <c r="BB59" s="148"/>
      <c r="BC59" s="148"/>
      <c r="BD59" s="148"/>
      <c r="BE59" s="148"/>
      <c r="BF59" s="261"/>
      <c r="BG59" s="148"/>
      <c r="BH59" s="148"/>
      <c r="BI59" s="148"/>
      <c r="BJ59" s="148"/>
      <c r="BK59" s="148"/>
      <c r="BL59" s="199"/>
      <c r="BM59" s="148"/>
      <c r="BN59" s="148"/>
      <c r="BO59" s="148"/>
      <c r="BP59" s="148"/>
      <c r="BQ59" s="148"/>
      <c r="BR59" s="191"/>
      <c r="BS59" s="77"/>
      <c r="BT59" s="148"/>
      <c r="BU59" s="148"/>
      <c r="BV59" s="148"/>
      <c r="BW59" s="148"/>
      <c r="BX59" s="191"/>
      <c r="BY59" s="38"/>
      <c r="BZ59" s="13"/>
      <c r="CA59" s="13"/>
      <c r="CB59" s="13"/>
      <c r="CC59" s="13"/>
      <c r="CD59" s="13"/>
      <c r="CE59" s="189"/>
      <c r="CF59" s="195"/>
      <c r="CG59" s="195"/>
      <c r="CH59" s="195"/>
      <c r="CI59" s="195"/>
      <c r="CJ59" s="191"/>
      <c r="CK59" s="38"/>
      <c r="CL59" s="13"/>
      <c r="CM59" s="13"/>
      <c r="CN59" s="13"/>
      <c r="CO59" s="13"/>
      <c r="CP59" s="13"/>
      <c r="CQ59" s="189"/>
      <c r="CR59" s="195"/>
      <c r="CS59" s="195"/>
      <c r="CT59" s="195"/>
      <c r="CU59" s="195"/>
      <c r="CV59" s="191"/>
      <c r="CW59" s="38"/>
      <c r="CX59" s="13"/>
      <c r="CY59" s="13"/>
      <c r="CZ59" s="13"/>
      <c r="DA59" s="13"/>
      <c r="DB59" s="13"/>
      <c r="DC59" s="13"/>
      <c r="DD59" s="189"/>
      <c r="DE59" s="195"/>
      <c r="DF59" s="195"/>
      <c r="DG59" s="195"/>
      <c r="DH59" s="195"/>
      <c r="DI59" s="195"/>
      <c r="DJ59" s="191"/>
      <c r="DK59" s="382"/>
      <c r="DL59" s="13"/>
      <c r="DM59" s="13"/>
      <c r="DN59" s="13"/>
      <c r="DO59" s="13"/>
      <c r="DP59" s="13"/>
      <c r="DQ59" s="13"/>
      <c r="DR59" s="189"/>
      <c r="DS59" s="195"/>
      <c r="DT59" s="195"/>
      <c r="DU59" s="195"/>
      <c r="DV59" s="195"/>
      <c r="DW59" s="195"/>
      <c r="DX59" s="191"/>
      <c r="DY59" s="382"/>
      <c r="DZ59" s="13"/>
      <c r="EA59" s="13"/>
      <c r="EB59" s="13"/>
      <c r="EC59" s="13"/>
      <c r="ED59" s="13">
        <v>0</v>
      </c>
      <c r="EE59" s="13"/>
      <c r="EF59" s="189"/>
      <c r="EG59" s="195"/>
      <c r="EH59" s="195"/>
      <c r="EI59" s="195"/>
      <c r="EJ59" s="195"/>
      <c r="EK59" s="195"/>
      <c r="EL59" s="191"/>
      <c r="EN59" s="444"/>
      <c r="EO59" s="444"/>
      <c r="EP59" s="444"/>
      <c r="EQ59" s="444"/>
      <c r="ER59" s="444"/>
      <c r="ES59" s="444"/>
      <c r="ET59" s="444"/>
      <c r="EU59" s="148"/>
      <c r="EV59" s="148"/>
      <c r="EW59" s="148"/>
      <c r="EX59" s="148"/>
      <c r="EY59" s="148"/>
      <c r="EZ59" s="148"/>
      <c r="FA59" s="148"/>
      <c r="FB59" s="191"/>
      <c r="FC59"/>
      <c r="FD59"/>
      <c r="FF59"/>
      <c r="FG59"/>
      <c r="FH59"/>
      <c r="FJ59"/>
      <c r="FK59" s="189"/>
      <c r="FL59" s="190"/>
      <c r="FM59" s="190"/>
      <c r="FN59" s="190"/>
      <c r="FO59" s="190"/>
      <c r="FP59" s="190"/>
      <c r="FQ59" s="190"/>
      <c r="FR59" s="199"/>
      <c r="FS59" s="474"/>
      <c r="FT59" s="474"/>
      <c r="FU59" s="474"/>
      <c r="FV59" s="474"/>
      <c r="FW59" s="474"/>
      <c r="FX59" s="474"/>
      <c r="FY59" s="474"/>
      <c r="FZ59" s="480"/>
      <c r="GA59" s="189"/>
      <c r="GB59" s="190"/>
      <c r="GC59" s="190"/>
      <c r="GD59" s="190"/>
      <c r="GE59" s="190"/>
      <c r="GF59" s="190"/>
      <c r="GG59" s="190"/>
      <c r="GH59" s="199"/>
      <c r="GI59" s="474"/>
      <c r="GJ59" s="474"/>
      <c r="GK59" s="474"/>
      <c r="GL59" s="474"/>
      <c r="GM59" s="474"/>
      <c r="GN59" s="474"/>
      <c r="GO59" s="474"/>
      <c r="GP59" s="480"/>
      <c r="GQ59" s="189"/>
      <c r="GR59" s="190"/>
      <c r="GS59" s="190"/>
      <c r="GT59" s="190"/>
      <c r="GU59" s="190"/>
      <c r="GV59" s="190"/>
      <c r="GW59" s="190"/>
      <c r="GX59" s="199"/>
    </row>
    <row r="60" spans="1:206" s="11" customFormat="1">
      <c r="A60" s="113" t="s">
        <v>133</v>
      </c>
      <c r="C60" s="1"/>
      <c r="D60" s="1"/>
      <c r="E60" s="1"/>
      <c r="F60" s="1"/>
      <c r="G60" s="1"/>
      <c r="H60" s="52">
        <v>77.239164676591642</v>
      </c>
      <c r="I60" s="45">
        <v>12.094710634622224</v>
      </c>
      <c r="J60" s="45">
        <v>8.9074742137086531</v>
      </c>
      <c r="K60" s="45">
        <v>1.5434175092729028</v>
      </c>
      <c r="L60" s="43">
        <v>0.21523296580458309</v>
      </c>
      <c r="M60" s="264">
        <f t="shared" ref="M60:M69" si="317">SUM(I60:L60)</f>
        <v>22.760835323408362</v>
      </c>
      <c r="N60" s="66"/>
      <c r="O60" s="1"/>
      <c r="P60" s="1"/>
      <c r="Q60" s="1"/>
      <c r="R60" s="134">
        <v>26.167140552073064</v>
      </c>
      <c r="S60" s="52">
        <v>73.275678179413575</v>
      </c>
      <c r="T60" s="45">
        <v>13.011415232906101</v>
      </c>
      <c r="U60" s="45">
        <v>11.079825368674033</v>
      </c>
      <c r="V60" s="45">
        <v>2.390515138033102</v>
      </c>
      <c r="W60" s="45">
        <v>0.24256608097318974</v>
      </c>
      <c r="X60" s="261">
        <f t="shared" ref="X60:X69" si="318">SUM(T60:W60)</f>
        <v>26.724321820586425</v>
      </c>
      <c r="Y60" s="52">
        <v>72.7</v>
      </c>
      <c r="Z60" s="45">
        <v>13.3</v>
      </c>
      <c r="AA60" s="45">
        <v>11.4</v>
      </c>
      <c r="AB60" s="45">
        <v>2.4</v>
      </c>
      <c r="AC60" s="45">
        <v>0.2</v>
      </c>
      <c r="AD60" s="261">
        <f t="shared" ref="AD60:AD69" si="319">SUM(Z60:AC60)</f>
        <v>27.3</v>
      </c>
      <c r="AE60" s="52">
        <v>72</v>
      </c>
      <c r="AF60" s="45">
        <v>13.5</v>
      </c>
      <c r="AG60" s="45">
        <v>11.8</v>
      </c>
      <c r="AH60" s="45">
        <v>2.4</v>
      </c>
      <c r="AI60" s="45">
        <v>0.3</v>
      </c>
      <c r="AJ60" s="261">
        <f t="shared" ref="AJ60:AJ69" si="320">SUM(AF60:AI60)</f>
        <v>28</v>
      </c>
      <c r="AK60" s="258">
        <f>100-71.7</f>
        <v>28.299999999999997</v>
      </c>
      <c r="AL60" s="258">
        <f>100-71.5</f>
        <v>28.5</v>
      </c>
      <c r="AM60" s="258">
        <f>100-71.2</f>
        <v>28.799999999999997</v>
      </c>
      <c r="AN60" s="258">
        <f>100-70.5</f>
        <v>29.5</v>
      </c>
      <c r="AO60" s="77">
        <v>70.0748338162756</v>
      </c>
      <c r="AP60" s="68">
        <v>13.724454310815595</v>
      </c>
      <c r="AQ60" s="68">
        <v>13.149192694853419</v>
      </c>
      <c r="AR60" s="68">
        <v>2.7742053687526571</v>
      </c>
      <c r="AS60" s="68">
        <v>0.27731380930273097</v>
      </c>
      <c r="AT60" s="261">
        <f t="shared" ref="AT60:AT69" si="321">SUM(AP60:AS60)</f>
        <v>29.9251661837244</v>
      </c>
      <c r="AU60" s="68">
        <v>69.249668553631182</v>
      </c>
      <c r="AV60" s="68">
        <v>13.823593369669677</v>
      </c>
      <c r="AW60" s="68">
        <v>13.672776503433715</v>
      </c>
      <c r="AX60" s="68">
        <v>2.9598686841053055</v>
      </c>
      <c r="AY60" s="68">
        <v>0.29409288916012544</v>
      </c>
      <c r="AZ60" s="261">
        <f t="shared" ref="AZ60:AZ69" si="322">SUM(AV60:AY60)</f>
        <v>30.750331446368822</v>
      </c>
      <c r="BA60" s="68">
        <v>69.004584025556852</v>
      </c>
      <c r="BB60" s="68">
        <v>13.553137329546352</v>
      </c>
      <c r="BC60" s="68">
        <v>14.111711281825471</v>
      </c>
      <c r="BD60" s="68">
        <v>3.0102294117956641</v>
      </c>
      <c r="BE60" s="68">
        <v>0.32033795127565029</v>
      </c>
      <c r="BF60" s="261">
        <f t="shared" ref="BF60:BF69" si="323">SUM(BB60:BE60)</f>
        <v>30.995415974443137</v>
      </c>
      <c r="BG60" s="68">
        <v>68.289615335035833</v>
      </c>
      <c r="BH60" s="68">
        <v>13.635555989116083</v>
      </c>
      <c r="BI60" s="68">
        <v>14.563511004114565</v>
      </c>
      <c r="BJ60" s="68">
        <v>3.1787728766082872</v>
      </c>
      <c r="BK60" s="68">
        <v>0.33254479512523127</v>
      </c>
      <c r="BL60" s="199">
        <f t="shared" ref="BL60:BL69" si="324">SUM(BH60:BK60)</f>
        <v>31.710384664964167</v>
      </c>
      <c r="BM60" s="68">
        <v>67.48281057863835</v>
      </c>
      <c r="BN60" s="68">
        <v>13.770761530334783</v>
      </c>
      <c r="BO60" s="68">
        <v>14.994890801711147</v>
      </c>
      <c r="BP60" s="68">
        <v>3.3970106860181164</v>
      </c>
      <c r="BQ60" s="68">
        <v>0.35452640329759783</v>
      </c>
      <c r="BR60" s="191">
        <f t="shared" ref="BR60:BR69" si="325">SUM(BN60:BQ60)</f>
        <v>32.517189421361643</v>
      </c>
      <c r="BS60" s="77">
        <v>66.959216358669281</v>
      </c>
      <c r="BT60" s="68">
        <v>13.713375497122904</v>
      </c>
      <c r="BU60" s="68">
        <v>15.416678984243356</v>
      </c>
      <c r="BV60" s="68">
        <v>3.5521572569075524</v>
      </c>
      <c r="BW60" s="68">
        <v>0.35857190305690373</v>
      </c>
      <c r="BX60" s="191">
        <f t="shared" ref="BX60:BX69" si="326">SUM(BT60:BW60)</f>
        <v>33.040783641330712</v>
      </c>
      <c r="BY60" s="38">
        <v>575100</v>
      </c>
      <c r="BZ60" s="6">
        <v>379730</v>
      </c>
      <c r="CA60" s="6">
        <v>79694</v>
      </c>
      <c r="CB60" s="6">
        <v>92252</v>
      </c>
      <c r="CC60" s="6">
        <v>21297</v>
      </c>
      <c r="CD60" s="6">
        <v>2127</v>
      </c>
      <c r="CE60" s="189">
        <f t="shared" ref="CE60:CE69" si="327">(BZ60/$BY60)*100</f>
        <v>66.028516779690491</v>
      </c>
      <c r="CF60" s="190">
        <f t="shared" ref="CF60:CF69" si="328">(CA60/$BY60)*100</f>
        <v>13.857416101547557</v>
      </c>
      <c r="CG60" s="190">
        <f t="shared" ref="CG60:CG69" si="329">(CB60/$BY60)*100</f>
        <v>16.041036341505823</v>
      </c>
      <c r="CH60" s="190">
        <f t="shared" ref="CH60:CH69" si="330">(CC60/$BY60)*100</f>
        <v>3.7031820552947314</v>
      </c>
      <c r="CI60" s="190">
        <f t="shared" ref="CI60:CI69" si="331">(CD60/$BY60)*100</f>
        <v>0.36984872196139801</v>
      </c>
      <c r="CJ60" s="191">
        <f t="shared" ref="CJ60:CJ69" si="332">SUM(CF60:CI60)</f>
        <v>33.971483220309509</v>
      </c>
      <c r="CK60" s="38">
        <v>570626</v>
      </c>
      <c r="CL60" s="6">
        <v>371894</v>
      </c>
      <c r="CM60" s="6">
        <v>79324</v>
      </c>
      <c r="CN60" s="6">
        <v>94943</v>
      </c>
      <c r="CO60" s="6">
        <v>22352</v>
      </c>
      <c r="CP60" s="6">
        <v>2113</v>
      </c>
      <c r="CQ60" s="189">
        <f t="shared" ref="CQ60:CQ69" si="333">(CL60/CK60)*100</f>
        <v>65.172985458075871</v>
      </c>
      <c r="CR60" s="190">
        <f t="shared" ref="CR60:CR69" si="334">(CM60/CK60)*100</f>
        <v>13.901224269486494</v>
      </c>
      <c r="CS60" s="190">
        <f t="shared" ref="CS60:CS69" si="335">(CN60/CK60)*100</f>
        <v>16.638393623844692</v>
      </c>
      <c r="CT60" s="190">
        <f t="shared" ref="CT60:CT69" si="336">(CO60/CK60)*100</f>
        <v>3.9171015691538766</v>
      </c>
      <c r="CU60" s="190">
        <f t="shared" ref="CU60:CU69" si="337">(CP60/CK60)*100</f>
        <v>0.37029507943907214</v>
      </c>
      <c r="CV60" s="191">
        <f t="shared" ref="CV60:CV69" si="338">SUM(CR60:CU60)</f>
        <v>34.827014541924136</v>
      </c>
      <c r="CW60" s="38">
        <f t="shared" ref="CW60:CW69" si="339">SUM(CX60:DC60)</f>
        <v>567198</v>
      </c>
      <c r="CX60" s="6">
        <v>365574</v>
      </c>
      <c r="CY60" s="6">
        <v>78756</v>
      </c>
      <c r="CZ60" s="6">
        <v>97162</v>
      </c>
      <c r="DA60" s="6">
        <v>2155</v>
      </c>
      <c r="DB60" s="6">
        <v>23551</v>
      </c>
      <c r="DC60" s="6"/>
      <c r="DD60" s="189">
        <f t="shared" ref="DD60:DD69" si="340">(CX60/CW60)*100</f>
        <v>64.452625009256025</v>
      </c>
      <c r="DE60" s="190">
        <f t="shared" ref="DE60:DE69" si="341">(CY60/CW60)*100</f>
        <v>13.885098325452489</v>
      </c>
      <c r="DF60" s="190">
        <f t="shared" ref="DF60:DF69" si="342">(CZ60/CW60)*100</f>
        <v>17.130173237564307</v>
      </c>
      <c r="DG60" s="190">
        <f t="shared" ref="DG60:DG69" si="343">(DB60/CW60)*100</f>
        <v>4.1521655577064793</v>
      </c>
      <c r="DH60" s="190">
        <f t="shared" ref="DH60:DH69" si="344">(DA60/CW60)*100</f>
        <v>0.37993787002069823</v>
      </c>
      <c r="DI60" s="190"/>
      <c r="DJ60" s="191">
        <f t="shared" si="20"/>
        <v>35.547374990743975</v>
      </c>
      <c r="DK60" s="382">
        <v>563985</v>
      </c>
      <c r="DL60" s="6">
        <v>359483</v>
      </c>
      <c r="DM60" s="6">
        <v>78442</v>
      </c>
      <c r="DN60" s="6">
        <v>99334</v>
      </c>
      <c r="DO60" s="6">
        <v>2171</v>
      </c>
      <c r="DP60" s="6">
        <v>24555</v>
      </c>
      <c r="DQ60" s="6"/>
      <c r="DR60" s="189">
        <f t="shared" ref="DR60:DR69" si="345">(DL60/DK60)*100</f>
        <v>63.739815775242249</v>
      </c>
      <c r="DS60" s="190">
        <f t="shared" ref="DS60:DS69" si="346">(DM60/DK60)*100</f>
        <v>13.908525935973474</v>
      </c>
      <c r="DT60" s="190">
        <f t="shared" ref="DT60:DT69" si="347">(DN60/DK60)*100</f>
        <v>17.612879775171326</v>
      </c>
      <c r="DU60" s="190">
        <f t="shared" ref="DU60:DU69" si="348">(DP60/DK60)*100</f>
        <v>4.3538391978510065</v>
      </c>
      <c r="DV60" s="190">
        <f t="shared" ref="DV60:DV69" si="349">(DO60/DK60)*100</f>
        <v>0.38493931576194401</v>
      </c>
      <c r="DW60" s="190"/>
      <c r="DX60" s="191">
        <f t="shared" ref="DX60:DX69" si="350">SUM(DS60:DW60)</f>
        <v>36.260184224757758</v>
      </c>
      <c r="DY60" s="382">
        <v>560546</v>
      </c>
      <c r="DZ60" s="6">
        <v>347739</v>
      </c>
      <c r="EA60" s="6">
        <v>74130</v>
      </c>
      <c r="EB60" s="6">
        <v>104312</v>
      </c>
      <c r="EC60" s="6">
        <v>2100</v>
      </c>
      <c r="ED60" s="6">
        <v>24366</v>
      </c>
      <c r="EE60" s="6">
        <v>7899</v>
      </c>
      <c r="EF60" s="189">
        <f t="shared" ref="EF60:EF69" si="351">(DZ60/DY60)*100</f>
        <v>62.035765128999223</v>
      </c>
      <c r="EG60" s="190">
        <f t="shared" ref="EG60:EG69" si="352">(EA60/DY60)*100</f>
        <v>13.224606009141088</v>
      </c>
      <c r="EH60" s="190">
        <f t="shared" ref="EH60:EH69" si="353">(EB60/DY60)*100</f>
        <v>18.608999083036895</v>
      </c>
      <c r="EI60" s="190">
        <f t="shared" ref="EI60:EI69" si="354">(ED60/DY60)*100</f>
        <v>4.3468332661369447</v>
      </c>
      <c r="EJ60" s="190">
        <f t="shared" ref="EJ60:EJ69" si="355">(EC60/DY60)*100</f>
        <v>0.3746347311371413</v>
      </c>
      <c r="EK60" s="190"/>
      <c r="EL60" s="191">
        <f t="shared" ref="EL60:EL69" si="356">SUM(EG60:EK60)</f>
        <v>36.555073089452073</v>
      </c>
      <c r="EM60" s="11">
        <v>554437</v>
      </c>
      <c r="EN60" s="444">
        <f t="shared" si="200"/>
        <v>337489</v>
      </c>
      <c r="EO60" s="444">
        <f t="shared" si="201"/>
        <v>72122.000000000015</v>
      </c>
      <c r="EP60" s="444">
        <f t="shared" si="202"/>
        <v>108165</v>
      </c>
      <c r="EQ60" s="444">
        <f t="shared" si="203"/>
        <v>24546.000000000004</v>
      </c>
      <c r="ER60" s="444">
        <f t="shared" si="204"/>
        <v>373</v>
      </c>
      <c r="ES60" s="444">
        <f t="shared" si="205"/>
        <v>1923</v>
      </c>
      <c r="ET60" s="444">
        <f t="shared" si="206"/>
        <v>9818.9999999999982</v>
      </c>
      <c r="EU60" s="148">
        <v>60.870576819368118</v>
      </c>
      <c r="EV60" s="148">
        <v>13.00815061043906</v>
      </c>
      <c r="EW60" s="148">
        <v>19.508979379081843</v>
      </c>
      <c r="EX60" s="148">
        <v>4.4271937118193776</v>
      </c>
      <c r="EY60" s="148">
        <v>6.7275452395853808E-2</v>
      </c>
      <c r="EZ60" s="148">
        <v>0.34683832428210959</v>
      </c>
      <c r="FA60" s="148">
        <v>1.7709857026136422</v>
      </c>
      <c r="FB60" s="191">
        <f t="shared" si="255"/>
        <v>39.129423180631889</v>
      </c>
      <c r="FC60">
        <v>550954</v>
      </c>
      <c r="FD60">
        <v>328144</v>
      </c>
      <c r="FE60" s="11">
        <v>71386</v>
      </c>
      <c r="FF60">
        <v>112461</v>
      </c>
      <c r="FG60">
        <v>25199</v>
      </c>
      <c r="FH60">
        <v>465</v>
      </c>
      <c r="FI60" s="11">
        <v>1694</v>
      </c>
      <c r="FJ60">
        <v>11605</v>
      </c>
      <c r="FK60" s="189">
        <f t="shared" si="256"/>
        <v>59.559237250296761</v>
      </c>
      <c r="FL60" s="190">
        <f t="shared" si="257"/>
        <v>12.956798571205583</v>
      </c>
      <c r="FM60" s="190">
        <f t="shared" si="258"/>
        <v>20.41204891878451</v>
      </c>
      <c r="FN60" s="190">
        <f t="shared" si="259"/>
        <v>4.5737030677697232</v>
      </c>
      <c r="FO60" s="190">
        <f t="shared" si="260"/>
        <v>8.4399060538629361E-2</v>
      </c>
      <c r="FP60" s="190">
        <f t="shared" si="261"/>
        <v>0.30746668505900676</v>
      </c>
      <c r="FQ60" s="190">
        <f t="shared" si="262"/>
        <v>2.106346446345793</v>
      </c>
      <c r="FR60" s="199">
        <f t="shared" si="37"/>
        <v>40.440762749703246</v>
      </c>
      <c r="FS60" s="474">
        <v>546200</v>
      </c>
      <c r="FT60" s="474">
        <v>319427</v>
      </c>
      <c r="FU60" s="474">
        <v>70655</v>
      </c>
      <c r="FV60" s="474">
        <v>115724</v>
      </c>
      <c r="FW60" s="474">
        <v>25459</v>
      </c>
      <c r="FX60" s="474">
        <v>511</v>
      </c>
      <c r="FY60" s="474">
        <v>1551</v>
      </c>
      <c r="FZ60" s="480">
        <v>12873</v>
      </c>
      <c r="GA60" s="189">
        <f t="shared" si="39"/>
        <v>58.481691688026359</v>
      </c>
      <c r="GB60" s="190">
        <f t="shared" si="40"/>
        <v>12.935737824972538</v>
      </c>
      <c r="GC60" s="190">
        <f t="shared" si="41"/>
        <v>21.18711094837056</v>
      </c>
      <c r="GD60" s="190">
        <f t="shared" si="42"/>
        <v>4.661113145367997</v>
      </c>
      <c r="GE60" s="190">
        <f t="shared" si="43"/>
        <v>9.3555474185280124E-2</v>
      </c>
      <c r="GF60" s="190">
        <f t="shared" si="44"/>
        <v>0.28396191871109483</v>
      </c>
      <c r="GG60" s="190">
        <f t="shared" si="45"/>
        <v>2.3568290003661665</v>
      </c>
      <c r="GH60" s="199">
        <f t="shared" si="46"/>
        <v>41.518308311973634</v>
      </c>
      <c r="GI60" s="474">
        <v>542678</v>
      </c>
      <c r="GJ60" s="474">
        <v>310852</v>
      </c>
      <c r="GK60" s="474">
        <v>70097</v>
      </c>
      <c r="GL60" s="474">
        <v>119964</v>
      </c>
      <c r="GM60" s="474">
        <v>26099</v>
      </c>
      <c r="GN60" s="474">
        <v>508</v>
      </c>
      <c r="GO60" s="474">
        <v>1501</v>
      </c>
      <c r="GP60" s="480">
        <v>13657</v>
      </c>
      <c r="GQ60" s="189">
        <f t="shared" ref="GQ60:GQ69" si="357">(GJ60/GI60)*100</f>
        <v>57.28111329370271</v>
      </c>
      <c r="GR60" s="190">
        <f t="shared" ref="GR60:GR69" si="358">(GK60/GI60)*100</f>
        <v>12.916867829541642</v>
      </c>
      <c r="GS60" s="190">
        <f t="shared" ref="GS60:GS69" si="359">(GL60/GI60)*100</f>
        <v>22.105926534703819</v>
      </c>
      <c r="GT60" s="190">
        <f t="shared" ref="GT60:GT69" si="360">(GM60/GI60)*100</f>
        <v>4.8092975945219818</v>
      </c>
      <c r="GU60" s="190">
        <f t="shared" ref="GU60:GU69" si="361">(GN60/GI60)*100</f>
        <v>9.3609838615164059E-2</v>
      </c>
      <c r="GV60" s="190">
        <f t="shared" ref="GV60:GV69" si="362">(GO60/GI60)*100</f>
        <v>0.27659127512078985</v>
      </c>
      <c r="GW60" s="190">
        <f t="shared" ref="GW60:GW69" si="363">(GP60/GI60)*100</f>
        <v>2.5165936337938888</v>
      </c>
      <c r="GX60" s="199">
        <f t="shared" si="55"/>
        <v>42.718886706297283</v>
      </c>
    </row>
    <row r="61" spans="1:206" s="11" customFormat="1">
      <c r="A61" s="113" t="s">
        <v>140</v>
      </c>
      <c r="C61" s="1"/>
      <c r="D61" s="1"/>
      <c r="E61" s="1"/>
      <c r="F61" s="1"/>
      <c r="G61" s="1"/>
      <c r="H61" s="52">
        <v>98.307654462300007</v>
      </c>
      <c r="I61" s="45">
        <v>0.50504289852453177</v>
      </c>
      <c r="J61" s="45">
        <v>0.24147677354900574</v>
      </c>
      <c r="K61" s="45">
        <v>0.75806637850103664</v>
      </c>
      <c r="L61" s="43">
        <v>0.18775948712542234</v>
      </c>
      <c r="M61" s="264">
        <f t="shared" si="317"/>
        <v>1.6923455376999965</v>
      </c>
      <c r="N61" s="66"/>
      <c r="O61" s="1"/>
      <c r="P61" s="1"/>
      <c r="Q61" s="1"/>
      <c r="R61" s="134">
        <v>2.3816771015279983</v>
      </c>
      <c r="S61" s="52">
        <v>97.617128772133228</v>
      </c>
      <c r="T61" s="45">
        <v>0.68856306643855958</v>
      </c>
      <c r="U61" s="45">
        <v>0.38551990988825574</v>
      </c>
      <c r="V61" s="45">
        <v>0.77905184724362686</v>
      </c>
      <c r="W61" s="45">
        <v>0.52973640429633195</v>
      </c>
      <c r="X61" s="261">
        <f t="shared" si="318"/>
        <v>2.3828712278667741</v>
      </c>
      <c r="Y61" s="52">
        <v>97.5</v>
      </c>
      <c r="Z61" s="45">
        <v>0.7</v>
      </c>
      <c r="AA61" s="45">
        <v>0.4</v>
      </c>
      <c r="AB61" s="45">
        <v>0.8</v>
      </c>
      <c r="AC61" s="45">
        <v>0.5</v>
      </c>
      <c r="AD61" s="261">
        <f t="shared" si="319"/>
        <v>2.4000000000000004</v>
      </c>
      <c r="AE61" s="52">
        <v>97.3</v>
      </c>
      <c r="AF61" s="45">
        <v>0.8</v>
      </c>
      <c r="AG61" s="45">
        <v>0.4</v>
      </c>
      <c r="AH61" s="45">
        <v>0.9</v>
      </c>
      <c r="AI61" s="45">
        <v>0.6</v>
      </c>
      <c r="AJ61" s="261">
        <f t="shared" si="320"/>
        <v>2.7</v>
      </c>
      <c r="AK61" s="258">
        <f>100-97.2</f>
        <v>2.7999999999999972</v>
      </c>
      <c r="AL61" s="258">
        <f>100-97.1</f>
        <v>2.9000000000000057</v>
      </c>
      <c r="AM61" s="258">
        <f>100-97</f>
        <v>3</v>
      </c>
      <c r="AN61" s="258">
        <f>100-96.8</f>
        <v>3.2000000000000028</v>
      </c>
      <c r="AO61" s="77">
        <v>96.489033361186642</v>
      </c>
      <c r="AP61" s="68">
        <v>1.195921501953757</v>
      </c>
      <c r="AQ61" s="68">
        <v>0.61100189821143081</v>
      </c>
      <c r="AR61" s="68">
        <v>1.0389447296859982</v>
      </c>
      <c r="AS61" s="68">
        <v>0.66509850896216616</v>
      </c>
      <c r="AT61" s="261">
        <f t="shared" si="321"/>
        <v>3.5109666388133522</v>
      </c>
      <c r="AU61" s="68">
        <v>96.204994503516772</v>
      </c>
      <c r="AV61" s="68">
        <v>1.3746072203360151</v>
      </c>
      <c r="AW61" s="68">
        <v>0.64401272460186976</v>
      </c>
      <c r="AX61" s="68">
        <v>1.1085385191598649</v>
      </c>
      <c r="AY61" s="68">
        <v>0.66784703238547372</v>
      </c>
      <c r="AZ61" s="261">
        <f t="shared" si="322"/>
        <v>3.7950054964832241</v>
      </c>
      <c r="BA61" s="68">
        <v>95.918017784346446</v>
      </c>
      <c r="BB61" s="68">
        <v>1.5626147002256077</v>
      </c>
      <c r="BC61" s="68">
        <v>0.70178186035813384</v>
      </c>
      <c r="BD61" s="68">
        <v>1.1422307266916907</v>
      </c>
      <c r="BE61" s="68">
        <v>0.67535492837812039</v>
      </c>
      <c r="BF61" s="261">
        <f t="shared" si="323"/>
        <v>4.0819822156535528</v>
      </c>
      <c r="BG61" s="68">
        <v>95.800327169979667</v>
      </c>
      <c r="BH61" s="68">
        <v>1.7052495910375256</v>
      </c>
      <c r="BI61" s="68">
        <v>0.75149952907351403</v>
      </c>
      <c r="BJ61" s="68">
        <v>1.2214345907896693</v>
      </c>
      <c r="BK61" s="68">
        <v>0.52148911911961537</v>
      </c>
      <c r="BL61" s="199">
        <f t="shared" si="324"/>
        <v>4.1996728300203241</v>
      </c>
      <c r="BM61" s="68">
        <v>95.476310230359118</v>
      </c>
      <c r="BN61" s="68">
        <v>1.8514233980484862</v>
      </c>
      <c r="BO61" s="68">
        <v>0.83190825872648622</v>
      </c>
      <c r="BP61" s="68">
        <v>1.3062066190524091</v>
      </c>
      <c r="BQ61" s="68">
        <v>0.53415149381349958</v>
      </c>
      <c r="BR61" s="191">
        <f t="shared" si="325"/>
        <v>4.5236897696408818</v>
      </c>
      <c r="BS61" s="77">
        <v>95.113504997493578</v>
      </c>
      <c r="BT61" s="68">
        <v>2.0276422265189415</v>
      </c>
      <c r="BU61" s="68">
        <v>0.94425518419625787</v>
      </c>
      <c r="BV61" s="68">
        <v>1.3739270989984553</v>
      </c>
      <c r="BW61" s="68">
        <v>0.54067049279276513</v>
      </c>
      <c r="BX61" s="191">
        <f t="shared" si="326"/>
        <v>4.88649500250642</v>
      </c>
      <c r="BY61" s="38">
        <v>193986</v>
      </c>
      <c r="BZ61" s="6">
        <v>183419</v>
      </c>
      <c r="CA61" s="6">
        <v>4467</v>
      </c>
      <c r="CB61" s="6">
        <v>1964</v>
      </c>
      <c r="CC61" s="6">
        <v>2742</v>
      </c>
      <c r="CD61" s="6">
        <v>1394</v>
      </c>
      <c r="CE61" s="189">
        <f t="shared" si="327"/>
        <v>94.552699679358312</v>
      </c>
      <c r="CF61" s="190">
        <f t="shared" si="328"/>
        <v>2.3027434969533882</v>
      </c>
      <c r="CG61" s="190">
        <f t="shared" si="329"/>
        <v>1.0124441970039075</v>
      </c>
      <c r="CH61" s="190">
        <f t="shared" si="330"/>
        <v>1.4135040673038259</v>
      </c>
      <c r="CI61" s="190">
        <f t="shared" si="331"/>
        <v>0.71860855938057377</v>
      </c>
      <c r="CJ61" s="191">
        <f t="shared" si="332"/>
        <v>5.4473003206416957</v>
      </c>
      <c r="CK61" s="38">
        <v>196245</v>
      </c>
      <c r="CL61" s="6">
        <v>184736</v>
      </c>
      <c r="CM61" s="6">
        <v>4967</v>
      </c>
      <c r="CN61" s="6">
        <v>2126</v>
      </c>
      <c r="CO61" s="6">
        <v>2929</v>
      </c>
      <c r="CP61" s="6">
        <v>1487</v>
      </c>
      <c r="CQ61" s="189">
        <f t="shared" si="333"/>
        <v>94.13539198450917</v>
      </c>
      <c r="CR61" s="190">
        <f t="shared" si="334"/>
        <v>2.5310198985961425</v>
      </c>
      <c r="CS61" s="190">
        <f t="shared" si="335"/>
        <v>1.0833397029223675</v>
      </c>
      <c r="CT61" s="190">
        <f t="shared" si="336"/>
        <v>1.4925221024739483</v>
      </c>
      <c r="CU61" s="190">
        <f t="shared" si="337"/>
        <v>0.7577263114983821</v>
      </c>
      <c r="CV61" s="191">
        <f t="shared" si="338"/>
        <v>5.8646080154908411</v>
      </c>
      <c r="CW61" s="38">
        <f t="shared" si="339"/>
        <v>192935</v>
      </c>
      <c r="CX61" s="6">
        <v>180729</v>
      </c>
      <c r="CY61" s="6">
        <v>5292</v>
      </c>
      <c r="CZ61" s="6">
        <v>2267</v>
      </c>
      <c r="DA61" s="6">
        <v>1628</v>
      </c>
      <c r="DB61" s="6">
        <v>3019</v>
      </c>
      <c r="DC61" s="6"/>
      <c r="DD61" s="189">
        <f t="shared" si="340"/>
        <v>93.673516987586495</v>
      </c>
      <c r="DE61" s="190">
        <f t="shared" si="341"/>
        <v>2.7428926840645813</v>
      </c>
      <c r="DF61" s="190">
        <f t="shared" si="342"/>
        <v>1.1750071267525333</v>
      </c>
      <c r="DG61" s="190">
        <f t="shared" si="343"/>
        <v>1.5647757016611812</v>
      </c>
      <c r="DH61" s="190">
        <f t="shared" si="344"/>
        <v>0.84380749993521131</v>
      </c>
      <c r="DI61" s="190"/>
      <c r="DJ61" s="191">
        <f t="shared" si="20"/>
        <v>6.3264830124135072</v>
      </c>
      <c r="DK61" s="382">
        <v>189220</v>
      </c>
      <c r="DL61" s="6">
        <v>176787</v>
      </c>
      <c r="DM61" s="6">
        <v>5497</v>
      </c>
      <c r="DN61" s="6">
        <v>2309</v>
      </c>
      <c r="DO61" s="6">
        <v>1363</v>
      </c>
      <c r="DP61" s="6">
        <v>3264</v>
      </c>
      <c r="DQ61" s="6"/>
      <c r="DR61" s="189">
        <f t="shared" si="345"/>
        <v>93.429341507240252</v>
      </c>
      <c r="DS61" s="190">
        <f t="shared" si="346"/>
        <v>2.9050840291723921</v>
      </c>
      <c r="DT61" s="190">
        <f t="shared" si="347"/>
        <v>1.2202726984462531</v>
      </c>
      <c r="DU61" s="190">
        <f t="shared" si="348"/>
        <v>1.7249762181587569</v>
      </c>
      <c r="DV61" s="190">
        <f t="shared" si="349"/>
        <v>0.72032554698234863</v>
      </c>
      <c r="DW61" s="190"/>
      <c r="DX61" s="191">
        <f t="shared" si="350"/>
        <v>6.5706584927597511</v>
      </c>
      <c r="DY61" s="382">
        <v>189077</v>
      </c>
      <c r="DZ61" s="6">
        <v>174828</v>
      </c>
      <c r="EA61" s="6">
        <v>3347</v>
      </c>
      <c r="EB61" s="6">
        <v>2766</v>
      </c>
      <c r="EC61" s="6">
        <v>1385</v>
      </c>
      <c r="ED61" s="6">
        <v>2092</v>
      </c>
      <c r="EE61" s="6">
        <v>4659</v>
      </c>
      <c r="EF61" s="189">
        <f t="shared" si="351"/>
        <v>92.463916816958175</v>
      </c>
      <c r="EG61" s="190">
        <f t="shared" si="352"/>
        <v>1.7701782871528529</v>
      </c>
      <c r="EH61" s="190">
        <f t="shared" si="353"/>
        <v>1.4628960687973682</v>
      </c>
      <c r="EI61" s="190">
        <f t="shared" si="354"/>
        <v>1.1064275401027095</v>
      </c>
      <c r="EJ61" s="190">
        <f t="shared" si="355"/>
        <v>0.73250580451350511</v>
      </c>
      <c r="EK61" s="190"/>
      <c r="EL61" s="191">
        <f t="shared" si="356"/>
        <v>5.0720077005664361</v>
      </c>
      <c r="EM61" s="11">
        <v>188969</v>
      </c>
      <c r="EN61" s="444">
        <f t="shared" si="200"/>
        <v>173447</v>
      </c>
      <c r="EO61" s="444">
        <f t="shared" si="201"/>
        <v>5585</v>
      </c>
      <c r="EP61" s="444">
        <f t="shared" si="202"/>
        <v>3080</v>
      </c>
      <c r="EQ61" s="444">
        <f t="shared" si="203"/>
        <v>2932</v>
      </c>
      <c r="ER61" s="444">
        <f t="shared" si="204"/>
        <v>185</v>
      </c>
      <c r="ES61" s="444">
        <f t="shared" si="205"/>
        <v>1584</v>
      </c>
      <c r="ET61" s="444">
        <f t="shared" si="206"/>
        <v>2156</v>
      </c>
      <c r="EU61" s="148">
        <v>91.785954309966186</v>
      </c>
      <c r="EV61" s="148">
        <v>2.9555112214172694</v>
      </c>
      <c r="EW61" s="148">
        <v>1.6298969672274288</v>
      </c>
      <c r="EX61" s="148">
        <v>1.5515772428281889</v>
      </c>
      <c r="EY61" s="148">
        <v>9.7899655499050109E-2</v>
      </c>
      <c r="EZ61" s="148">
        <v>0.83823272600267762</v>
      </c>
      <c r="FA61" s="148">
        <v>1.1409278770592002</v>
      </c>
      <c r="FB61" s="191">
        <f t="shared" si="255"/>
        <v>8.2140456900338155</v>
      </c>
      <c r="FC61">
        <v>185739</v>
      </c>
      <c r="FD61">
        <v>169722</v>
      </c>
      <c r="FE61" s="11">
        <v>5637</v>
      </c>
      <c r="FF61">
        <v>3185</v>
      </c>
      <c r="FG61">
        <v>2875</v>
      </c>
      <c r="FH61">
        <v>181</v>
      </c>
      <c r="FI61" s="11">
        <v>1521</v>
      </c>
      <c r="FJ61">
        <v>2618</v>
      </c>
      <c r="FK61" s="189">
        <f t="shared" si="256"/>
        <v>91.376609112787293</v>
      </c>
      <c r="FL61" s="190">
        <f t="shared" si="257"/>
        <v>3.0349038166459388</v>
      </c>
      <c r="FM61" s="190">
        <f t="shared" si="258"/>
        <v>1.7147718034446184</v>
      </c>
      <c r="FN61" s="190">
        <f t="shared" si="259"/>
        <v>1.5478709371752835</v>
      </c>
      <c r="FO61" s="190">
        <f t="shared" si="260"/>
        <v>9.7448570305643939E-2</v>
      </c>
      <c r="FP61" s="190">
        <f t="shared" si="261"/>
        <v>0.81889102450212403</v>
      </c>
      <c r="FQ61" s="190">
        <f t="shared" si="262"/>
        <v>1.409504735139093</v>
      </c>
      <c r="FR61" s="199">
        <f t="shared" si="37"/>
        <v>8.6233908872127021</v>
      </c>
      <c r="FS61" s="474">
        <v>183995</v>
      </c>
      <c r="FT61" s="474">
        <v>167309</v>
      </c>
      <c r="FU61" s="474">
        <v>5844</v>
      </c>
      <c r="FV61" s="474">
        <v>3327</v>
      </c>
      <c r="FW61" s="474">
        <v>2798</v>
      </c>
      <c r="FX61" s="474">
        <v>182</v>
      </c>
      <c r="FY61" s="474">
        <v>1512</v>
      </c>
      <c r="FZ61" s="480">
        <v>3023</v>
      </c>
      <c r="GA61" s="189">
        <f t="shared" si="39"/>
        <v>90.931275306394198</v>
      </c>
      <c r="GB61" s="190">
        <f t="shared" si="40"/>
        <v>3.1761732655778689</v>
      </c>
      <c r="GC61" s="190">
        <f t="shared" si="41"/>
        <v>1.8082013098182015</v>
      </c>
      <c r="GD61" s="190">
        <f t="shared" si="42"/>
        <v>1.5206934971058996</v>
      </c>
      <c r="GE61" s="190">
        <f t="shared" si="43"/>
        <v>9.8915731405744722E-2</v>
      </c>
      <c r="GF61" s="190">
        <f t="shared" si="44"/>
        <v>0.82176146090926394</v>
      </c>
      <c r="GG61" s="190">
        <f t="shared" si="45"/>
        <v>1.642979428788826</v>
      </c>
      <c r="GH61" s="199">
        <f t="shared" si="46"/>
        <v>9.0687246936058052</v>
      </c>
      <c r="GI61" s="474">
        <v>182470</v>
      </c>
      <c r="GJ61" s="474">
        <v>165283</v>
      </c>
      <c r="GK61" s="474">
        <v>5898</v>
      </c>
      <c r="GL61" s="474">
        <v>3534</v>
      </c>
      <c r="GM61" s="474">
        <v>2711</v>
      </c>
      <c r="GN61" s="474">
        <v>193</v>
      </c>
      <c r="GO61" s="474">
        <v>1435</v>
      </c>
      <c r="GP61" s="480">
        <v>3416</v>
      </c>
      <c r="GQ61" s="189">
        <f t="shared" si="357"/>
        <v>90.580917411081273</v>
      </c>
      <c r="GR61" s="190">
        <f t="shared" si="358"/>
        <v>3.2323121609031622</v>
      </c>
      <c r="GS61" s="190">
        <f t="shared" si="359"/>
        <v>1.9367567271332276</v>
      </c>
      <c r="GT61" s="190">
        <f t="shared" si="360"/>
        <v>1.4857236806050309</v>
      </c>
      <c r="GU61" s="190">
        <f t="shared" si="361"/>
        <v>0.10577081164026964</v>
      </c>
      <c r="GV61" s="190">
        <f t="shared" si="362"/>
        <v>0.78643064613361102</v>
      </c>
      <c r="GW61" s="190">
        <f t="shared" si="363"/>
        <v>1.8720885625034254</v>
      </c>
      <c r="GX61" s="199">
        <f t="shared" si="55"/>
        <v>9.4190825889187266</v>
      </c>
    </row>
    <row r="62" spans="1:206" s="11" customFormat="1">
      <c r="A62" s="113" t="s">
        <v>141</v>
      </c>
      <c r="C62" s="1"/>
      <c r="D62" s="1"/>
      <c r="E62" s="1"/>
      <c r="F62" s="1"/>
      <c r="G62" s="1"/>
      <c r="H62" s="52">
        <v>83.658772442457419</v>
      </c>
      <c r="I62" s="45">
        <v>7.3797063317146545</v>
      </c>
      <c r="J62" s="45">
        <v>6.02470734065888</v>
      </c>
      <c r="K62" s="45">
        <v>2.7984443914493942</v>
      </c>
      <c r="L62" s="43">
        <v>0.13836949371964977</v>
      </c>
      <c r="M62" s="264">
        <f t="shared" si="317"/>
        <v>16.341227557542581</v>
      </c>
      <c r="N62" s="66"/>
      <c r="O62" s="1"/>
      <c r="P62" s="1"/>
      <c r="Q62" s="1"/>
      <c r="R62" s="134">
        <v>20.177150246293962</v>
      </c>
      <c r="S62" s="52">
        <v>79.260156358590265</v>
      </c>
      <c r="T62" s="45">
        <v>8.091705156278838</v>
      </c>
      <c r="U62" s="45">
        <v>8.7743783367474588</v>
      </c>
      <c r="V62" s="45">
        <v>3.700243583988625</v>
      </c>
      <c r="W62" s="45">
        <v>0.17351656439481114</v>
      </c>
      <c r="X62" s="261">
        <f t="shared" si="318"/>
        <v>20.739843641409731</v>
      </c>
      <c r="Y62" s="52">
        <v>79.099999999999994</v>
      </c>
      <c r="Z62" s="45">
        <v>8</v>
      </c>
      <c r="AA62" s="45">
        <v>9</v>
      </c>
      <c r="AB62" s="45">
        <v>3.7</v>
      </c>
      <c r="AC62" s="45">
        <v>0.2</v>
      </c>
      <c r="AD62" s="261">
        <f t="shared" si="319"/>
        <v>20.9</v>
      </c>
      <c r="AE62" s="52">
        <v>78.5</v>
      </c>
      <c r="AF62" s="45">
        <v>8.1999999999999993</v>
      </c>
      <c r="AG62" s="45">
        <v>9.3000000000000007</v>
      </c>
      <c r="AH62" s="45">
        <v>3.8</v>
      </c>
      <c r="AI62" s="45">
        <v>0.2</v>
      </c>
      <c r="AJ62" s="261">
        <f t="shared" si="320"/>
        <v>21.5</v>
      </c>
      <c r="AK62" s="258">
        <f>100-77.9</f>
        <v>22.099999999999994</v>
      </c>
      <c r="AL62" s="258">
        <f>100-77.5</f>
        <v>22.5</v>
      </c>
      <c r="AM62" s="258">
        <f>100-77.1</f>
        <v>22.900000000000006</v>
      </c>
      <c r="AN62" s="258">
        <f>100-76.6</f>
        <v>23.400000000000006</v>
      </c>
      <c r="AO62" s="77">
        <v>76.090857816746137</v>
      </c>
      <c r="AP62" s="68">
        <v>8.5348920678869913</v>
      </c>
      <c r="AQ62" s="68">
        <v>10.686253396913296</v>
      </c>
      <c r="AR62" s="68">
        <v>4.409988206942522</v>
      </c>
      <c r="AS62" s="68">
        <v>0.27800851151104961</v>
      </c>
      <c r="AT62" s="261">
        <f t="shared" si="321"/>
        <v>23.909142183253859</v>
      </c>
      <c r="AU62" s="68">
        <v>75.747785519041457</v>
      </c>
      <c r="AV62" s="68">
        <v>8.5950634030047066</v>
      </c>
      <c r="AW62" s="68">
        <v>10.795260702468298</v>
      </c>
      <c r="AX62" s="68">
        <v>4.5366545409704671</v>
      </c>
      <c r="AY62" s="68">
        <v>0.32523583451507493</v>
      </c>
      <c r="AZ62" s="261">
        <f t="shared" si="322"/>
        <v>24.252214480958546</v>
      </c>
      <c r="BA62" s="68">
        <v>75.084156587713593</v>
      </c>
      <c r="BB62" s="68">
        <v>8.753505888672203</v>
      </c>
      <c r="BC62" s="68">
        <v>11.211722613376143</v>
      </c>
      <c r="BD62" s="68">
        <v>4.6317914035660621</v>
      </c>
      <c r="BE62" s="68">
        <v>0.31882350667199733</v>
      </c>
      <c r="BF62" s="261">
        <f t="shared" si="323"/>
        <v>24.915843412286407</v>
      </c>
      <c r="BG62" s="68">
        <v>74.588636546760242</v>
      </c>
      <c r="BH62" s="68">
        <v>8.8362695431425475</v>
      </c>
      <c r="BI62" s="68">
        <v>11.531231800615833</v>
      </c>
      <c r="BJ62" s="68">
        <v>4.7207481393918558</v>
      </c>
      <c r="BK62" s="68">
        <v>0.32311397008951931</v>
      </c>
      <c r="BL62" s="199">
        <f t="shared" si="324"/>
        <v>25.411363453239755</v>
      </c>
      <c r="BM62" s="68">
        <v>74.17715109258755</v>
      </c>
      <c r="BN62" s="68">
        <v>8.868625035107538</v>
      </c>
      <c r="BO62" s="68">
        <v>11.810175342926318</v>
      </c>
      <c r="BP62" s="68">
        <v>4.8133714100621789</v>
      </c>
      <c r="BQ62" s="68">
        <v>0.33067711931642296</v>
      </c>
      <c r="BR62" s="191">
        <f t="shared" si="325"/>
        <v>25.822848907412457</v>
      </c>
      <c r="BS62" s="77">
        <v>73.507425256320772</v>
      </c>
      <c r="BT62" s="68">
        <v>8.4057119928443349</v>
      </c>
      <c r="BU62" s="68">
        <v>13.070687269854671</v>
      </c>
      <c r="BV62" s="68">
        <v>4.7088622409101735</v>
      </c>
      <c r="BW62" s="68">
        <v>0.30731324007005195</v>
      </c>
      <c r="BX62" s="191">
        <f t="shared" si="326"/>
        <v>26.492574743679228</v>
      </c>
      <c r="BY62" s="38">
        <v>950196</v>
      </c>
      <c r="BZ62" s="6">
        <v>692955</v>
      </c>
      <c r="CA62" s="6">
        <v>79365</v>
      </c>
      <c r="CB62" s="6">
        <v>128993</v>
      </c>
      <c r="CC62" s="6">
        <v>46147</v>
      </c>
      <c r="CD62" s="6">
        <v>2736</v>
      </c>
      <c r="CE62" s="189">
        <f t="shared" si="327"/>
        <v>72.927585466577426</v>
      </c>
      <c r="CF62" s="190">
        <f t="shared" si="328"/>
        <v>8.3524872763093096</v>
      </c>
      <c r="CG62" s="190">
        <f t="shared" si="329"/>
        <v>13.575409704945084</v>
      </c>
      <c r="CH62" s="190">
        <f t="shared" si="330"/>
        <v>4.856576958859014</v>
      </c>
      <c r="CI62" s="190">
        <f t="shared" si="331"/>
        <v>0.28794059330916988</v>
      </c>
      <c r="CJ62" s="191">
        <f t="shared" si="332"/>
        <v>27.072414533422577</v>
      </c>
      <c r="CK62" s="38">
        <v>943937</v>
      </c>
      <c r="CL62" s="6">
        <v>681950</v>
      </c>
      <c r="CM62" s="6">
        <v>78473</v>
      </c>
      <c r="CN62" s="6">
        <v>133465</v>
      </c>
      <c r="CO62" s="6">
        <v>47404</v>
      </c>
      <c r="CP62" s="6">
        <v>2645</v>
      </c>
      <c r="CQ62" s="189">
        <f t="shared" si="333"/>
        <v>72.245287556267002</v>
      </c>
      <c r="CR62" s="190">
        <f t="shared" si="334"/>
        <v>8.3133726085533244</v>
      </c>
      <c r="CS62" s="190">
        <f t="shared" si="335"/>
        <v>14.139185136296174</v>
      </c>
      <c r="CT62" s="190">
        <f t="shared" si="336"/>
        <v>5.0219453205033817</v>
      </c>
      <c r="CU62" s="190">
        <f t="shared" si="337"/>
        <v>0.28020937838012494</v>
      </c>
      <c r="CV62" s="191">
        <f t="shared" si="338"/>
        <v>27.754712443733006</v>
      </c>
      <c r="CW62" s="38">
        <f t="shared" si="339"/>
        <v>958910</v>
      </c>
      <c r="CX62" s="6">
        <v>670429</v>
      </c>
      <c r="CY62" s="6">
        <v>78353</v>
      </c>
      <c r="CZ62" s="6">
        <v>137548</v>
      </c>
      <c r="DA62" s="6">
        <v>2622</v>
      </c>
      <c r="DB62" s="6">
        <v>50335</v>
      </c>
      <c r="DC62" s="6">
        <v>19623</v>
      </c>
      <c r="DD62" s="189">
        <f t="shared" si="340"/>
        <v>69.915737660468665</v>
      </c>
      <c r="DE62" s="190">
        <f t="shared" si="341"/>
        <v>8.1710483778456791</v>
      </c>
      <c r="DF62" s="190">
        <f t="shared" si="342"/>
        <v>14.344203314179641</v>
      </c>
      <c r="DG62" s="190">
        <f t="shared" si="343"/>
        <v>5.2491891835521578</v>
      </c>
      <c r="DH62" s="190">
        <f t="shared" si="344"/>
        <v>0.27343546318215473</v>
      </c>
      <c r="DI62" s="190">
        <f>(DC62/CW62)*100</f>
        <v>2.0463860007717094</v>
      </c>
      <c r="DJ62" s="191">
        <f t="shared" si="20"/>
        <v>30.084262339531339</v>
      </c>
      <c r="DK62" s="382">
        <v>957053</v>
      </c>
      <c r="DL62" s="6">
        <v>661292</v>
      </c>
      <c r="DM62" s="6">
        <v>78044</v>
      </c>
      <c r="DN62" s="6">
        <v>141933</v>
      </c>
      <c r="DO62" s="6">
        <v>2532</v>
      </c>
      <c r="DP62" s="6">
        <v>51887</v>
      </c>
      <c r="DQ62" s="6">
        <v>21365</v>
      </c>
      <c r="DR62" s="189">
        <f t="shared" si="345"/>
        <v>69.096695794276812</v>
      </c>
      <c r="DS62" s="190">
        <f t="shared" si="346"/>
        <v>8.1546163065159405</v>
      </c>
      <c r="DT62" s="190">
        <f t="shared" si="347"/>
        <v>14.830213164788155</v>
      </c>
      <c r="DU62" s="190">
        <f t="shared" si="348"/>
        <v>5.4215388280481855</v>
      </c>
      <c r="DV62" s="190">
        <f t="shared" si="349"/>
        <v>0.26456215068548972</v>
      </c>
      <c r="DW62" s="190">
        <f>(DQ62/DK62)*100</f>
        <v>2.2323737556854217</v>
      </c>
      <c r="DX62" s="191">
        <f t="shared" si="350"/>
        <v>30.903304205723192</v>
      </c>
      <c r="DY62" s="382">
        <v>955563</v>
      </c>
      <c r="DZ62" s="6">
        <v>650166</v>
      </c>
      <c r="EA62" s="6">
        <v>78825</v>
      </c>
      <c r="EB62" s="6">
        <v>147524</v>
      </c>
      <c r="EC62" s="6">
        <v>2382</v>
      </c>
      <c r="ED62" s="6">
        <v>53823</v>
      </c>
      <c r="EE62" s="6">
        <v>22843</v>
      </c>
      <c r="EF62" s="189">
        <f t="shared" si="351"/>
        <v>68.040097827144834</v>
      </c>
      <c r="EG62" s="190">
        <f t="shared" si="352"/>
        <v>8.2490636410158213</v>
      </c>
      <c r="EH62" s="190">
        <f t="shared" si="353"/>
        <v>15.438437863332924</v>
      </c>
      <c r="EI62" s="190">
        <f t="shared" si="354"/>
        <v>5.6325956530338654</v>
      </c>
      <c r="EJ62" s="190">
        <f t="shared" si="355"/>
        <v>0.24927712772470262</v>
      </c>
      <c r="EK62" s="190">
        <f>(EE62/DY62)*100</f>
        <v>2.3905278877478513</v>
      </c>
      <c r="EL62" s="191">
        <f t="shared" si="356"/>
        <v>31.959902172855166</v>
      </c>
      <c r="EM62" s="11">
        <v>953369</v>
      </c>
      <c r="EN62" s="444">
        <f t="shared" si="200"/>
        <v>639110.99999999988</v>
      </c>
      <c r="EO62" s="444">
        <f t="shared" si="201"/>
        <v>79015</v>
      </c>
      <c r="EP62" s="444">
        <f t="shared" si="202"/>
        <v>153324</v>
      </c>
      <c r="EQ62" s="444">
        <f t="shared" si="203"/>
        <v>54358</v>
      </c>
      <c r="ER62" s="444">
        <f t="shared" si="204"/>
        <v>1050</v>
      </c>
      <c r="ES62" s="444">
        <f t="shared" si="205"/>
        <v>2304.9999999999995</v>
      </c>
      <c r="ET62" s="444">
        <f t="shared" si="206"/>
        <v>24206</v>
      </c>
      <c r="EU62" s="148">
        <v>67.037107352976648</v>
      </c>
      <c r="EV62" s="148">
        <v>8.2879766386362466</v>
      </c>
      <c r="EW62" s="148">
        <v>16.082335381158817</v>
      </c>
      <c r="EX62" s="148">
        <v>5.7016747974813526</v>
      </c>
      <c r="EY62" s="148">
        <v>0.11013573967687224</v>
      </c>
      <c r="EZ62" s="148">
        <v>0.24177417138589569</v>
      </c>
      <c r="FA62" s="148">
        <v>2.5389959186841611</v>
      </c>
      <c r="FB62" s="191">
        <f t="shared" si="255"/>
        <v>32.962892647023345</v>
      </c>
      <c r="FC62">
        <v>954773</v>
      </c>
      <c r="FD62">
        <v>630150</v>
      </c>
      <c r="FE62" s="11">
        <v>81806</v>
      </c>
      <c r="FF62">
        <v>156976</v>
      </c>
      <c r="FG62">
        <v>56517</v>
      </c>
      <c r="FH62">
        <v>1020</v>
      </c>
      <c r="FI62" s="11">
        <v>2292</v>
      </c>
      <c r="FJ62">
        <v>26012</v>
      </c>
      <c r="FK62" s="189">
        <f t="shared" si="256"/>
        <v>65.999981147351249</v>
      </c>
      <c r="FL62" s="190">
        <f t="shared" si="257"/>
        <v>8.5681099067527047</v>
      </c>
      <c r="FM62" s="190">
        <f t="shared" si="258"/>
        <v>16.441185496447847</v>
      </c>
      <c r="FN62" s="190">
        <f t="shared" si="259"/>
        <v>5.9194174950485614</v>
      </c>
      <c r="FO62" s="190">
        <f t="shared" si="260"/>
        <v>0.10683167622042099</v>
      </c>
      <c r="FP62" s="190">
        <f t="shared" si="261"/>
        <v>0.24005706068353419</v>
      </c>
      <c r="FQ62" s="190">
        <f t="shared" si="262"/>
        <v>2.7244172174956769</v>
      </c>
      <c r="FR62" s="199">
        <f t="shared" si="37"/>
        <v>34.000018852648743</v>
      </c>
      <c r="FS62" s="474">
        <v>955739</v>
      </c>
      <c r="FT62" s="474">
        <v>620628</v>
      </c>
      <c r="FU62" s="474">
        <v>82990</v>
      </c>
      <c r="FV62" s="474">
        <v>162647</v>
      </c>
      <c r="FW62" s="474">
        <v>58455</v>
      </c>
      <c r="FX62" s="474">
        <v>1007</v>
      </c>
      <c r="FY62" s="474">
        <v>2209</v>
      </c>
      <c r="FZ62" s="480">
        <v>27803</v>
      </c>
      <c r="GA62" s="189">
        <f t="shared" si="39"/>
        <v>64.936975471336851</v>
      </c>
      <c r="GB62" s="190">
        <f t="shared" si="40"/>
        <v>8.6833330020015929</v>
      </c>
      <c r="GC62" s="190">
        <f t="shared" si="41"/>
        <v>17.017930627503951</v>
      </c>
      <c r="GD62" s="190">
        <f t="shared" si="42"/>
        <v>6.1162095509338847</v>
      </c>
      <c r="GE62" s="190">
        <f t="shared" si="43"/>
        <v>0.10536349358977713</v>
      </c>
      <c r="GF62" s="190">
        <f t="shared" si="44"/>
        <v>0.2311300470107425</v>
      </c>
      <c r="GG62" s="190">
        <f t="shared" si="45"/>
        <v>2.9090578076232108</v>
      </c>
      <c r="GH62" s="199">
        <f t="shared" si="46"/>
        <v>35.063024528663163</v>
      </c>
      <c r="GI62" s="474">
        <v>955844</v>
      </c>
      <c r="GJ62" s="474">
        <v>608453</v>
      </c>
      <c r="GK62" s="474">
        <v>83556</v>
      </c>
      <c r="GL62" s="474">
        <v>171036</v>
      </c>
      <c r="GM62" s="474">
        <v>60050</v>
      </c>
      <c r="GN62" s="474">
        <v>930</v>
      </c>
      <c r="GO62" s="474">
        <v>2238</v>
      </c>
      <c r="GP62" s="480">
        <v>29581</v>
      </c>
      <c r="GQ62" s="189">
        <f t="shared" si="357"/>
        <v>63.656098693929131</v>
      </c>
      <c r="GR62" s="190">
        <f t="shared" si="358"/>
        <v>8.74159381656421</v>
      </c>
      <c r="GS62" s="190">
        <f t="shared" si="359"/>
        <v>17.893714873975249</v>
      </c>
      <c r="GT62" s="190">
        <f t="shared" si="360"/>
        <v>6.2824059156096599</v>
      </c>
      <c r="GU62" s="190">
        <f t="shared" si="361"/>
        <v>9.7296211515686667E-2</v>
      </c>
      <c r="GV62" s="190">
        <f t="shared" si="362"/>
        <v>0.23413862513129757</v>
      </c>
      <c r="GW62" s="190">
        <f t="shared" si="363"/>
        <v>3.0947518632747606</v>
      </c>
      <c r="GX62" s="199">
        <f t="shared" si="55"/>
        <v>36.343901306070855</v>
      </c>
    </row>
    <row r="63" spans="1:206" s="11" customFormat="1">
      <c r="A63" s="113" t="s">
        <v>148</v>
      </c>
      <c r="H63" s="52">
        <v>97.955440058088428</v>
      </c>
      <c r="I63" s="146">
        <v>0.71272977414300454</v>
      </c>
      <c r="J63" s="146">
        <v>0.48534413574349372</v>
      </c>
      <c r="K63" s="146">
        <v>0.78406644501343936</v>
      </c>
      <c r="L63" s="147">
        <v>6.2419587011630424E-2</v>
      </c>
      <c r="M63" s="265">
        <f t="shared" si="317"/>
        <v>2.0445599419115683</v>
      </c>
      <c r="N63" s="66"/>
      <c r="R63" s="134">
        <v>2.9766009920164151</v>
      </c>
      <c r="S63" s="52">
        <v>96.891454466983177</v>
      </c>
      <c r="T63" s="146">
        <v>0.835671126456625</v>
      </c>
      <c r="U63" s="146">
        <v>1.0395986189037549</v>
      </c>
      <c r="V63" s="146">
        <v>0.9964393612429866</v>
      </c>
      <c r="W63" s="146">
        <v>0.23683642641346569</v>
      </c>
      <c r="X63" s="261">
        <f t="shared" si="318"/>
        <v>3.1085455330168323</v>
      </c>
      <c r="Y63" s="52">
        <v>96.8</v>
      </c>
      <c r="Z63" s="146">
        <v>0.8</v>
      </c>
      <c r="AA63" s="146">
        <v>1.1000000000000001</v>
      </c>
      <c r="AB63" s="146">
        <v>1</v>
      </c>
      <c r="AC63" s="146">
        <v>0.2</v>
      </c>
      <c r="AD63" s="261">
        <f t="shared" si="319"/>
        <v>3.1000000000000005</v>
      </c>
      <c r="AE63" s="52">
        <v>96.7</v>
      </c>
      <c r="AF63" s="146">
        <v>0.9</v>
      </c>
      <c r="AG63" s="146">
        <v>1.2</v>
      </c>
      <c r="AH63" s="146">
        <v>1.1000000000000001</v>
      </c>
      <c r="AI63" s="146">
        <v>0.2</v>
      </c>
      <c r="AJ63" s="261">
        <f t="shared" si="320"/>
        <v>3.4000000000000004</v>
      </c>
      <c r="AK63" s="259">
        <f>100-96.4</f>
        <v>3.5999999999999943</v>
      </c>
      <c r="AL63" s="259">
        <f>100-96.3</f>
        <v>3.7000000000000028</v>
      </c>
      <c r="AM63" s="259">
        <f>100-96.2</f>
        <v>3.7999999999999972</v>
      </c>
      <c r="AN63" s="259">
        <f>100-95.9</f>
        <v>4.0999999999999943</v>
      </c>
      <c r="AO63" s="77">
        <v>95.520505034514855</v>
      </c>
      <c r="AP63" s="148">
        <v>1.1225121245700636</v>
      </c>
      <c r="AQ63" s="148">
        <v>1.8358350003118089</v>
      </c>
      <c r="AR63" s="148">
        <v>1.2923280613639962</v>
      </c>
      <c r="AS63" s="148">
        <v>0.22881977923928218</v>
      </c>
      <c r="AT63" s="261">
        <f t="shared" si="321"/>
        <v>4.4794949654851512</v>
      </c>
      <c r="AU63" s="148">
        <v>95.013222333415513</v>
      </c>
      <c r="AV63" s="148">
        <v>1.2274773141500723</v>
      </c>
      <c r="AW63" s="148">
        <v>2.0570760030360602</v>
      </c>
      <c r="AX63" s="148">
        <v>1.4580825441026459</v>
      </c>
      <c r="AY63" s="148">
        <v>0.24414180529570167</v>
      </c>
      <c r="AZ63" s="261">
        <f t="shared" si="322"/>
        <v>4.9867776665844801</v>
      </c>
      <c r="BA63" s="148">
        <v>94.444096672140063</v>
      </c>
      <c r="BB63" s="148">
        <v>1.4537417357262208</v>
      </c>
      <c r="BC63" s="148">
        <v>2.2256357411482584</v>
      </c>
      <c r="BD63" s="148">
        <v>1.5784582344188645</v>
      </c>
      <c r="BE63" s="148">
        <v>0.29806761656658848</v>
      </c>
      <c r="BF63" s="261">
        <f t="shared" si="323"/>
        <v>5.5559033278599319</v>
      </c>
      <c r="BG63" s="148">
        <v>94.244444765858148</v>
      </c>
      <c r="BH63" s="148">
        <v>1.4208092875704499</v>
      </c>
      <c r="BI63" s="148">
        <v>2.3975855402401924</v>
      </c>
      <c r="BJ63" s="148">
        <v>1.6715119782852901</v>
      </c>
      <c r="BK63" s="148">
        <v>0.26564842804591715</v>
      </c>
      <c r="BL63" s="199">
        <f t="shared" si="324"/>
        <v>5.7555552341418501</v>
      </c>
      <c r="BM63" s="148">
        <v>93.753988358826604</v>
      </c>
      <c r="BN63" s="148">
        <v>1.6045288418772845</v>
      </c>
      <c r="BO63" s="148">
        <v>2.5859068319378107</v>
      </c>
      <c r="BP63" s="148">
        <v>1.7635797575077834</v>
      </c>
      <c r="BQ63" s="148">
        <v>0.2919962098505211</v>
      </c>
      <c r="BR63" s="191">
        <f t="shared" si="325"/>
        <v>6.2460116411733999</v>
      </c>
      <c r="BS63" s="77">
        <v>93.26859992127018</v>
      </c>
      <c r="BT63" s="148">
        <v>1.7247663619530829</v>
      </c>
      <c r="BU63" s="148">
        <v>2.7662355965728227</v>
      </c>
      <c r="BV63" s="148">
        <v>1.9269367780061915</v>
      </c>
      <c r="BW63" s="148">
        <v>0.31346134219772848</v>
      </c>
      <c r="BX63" s="191">
        <f t="shared" si="326"/>
        <v>6.7314000787298252</v>
      </c>
      <c r="BY63" s="38">
        <v>203158</v>
      </c>
      <c r="BZ63" s="13">
        <v>188741</v>
      </c>
      <c r="CA63" s="13">
        <v>3696</v>
      </c>
      <c r="CB63" s="13">
        <v>5922</v>
      </c>
      <c r="CC63" s="13">
        <v>4148</v>
      </c>
      <c r="CD63" s="188">
        <v>651</v>
      </c>
      <c r="CE63" s="189">
        <f t="shared" si="327"/>
        <v>92.903552899713532</v>
      </c>
      <c r="CF63" s="195">
        <f t="shared" si="328"/>
        <v>1.8192736687701199</v>
      </c>
      <c r="CG63" s="195">
        <f t="shared" si="329"/>
        <v>2.9149725829157602</v>
      </c>
      <c r="CH63" s="195">
        <f t="shared" si="330"/>
        <v>2.0417606001240416</v>
      </c>
      <c r="CI63" s="195">
        <f t="shared" si="331"/>
        <v>0.32044024847655517</v>
      </c>
      <c r="CJ63" s="191">
        <f t="shared" si="332"/>
        <v>7.0964471002864764</v>
      </c>
      <c r="CK63" s="38">
        <v>200772</v>
      </c>
      <c r="CL63" s="13">
        <v>185681</v>
      </c>
      <c r="CM63" s="13">
        <v>3874</v>
      </c>
      <c r="CN63" s="13">
        <v>6162</v>
      </c>
      <c r="CO63" s="13">
        <v>4431</v>
      </c>
      <c r="CP63" s="188">
        <v>624</v>
      </c>
      <c r="CQ63" s="189">
        <f t="shared" si="333"/>
        <v>92.483513637359792</v>
      </c>
      <c r="CR63" s="195">
        <f t="shared" si="334"/>
        <v>1.9295519295519297</v>
      </c>
      <c r="CS63" s="195">
        <f t="shared" si="335"/>
        <v>3.0691530691530691</v>
      </c>
      <c r="CT63" s="195">
        <f t="shared" si="336"/>
        <v>2.206981053134899</v>
      </c>
      <c r="CU63" s="195">
        <f t="shared" si="337"/>
        <v>0.31080031080031079</v>
      </c>
      <c r="CV63" s="191">
        <f t="shared" si="338"/>
        <v>7.5164863626402081</v>
      </c>
      <c r="CW63" s="38">
        <f t="shared" si="339"/>
        <v>197934</v>
      </c>
      <c r="CX63" s="13">
        <v>181865</v>
      </c>
      <c r="CY63" s="13">
        <v>4099</v>
      </c>
      <c r="CZ63" s="13">
        <v>6552</v>
      </c>
      <c r="DA63" s="13">
        <v>646</v>
      </c>
      <c r="DB63" s="13">
        <v>4772</v>
      </c>
      <c r="DC63" s="13"/>
      <c r="DD63" s="189">
        <f t="shared" si="340"/>
        <v>91.881637313447911</v>
      </c>
      <c r="DE63" s="195">
        <f t="shared" si="341"/>
        <v>2.0708923176412339</v>
      </c>
      <c r="DF63" s="195">
        <f t="shared" si="342"/>
        <v>3.3101943071933064</v>
      </c>
      <c r="DG63" s="195">
        <f t="shared" si="343"/>
        <v>2.4109046449826708</v>
      </c>
      <c r="DH63" s="195">
        <f t="shared" si="344"/>
        <v>0.32637141673487124</v>
      </c>
      <c r="DI63" s="195"/>
      <c r="DJ63" s="191">
        <f t="shared" si="20"/>
        <v>8.1183626865520822</v>
      </c>
      <c r="DK63" s="382">
        <v>197140</v>
      </c>
      <c r="DL63" s="13">
        <v>179101</v>
      </c>
      <c r="DM63" s="13">
        <v>4008</v>
      </c>
      <c r="DN63" s="13">
        <v>6934</v>
      </c>
      <c r="DO63" s="13">
        <v>676</v>
      </c>
      <c r="DP63" s="13">
        <v>5021</v>
      </c>
      <c r="DQ63" s="13">
        <v>1400</v>
      </c>
      <c r="DR63" s="189">
        <f t="shared" si="345"/>
        <v>90.849649994927461</v>
      </c>
      <c r="DS63" s="195">
        <f t="shared" si="346"/>
        <v>2.0330729430861316</v>
      </c>
      <c r="DT63" s="195">
        <f t="shared" si="347"/>
        <v>3.5172973521355377</v>
      </c>
      <c r="DU63" s="195">
        <f t="shared" si="348"/>
        <v>2.5469209698691286</v>
      </c>
      <c r="DV63" s="195">
        <f t="shared" si="349"/>
        <v>0.34290352034087451</v>
      </c>
      <c r="DW63" s="195"/>
      <c r="DX63" s="191">
        <f t="shared" si="350"/>
        <v>8.4401947854316717</v>
      </c>
      <c r="DY63" s="382">
        <v>194711</v>
      </c>
      <c r="DZ63" s="13">
        <v>174778</v>
      </c>
      <c r="EA63" s="13">
        <v>3821</v>
      </c>
      <c r="EB63" s="13">
        <v>7231</v>
      </c>
      <c r="EC63" s="13">
        <v>653</v>
      </c>
      <c r="ED63" s="13">
        <v>5370</v>
      </c>
      <c r="EE63" s="13">
        <v>2858</v>
      </c>
      <c r="EF63" s="189">
        <f t="shared" si="351"/>
        <v>89.76277662792549</v>
      </c>
      <c r="EG63" s="195">
        <f t="shared" si="352"/>
        <v>1.9623955503284354</v>
      </c>
      <c r="EH63" s="195">
        <f t="shared" si="353"/>
        <v>3.713709035442271</v>
      </c>
      <c r="EI63" s="195">
        <f t="shared" si="354"/>
        <v>2.7579335528038991</v>
      </c>
      <c r="EJ63" s="195">
        <f t="shared" si="355"/>
        <v>0.33536882867429163</v>
      </c>
      <c r="EK63" s="195"/>
      <c r="EL63" s="191">
        <f t="shared" si="356"/>
        <v>8.7694069672488961</v>
      </c>
      <c r="EM63" s="11">
        <v>191900</v>
      </c>
      <c r="EN63" s="444">
        <f t="shared" si="200"/>
        <v>171011</v>
      </c>
      <c r="EO63" s="444">
        <f t="shared" si="201"/>
        <v>3696</v>
      </c>
      <c r="EP63" s="444">
        <f t="shared" si="202"/>
        <v>7429</v>
      </c>
      <c r="EQ63" s="444">
        <f t="shared" si="203"/>
        <v>5443</v>
      </c>
      <c r="ER63" s="444">
        <f t="shared" si="204"/>
        <v>115</v>
      </c>
      <c r="ES63" s="444">
        <f t="shared" si="205"/>
        <v>612</v>
      </c>
      <c r="ET63" s="444">
        <f t="shared" si="206"/>
        <v>3594.0000000000005</v>
      </c>
      <c r="EU63" s="148">
        <v>89.114643043251689</v>
      </c>
      <c r="EV63" s="148">
        <v>1.9260031266284523</v>
      </c>
      <c r="EW63" s="148">
        <v>3.8712871287128712</v>
      </c>
      <c r="EX63" s="148">
        <v>2.8363731109953103</v>
      </c>
      <c r="EY63" s="148">
        <v>5.992704533611256E-2</v>
      </c>
      <c r="EZ63" s="148">
        <v>0.31891610213652943</v>
      </c>
      <c r="FA63" s="148">
        <v>1.8728504429390309</v>
      </c>
      <c r="FB63" s="191">
        <f t="shared" si="255"/>
        <v>10.885356956748307</v>
      </c>
      <c r="FC63">
        <v>188974</v>
      </c>
      <c r="FD63">
        <v>167342</v>
      </c>
      <c r="FE63" s="11">
        <v>3579</v>
      </c>
      <c r="FF63">
        <v>7810</v>
      </c>
      <c r="FG63">
        <v>5541</v>
      </c>
      <c r="FH63">
        <v>132</v>
      </c>
      <c r="FI63" s="11">
        <v>582</v>
      </c>
      <c r="FJ63">
        <v>3988</v>
      </c>
      <c r="FK63" s="189">
        <f t="shared" si="256"/>
        <v>88.552922624276349</v>
      </c>
      <c r="FL63" s="190">
        <f t="shared" si="257"/>
        <v>1.8939113317175909</v>
      </c>
      <c r="FM63" s="190">
        <f t="shared" si="258"/>
        <v>4.1328436716162011</v>
      </c>
      <c r="FN63" s="190">
        <f t="shared" si="259"/>
        <v>2.9321493962132359</v>
      </c>
      <c r="FO63" s="190">
        <f t="shared" si="260"/>
        <v>6.9850878956893542E-2</v>
      </c>
      <c r="FP63" s="190">
        <f t="shared" si="261"/>
        <v>0.30797887540084878</v>
      </c>
      <c r="FQ63" s="190">
        <f t="shared" si="262"/>
        <v>2.1103432218188747</v>
      </c>
      <c r="FR63" s="199">
        <f t="shared" si="37"/>
        <v>11.447077375723644</v>
      </c>
      <c r="FS63" s="474">
        <v>186310</v>
      </c>
      <c r="FT63" s="474">
        <v>163922</v>
      </c>
      <c r="FU63" s="474">
        <v>3522</v>
      </c>
      <c r="FV63" s="474">
        <v>8232</v>
      </c>
      <c r="FW63" s="474">
        <v>5608</v>
      </c>
      <c r="FX63" s="474">
        <v>140</v>
      </c>
      <c r="FY63" s="474">
        <v>572</v>
      </c>
      <c r="FZ63" s="480">
        <v>4314</v>
      </c>
      <c r="GA63" s="189">
        <f t="shared" si="39"/>
        <v>87.98346841286029</v>
      </c>
      <c r="GB63" s="190">
        <f t="shared" si="40"/>
        <v>1.890397724223069</v>
      </c>
      <c r="GC63" s="190">
        <f t="shared" si="41"/>
        <v>4.4184423809779396</v>
      </c>
      <c r="GD63" s="190">
        <f t="shared" si="42"/>
        <v>3.0100370350491117</v>
      </c>
      <c r="GE63" s="190">
        <f t="shared" si="43"/>
        <v>7.5143577907788098E-2</v>
      </c>
      <c r="GF63" s="190">
        <f t="shared" si="44"/>
        <v>0.30701518973753422</v>
      </c>
      <c r="GG63" s="190">
        <f t="shared" si="45"/>
        <v>2.3154956792442705</v>
      </c>
      <c r="GH63" s="199">
        <f t="shared" si="46"/>
        <v>12.016531587139712</v>
      </c>
      <c r="GI63" s="474">
        <v>184670</v>
      </c>
      <c r="GJ63" s="474">
        <v>161344</v>
      </c>
      <c r="GK63" s="474">
        <v>3510</v>
      </c>
      <c r="GL63" s="474">
        <v>8712</v>
      </c>
      <c r="GM63" s="474">
        <v>5737</v>
      </c>
      <c r="GN63" s="474">
        <v>135</v>
      </c>
      <c r="GO63" s="474">
        <v>544</v>
      </c>
      <c r="GP63" s="480">
        <v>4688</v>
      </c>
      <c r="GQ63" s="189">
        <f t="shared" si="357"/>
        <v>87.368820057399688</v>
      </c>
      <c r="GR63" s="190">
        <f t="shared" si="358"/>
        <v>1.900687713218173</v>
      </c>
      <c r="GS63" s="190">
        <f t="shared" si="359"/>
        <v>4.7176043753722858</v>
      </c>
      <c r="GT63" s="190">
        <f t="shared" si="360"/>
        <v>3.1066226241403583</v>
      </c>
      <c r="GU63" s="190">
        <f t="shared" si="361"/>
        <v>7.3103373585314352E-2</v>
      </c>
      <c r="GV63" s="190">
        <f t="shared" si="362"/>
        <v>0.29457952022526668</v>
      </c>
      <c r="GW63" s="190">
        <f t="shared" si="363"/>
        <v>2.5385823360589157</v>
      </c>
      <c r="GX63" s="199">
        <f t="shared" si="55"/>
        <v>12.631179942600312</v>
      </c>
    </row>
    <row r="64" spans="1:206" s="11" customFormat="1">
      <c r="A64" s="113" t="s">
        <v>149</v>
      </c>
      <c r="C64" s="1"/>
      <c r="D64" s="1"/>
      <c r="E64" s="1"/>
      <c r="F64" s="1"/>
      <c r="G64" s="1"/>
      <c r="H64" s="52">
        <v>69.124479213499981</v>
      </c>
      <c r="I64" s="45">
        <v>17.397084162662797</v>
      </c>
      <c r="J64" s="45">
        <v>10.692780722454312</v>
      </c>
      <c r="K64" s="45">
        <v>2.678075971844518</v>
      </c>
      <c r="L64" s="43">
        <v>0.10757992953838651</v>
      </c>
      <c r="M64" s="264">
        <f t="shared" si="317"/>
        <v>30.875520786500012</v>
      </c>
      <c r="N64" s="66"/>
      <c r="O64" s="1"/>
      <c r="P64" s="1"/>
      <c r="Q64" s="1"/>
      <c r="R64" s="134">
        <v>36.305813048400793</v>
      </c>
      <c r="S64" s="52">
        <v>63.389869079229086</v>
      </c>
      <c r="T64" s="45">
        <v>18.584356735431992</v>
      </c>
      <c r="U64" s="45">
        <v>12.816824704444601</v>
      </c>
      <c r="V64" s="45">
        <v>5.0733644457994265</v>
      </c>
      <c r="W64" s="45">
        <v>0.1355850350948965</v>
      </c>
      <c r="X64" s="261">
        <f t="shared" si="318"/>
        <v>36.610130920770921</v>
      </c>
      <c r="Y64" s="52">
        <v>63</v>
      </c>
      <c r="Z64" s="45">
        <v>18.600000000000001</v>
      </c>
      <c r="AA64" s="45">
        <v>13.1</v>
      </c>
      <c r="AB64" s="45">
        <v>5.2</v>
      </c>
      <c r="AC64" s="45">
        <v>0.2</v>
      </c>
      <c r="AD64" s="261">
        <f t="shared" si="319"/>
        <v>37.100000000000009</v>
      </c>
      <c r="AE64" s="52">
        <v>62.5</v>
      </c>
      <c r="AF64" s="45">
        <v>18.5</v>
      </c>
      <c r="AG64" s="45">
        <v>13.5</v>
      </c>
      <c r="AH64" s="45">
        <v>5.4</v>
      </c>
      <c r="AI64" s="45">
        <v>0.2</v>
      </c>
      <c r="AJ64" s="261">
        <f t="shared" si="320"/>
        <v>37.6</v>
      </c>
      <c r="AK64" s="260" t="s">
        <v>109</v>
      </c>
      <c r="AL64" s="258">
        <f>100-61.9</f>
        <v>38.1</v>
      </c>
      <c r="AM64" s="258">
        <f>100-61.6</f>
        <v>38.4</v>
      </c>
      <c r="AN64" s="258">
        <f>100-60.8</f>
        <v>39.200000000000003</v>
      </c>
      <c r="AO64" s="77">
        <v>60.312518159880348</v>
      </c>
      <c r="AP64" s="68">
        <v>17.841336934214592</v>
      </c>
      <c r="AQ64" s="68">
        <v>15.342384472575905</v>
      </c>
      <c r="AR64" s="68">
        <v>6.3029695036350342</v>
      </c>
      <c r="AS64" s="68">
        <v>0.2007909296941188</v>
      </c>
      <c r="AT64" s="261">
        <f t="shared" si="321"/>
        <v>39.687481840119652</v>
      </c>
      <c r="AU64" s="68">
        <v>59.374981366311488</v>
      </c>
      <c r="AV64" s="68">
        <v>17.855098475317071</v>
      </c>
      <c r="AW64" s="68">
        <v>15.991133345656413</v>
      </c>
      <c r="AX64" s="68">
        <v>6.6006487504993832</v>
      </c>
      <c r="AY64" s="68">
        <v>0.17813806221564993</v>
      </c>
      <c r="AZ64" s="261">
        <f t="shared" si="322"/>
        <v>40.625018633688519</v>
      </c>
      <c r="BA64" s="68">
        <v>58.58261946793931</v>
      </c>
      <c r="BB64" s="68">
        <v>17.825524813556445</v>
      </c>
      <c r="BC64" s="68">
        <v>16.611063901983126</v>
      </c>
      <c r="BD64" s="68">
        <v>6.8171280891711357</v>
      </c>
      <c r="BE64" s="68">
        <v>0.16366372734997858</v>
      </c>
      <c r="BF64" s="261">
        <f t="shared" si="323"/>
        <v>41.417380532060683</v>
      </c>
      <c r="BG64" s="68">
        <v>57.878708212113253</v>
      </c>
      <c r="BH64" s="68">
        <v>17.74502753207851</v>
      </c>
      <c r="BI64" s="68">
        <v>17.183522324412838</v>
      </c>
      <c r="BJ64" s="68">
        <v>7.0175476714517364</v>
      </c>
      <c r="BK64" s="68">
        <v>0.17519425994366841</v>
      </c>
      <c r="BL64" s="191">
        <f t="shared" si="324"/>
        <v>42.121291787886747</v>
      </c>
      <c r="BM64" s="68">
        <v>57.132963094276036</v>
      </c>
      <c r="BN64" s="68">
        <v>17.735517829895777</v>
      </c>
      <c r="BO64" s="68">
        <v>17.710326454389254</v>
      </c>
      <c r="BP64" s="68">
        <v>7.2273410395497422</v>
      </c>
      <c r="BQ64" s="68">
        <v>0.19385158188919527</v>
      </c>
      <c r="BR64" s="191">
        <f t="shared" si="325"/>
        <v>42.867036905723971</v>
      </c>
      <c r="BS64" s="77">
        <v>56.489744210742032</v>
      </c>
      <c r="BT64" s="68">
        <v>17.631459398883063</v>
      </c>
      <c r="BU64" s="68">
        <v>18.179251677770598</v>
      </c>
      <c r="BV64" s="68">
        <v>7.5209121225105733</v>
      </c>
      <c r="BW64" s="68">
        <v>0.1786325900937373</v>
      </c>
      <c r="BX64" s="191">
        <f t="shared" si="326"/>
        <v>43.510255789257968</v>
      </c>
      <c r="BY64" s="38">
        <v>1388812</v>
      </c>
      <c r="BZ64" s="6">
        <v>773660</v>
      </c>
      <c r="CA64" s="6">
        <v>242310</v>
      </c>
      <c r="CB64" s="6">
        <v>261323</v>
      </c>
      <c r="CC64" s="6">
        <v>109142</v>
      </c>
      <c r="CD64" s="6">
        <v>2377</v>
      </c>
      <c r="CE64" s="189">
        <f t="shared" si="327"/>
        <v>55.706603917592879</v>
      </c>
      <c r="CF64" s="190">
        <f t="shared" si="328"/>
        <v>17.447285881746414</v>
      </c>
      <c r="CG64" s="190">
        <f t="shared" si="329"/>
        <v>18.816297670239024</v>
      </c>
      <c r="CH64" s="190">
        <f t="shared" si="330"/>
        <v>7.8586590553653055</v>
      </c>
      <c r="CI64" s="190">
        <f t="shared" si="331"/>
        <v>0.17115347505637912</v>
      </c>
      <c r="CJ64" s="191">
        <f t="shared" si="332"/>
        <v>44.293396082407121</v>
      </c>
      <c r="CK64" s="38">
        <v>1382348</v>
      </c>
      <c r="CL64" s="6">
        <v>759279</v>
      </c>
      <c r="CM64" s="6">
        <v>240148</v>
      </c>
      <c r="CN64" s="6">
        <v>268093</v>
      </c>
      <c r="CO64" s="6">
        <v>112618</v>
      </c>
      <c r="CP64" s="6">
        <v>2210</v>
      </c>
      <c r="CQ64" s="189">
        <f t="shared" si="333"/>
        <v>54.926762291405637</v>
      </c>
      <c r="CR64" s="190">
        <f t="shared" si="334"/>
        <v>17.372470607980045</v>
      </c>
      <c r="CS64" s="190">
        <f t="shared" si="335"/>
        <v>19.394031025472604</v>
      </c>
      <c r="CT64" s="190">
        <f t="shared" si="336"/>
        <v>8.1468631632555617</v>
      </c>
      <c r="CU64" s="190">
        <f t="shared" si="337"/>
        <v>0.15987291188615313</v>
      </c>
      <c r="CV64" s="191">
        <f t="shared" si="338"/>
        <v>45.073237708594363</v>
      </c>
      <c r="CW64" s="38">
        <f t="shared" si="339"/>
        <v>1380968</v>
      </c>
      <c r="CX64" s="6">
        <v>746134</v>
      </c>
      <c r="CY64" s="6">
        <v>236587</v>
      </c>
      <c r="CZ64" s="6">
        <v>275405</v>
      </c>
      <c r="DA64" s="6">
        <v>2199</v>
      </c>
      <c r="DB64" s="6">
        <v>116970</v>
      </c>
      <c r="DC64" s="6">
        <v>3673</v>
      </c>
      <c r="DD64" s="189">
        <f t="shared" si="340"/>
        <v>54.02978200798281</v>
      </c>
      <c r="DE64" s="190">
        <f t="shared" si="341"/>
        <v>17.131968300496464</v>
      </c>
      <c r="DF64" s="190">
        <f t="shared" si="342"/>
        <v>19.942895128634408</v>
      </c>
      <c r="DG64" s="190">
        <f t="shared" si="343"/>
        <v>8.4701455790431055</v>
      </c>
      <c r="DH64" s="190">
        <f t="shared" si="344"/>
        <v>0.15923613001894324</v>
      </c>
      <c r="DI64" s="190">
        <f>(DC64/CW64)*100</f>
        <v>0.26597285382427399</v>
      </c>
      <c r="DJ64" s="191">
        <f t="shared" si="20"/>
        <v>45.970217992017197</v>
      </c>
      <c r="DK64" s="382">
        <v>1396029</v>
      </c>
      <c r="DL64" s="6">
        <v>740318</v>
      </c>
      <c r="DM64" s="6">
        <v>238433</v>
      </c>
      <c r="DN64" s="6">
        <v>287900</v>
      </c>
      <c r="DO64" s="6">
        <v>2749</v>
      </c>
      <c r="DP64" s="6">
        <v>120634</v>
      </c>
      <c r="DQ64" s="6">
        <v>5995</v>
      </c>
      <c r="DR64" s="189">
        <f t="shared" si="345"/>
        <v>53.030273726405397</v>
      </c>
      <c r="DS64" s="190">
        <f t="shared" si="346"/>
        <v>17.079372992967912</v>
      </c>
      <c r="DT64" s="190">
        <f t="shared" si="347"/>
        <v>20.622780758852429</v>
      </c>
      <c r="DU64" s="190">
        <f t="shared" si="348"/>
        <v>8.6412245017832721</v>
      </c>
      <c r="DV64" s="190">
        <f t="shared" si="349"/>
        <v>0.19691568011839297</v>
      </c>
      <c r="DW64" s="190">
        <f>(DQ64/DK64)*100</f>
        <v>0.42943233987259577</v>
      </c>
      <c r="DX64" s="191">
        <f t="shared" si="350"/>
        <v>46.969726273594603</v>
      </c>
      <c r="DY64" s="382">
        <v>1402548</v>
      </c>
      <c r="DZ64" s="6">
        <v>722642</v>
      </c>
      <c r="EA64" s="6">
        <v>234395</v>
      </c>
      <c r="EB64" s="6">
        <v>309673</v>
      </c>
      <c r="EC64" s="6">
        <v>1864</v>
      </c>
      <c r="ED64" s="6">
        <v>124519</v>
      </c>
      <c r="EE64" s="6">
        <v>9455</v>
      </c>
      <c r="EF64" s="189">
        <f t="shared" si="351"/>
        <v>51.52351292076991</v>
      </c>
      <c r="EG64" s="190">
        <f t="shared" si="352"/>
        <v>16.712084007107066</v>
      </c>
      <c r="EH64" s="190">
        <f t="shared" si="353"/>
        <v>22.079315645525142</v>
      </c>
      <c r="EI64" s="190">
        <f t="shared" si="354"/>
        <v>8.8780562233877198</v>
      </c>
      <c r="EJ64" s="190">
        <f t="shared" si="355"/>
        <v>0.13290097736405457</v>
      </c>
      <c r="EK64" s="190">
        <f>(EE64/DY64)*100</f>
        <v>0.67413022584610294</v>
      </c>
      <c r="EL64" s="191">
        <f t="shared" si="356"/>
        <v>48.476487079230083</v>
      </c>
      <c r="EM64" s="11">
        <v>1356431</v>
      </c>
      <c r="EN64" s="444">
        <f t="shared" si="200"/>
        <v>693416.00000000012</v>
      </c>
      <c r="EO64" s="444">
        <f t="shared" si="201"/>
        <v>220238</v>
      </c>
      <c r="EP64" s="444">
        <f t="shared" si="202"/>
        <v>305026</v>
      </c>
      <c r="EQ64" s="444">
        <f t="shared" si="203"/>
        <v>121434</v>
      </c>
      <c r="ER64" s="444">
        <f t="shared" si="204"/>
        <v>3153.0000000000005</v>
      </c>
      <c r="ES64" s="444">
        <f t="shared" si="205"/>
        <v>1735</v>
      </c>
      <c r="ET64" s="444">
        <f t="shared" si="206"/>
        <v>11429.000000000002</v>
      </c>
      <c r="EU64" s="148">
        <v>51.120624639218661</v>
      </c>
      <c r="EV64" s="148">
        <v>16.236579671210698</v>
      </c>
      <c r="EW64" s="148">
        <v>22.487395230571995</v>
      </c>
      <c r="EX64" s="148">
        <v>8.9524642241293506</v>
      </c>
      <c r="EY64" s="148">
        <v>0.23244824100894187</v>
      </c>
      <c r="EZ64" s="148">
        <v>0.12790919700301748</v>
      </c>
      <c r="FA64" s="148">
        <v>0.84257879685734116</v>
      </c>
      <c r="FB64" s="191">
        <f t="shared" si="255"/>
        <v>48.879375360781346</v>
      </c>
      <c r="FC64">
        <v>1372203</v>
      </c>
      <c r="FD64">
        <v>683857</v>
      </c>
      <c r="FE64" s="11">
        <v>223070</v>
      </c>
      <c r="FF64">
        <v>321443</v>
      </c>
      <c r="FG64">
        <v>125130</v>
      </c>
      <c r="FH64">
        <v>3163</v>
      </c>
      <c r="FI64" s="11">
        <v>1769</v>
      </c>
      <c r="FJ64">
        <v>13771</v>
      </c>
      <c r="FK64" s="189">
        <f t="shared" si="256"/>
        <v>49.836430907088818</v>
      </c>
      <c r="FL64" s="190">
        <f t="shared" si="257"/>
        <v>16.256341080729307</v>
      </c>
      <c r="FM64" s="190">
        <f t="shared" si="258"/>
        <v>23.42532409563308</v>
      </c>
      <c r="FN64" s="190">
        <f t="shared" si="259"/>
        <v>9.1189131637228602</v>
      </c>
      <c r="FO64" s="190">
        <f t="shared" si="260"/>
        <v>0.23050525323148252</v>
      </c>
      <c r="FP64" s="190">
        <f t="shared" si="261"/>
        <v>0.12891678563594453</v>
      </c>
      <c r="FQ64" s="190">
        <f t="shared" si="262"/>
        <v>1.0035687139585032</v>
      </c>
      <c r="FR64" s="199">
        <f t="shared" si="37"/>
        <v>50.163569092911175</v>
      </c>
      <c r="FS64" s="474">
        <v>1370295</v>
      </c>
      <c r="FT64" s="474">
        <v>670565</v>
      </c>
      <c r="FU64" s="474">
        <v>220307</v>
      </c>
      <c r="FV64" s="474">
        <v>331155</v>
      </c>
      <c r="FW64" s="474">
        <v>127327</v>
      </c>
      <c r="FX64" s="474">
        <v>3022</v>
      </c>
      <c r="FY64" s="474">
        <v>2001</v>
      </c>
      <c r="FZ64" s="480">
        <v>15918</v>
      </c>
      <c r="GA64" s="189">
        <f t="shared" si="39"/>
        <v>48.935813091341643</v>
      </c>
      <c r="GB64" s="190">
        <f t="shared" si="40"/>
        <v>16.077341010512335</v>
      </c>
      <c r="GC64" s="190">
        <f t="shared" si="41"/>
        <v>24.166694033036681</v>
      </c>
      <c r="GD64" s="190">
        <f t="shared" si="42"/>
        <v>9.2919407864729848</v>
      </c>
      <c r="GE64" s="190">
        <f t="shared" si="43"/>
        <v>0.22053645382928497</v>
      </c>
      <c r="GF64" s="190">
        <f t="shared" si="44"/>
        <v>0.14602695040119099</v>
      </c>
      <c r="GG64" s="190">
        <f t="shared" si="45"/>
        <v>1.1616476744058761</v>
      </c>
      <c r="GH64" s="199">
        <f t="shared" si="46"/>
        <v>51.064186908658357</v>
      </c>
      <c r="GI64" s="474">
        <v>1400579</v>
      </c>
      <c r="GJ64" s="474">
        <v>659917</v>
      </c>
      <c r="GK64" s="474">
        <v>225694</v>
      </c>
      <c r="GL64" s="474">
        <v>360026</v>
      </c>
      <c r="GM64" s="474">
        <v>130944</v>
      </c>
      <c r="GN64" s="474">
        <v>3085</v>
      </c>
      <c r="GO64" s="474">
        <v>1747</v>
      </c>
      <c r="GP64" s="480">
        <v>19166</v>
      </c>
      <c r="GQ64" s="189">
        <f t="shared" si="357"/>
        <v>47.117442143570628</v>
      </c>
      <c r="GR64" s="190">
        <f t="shared" si="358"/>
        <v>16.114335571217335</v>
      </c>
      <c r="GS64" s="190">
        <f t="shared" si="359"/>
        <v>25.705511791908918</v>
      </c>
      <c r="GT64" s="190">
        <f t="shared" si="360"/>
        <v>9.3492762636024107</v>
      </c>
      <c r="GU64" s="190">
        <f t="shared" si="361"/>
        <v>0.22026604711337239</v>
      </c>
      <c r="GV64" s="190">
        <f t="shared" si="362"/>
        <v>0.12473412781428253</v>
      </c>
      <c r="GW64" s="190">
        <f t="shared" si="363"/>
        <v>1.3684340547730618</v>
      </c>
      <c r="GX64" s="199">
        <f t="shared" si="55"/>
        <v>52.882557856429386</v>
      </c>
    </row>
    <row r="65" spans="1:206" s="11" customFormat="1">
      <c r="A65" s="113" t="s">
        <v>151</v>
      </c>
      <c r="B65" s="17"/>
      <c r="C65" s="15"/>
      <c r="D65" s="15"/>
      <c r="E65" s="15"/>
      <c r="F65" s="15"/>
      <c r="G65" s="15"/>
      <c r="H65" s="52">
        <v>68.398865976654818</v>
      </c>
      <c r="I65" s="45">
        <v>16.506368126767928</v>
      </c>
      <c r="J65" s="45">
        <v>12.25699898062811</v>
      </c>
      <c r="K65" s="45">
        <v>2.6568037098891182</v>
      </c>
      <c r="L65" s="43">
        <v>0.18096320606002089</v>
      </c>
      <c r="M65" s="264">
        <f t="shared" si="317"/>
        <v>31.601134023345175</v>
      </c>
      <c r="N65" s="54"/>
      <c r="O65" s="15"/>
      <c r="P65" s="15"/>
      <c r="Q65" s="15"/>
      <c r="R65" s="134">
        <v>41.089942780421495</v>
      </c>
      <c r="S65" s="52">
        <v>58.213345243438376</v>
      </c>
      <c r="T65" s="45">
        <v>20.135064102775136</v>
      </c>
      <c r="U65" s="45">
        <v>16.537012590107665</v>
      </c>
      <c r="V65" s="45">
        <v>4.7557751755515101</v>
      </c>
      <c r="W65" s="45">
        <v>0.3588028881273152</v>
      </c>
      <c r="X65" s="261">
        <f t="shared" si="318"/>
        <v>41.786654756561624</v>
      </c>
      <c r="Y65" s="52">
        <v>57.7</v>
      </c>
      <c r="Z65" s="45">
        <v>20.2</v>
      </c>
      <c r="AA65" s="45">
        <v>16.899999999999999</v>
      </c>
      <c r="AB65" s="45">
        <v>4.8</v>
      </c>
      <c r="AC65" s="45">
        <v>0.4</v>
      </c>
      <c r="AD65" s="261">
        <f t="shared" si="319"/>
        <v>42.29999999999999</v>
      </c>
      <c r="AE65" s="52">
        <v>56.9</v>
      </c>
      <c r="AF65" s="45">
        <v>20.2</v>
      </c>
      <c r="AG65" s="45">
        <v>17.399999999999999</v>
      </c>
      <c r="AH65" s="45">
        <v>5</v>
      </c>
      <c r="AI65" s="45">
        <v>0.4</v>
      </c>
      <c r="AJ65" s="261">
        <f t="shared" si="320"/>
        <v>42.999999999999993</v>
      </c>
      <c r="AK65" s="258">
        <f>100-56.3</f>
        <v>43.7</v>
      </c>
      <c r="AL65" s="258">
        <f>100-55.9</f>
        <v>44.1</v>
      </c>
      <c r="AM65" s="257">
        <f>100-55.6</f>
        <v>44.4</v>
      </c>
      <c r="AN65" s="258">
        <f>100-55.2</f>
        <v>44.8</v>
      </c>
      <c r="AO65" s="77">
        <v>54.916750746308011</v>
      </c>
      <c r="AP65" s="68">
        <v>20.187961368238298</v>
      </c>
      <c r="AQ65" s="68">
        <v>18.515273812811657</v>
      </c>
      <c r="AR65" s="68">
        <v>5.9799360763420015</v>
      </c>
      <c r="AS65" s="68">
        <v>0.40007799630003316</v>
      </c>
      <c r="AT65" s="261">
        <f t="shared" si="321"/>
        <v>45.083249253691989</v>
      </c>
      <c r="AU65" s="68">
        <v>54.830314205614506</v>
      </c>
      <c r="AV65" s="68">
        <v>19.910296601966763</v>
      </c>
      <c r="AW65" s="68">
        <v>18.610808973960808</v>
      </c>
      <c r="AX65" s="68">
        <v>6.2147213289639884</v>
      </c>
      <c r="AY65" s="68">
        <v>0.43385888949393692</v>
      </c>
      <c r="AZ65" s="261">
        <f t="shared" si="322"/>
        <v>45.169685794385494</v>
      </c>
      <c r="BA65" s="68">
        <v>54.243823126458288</v>
      </c>
      <c r="BB65" s="68">
        <v>20.025081078984972</v>
      </c>
      <c r="BC65" s="68">
        <v>18.968587368124386</v>
      </c>
      <c r="BD65" s="68">
        <v>6.3156954442387434</v>
      </c>
      <c r="BE65" s="68">
        <v>0.4468129821936111</v>
      </c>
      <c r="BF65" s="261">
        <f t="shared" si="323"/>
        <v>45.756176873541712</v>
      </c>
      <c r="BG65" s="68">
        <v>53.858680001047198</v>
      </c>
      <c r="BH65" s="68">
        <v>19.723747938319764</v>
      </c>
      <c r="BI65" s="68">
        <v>19.379846584810327</v>
      </c>
      <c r="BJ65" s="68">
        <v>6.554685795568588</v>
      </c>
      <c r="BK65" s="68">
        <v>0.4830396802541212</v>
      </c>
      <c r="BL65" s="191">
        <f t="shared" si="324"/>
        <v>46.141319998952802</v>
      </c>
      <c r="BM65" s="68">
        <v>53.056071968880993</v>
      </c>
      <c r="BN65" s="68">
        <v>19.91438252929747</v>
      </c>
      <c r="BO65" s="68">
        <v>19.826945810741105</v>
      </c>
      <c r="BP65" s="68">
        <v>6.7298773030144154</v>
      </c>
      <c r="BQ65" s="68">
        <v>0.47272238806601613</v>
      </c>
      <c r="BR65" s="191">
        <f t="shared" si="325"/>
        <v>46.943928031119015</v>
      </c>
      <c r="BS65" s="77">
        <v>52.659184729546048</v>
      </c>
      <c r="BT65" s="68">
        <v>19.79175878797307</v>
      </c>
      <c r="BU65" s="68">
        <v>20.112118955199655</v>
      </c>
      <c r="BV65" s="68">
        <v>6.9408409845072834</v>
      </c>
      <c r="BW65" s="68">
        <v>0.49609654277394261</v>
      </c>
      <c r="BX65" s="191">
        <f t="shared" si="326"/>
        <v>47.340815270453952</v>
      </c>
      <c r="BY65" s="38">
        <v>2781785</v>
      </c>
      <c r="BZ65" s="6">
        <v>1448931</v>
      </c>
      <c r="CA65" s="6">
        <v>546918</v>
      </c>
      <c r="CB65" s="6">
        <v>572430</v>
      </c>
      <c r="CC65" s="6">
        <v>199592</v>
      </c>
      <c r="CD65" s="6">
        <v>13914</v>
      </c>
      <c r="CE65" s="189">
        <f t="shared" si="327"/>
        <v>52.086376193702968</v>
      </c>
      <c r="CF65" s="190">
        <f t="shared" si="328"/>
        <v>19.660685495104762</v>
      </c>
      <c r="CG65" s="190">
        <f t="shared" si="329"/>
        <v>20.577794473692251</v>
      </c>
      <c r="CH65" s="190">
        <f t="shared" si="330"/>
        <v>7.1749614006833742</v>
      </c>
      <c r="CI65" s="190">
        <f t="shared" si="331"/>
        <v>0.50018243681664831</v>
      </c>
      <c r="CJ65" s="191">
        <f t="shared" si="332"/>
        <v>47.913623806297032</v>
      </c>
      <c r="CK65" s="38">
        <v>2760141</v>
      </c>
      <c r="CL65" s="6">
        <v>1423811</v>
      </c>
      <c r="CM65" s="6">
        <v>539425</v>
      </c>
      <c r="CN65" s="6">
        <v>579532</v>
      </c>
      <c r="CO65" s="6">
        <v>203840</v>
      </c>
      <c r="CP65" s="6">
        <v>13533</v>
      </c>
      <c r="CQ65" s="189">
        <f t="shared" si="333"/>
        <v>51.584719766127883</v>
      </c>
      <c r="CR65" s="190">
        <f t="shared" si="334"/>
        <v>19.543385645878235</v>
      </c>
      <c r="CS65" s="190">
        <f t="shared" si="335"/>
        <v>20.996463586461704</v>
      </c>
      <c r="CT65" s="190">
        <f t="shared" si="336"/>
        <v>7.3851299625635063</v>
      </c>
      <c r="CU65" s="190">
        <f t="shared" si="337"/>
        <v>0.4903010389686614</v>
      </c>
      <c r="CV65" s="191">
        <f t="shared" si="338"/>
        <v>48.415280233872103</v>
      </c>
      <c r="CW65" s="38">
        <f t="shared" si="339"/>
        <v>2731803</v>
      </c>
      <c r="CX65" s="6">
        <v>1397155</v>
      </c>
      <c r="CY65" s="6">
        <v>526703</v>
      </c>
      <c r="CZ65" s="6">
        <v>584290</v>
      </c>
      <c r="DA65" s="6">
        <v>13390</v>
      </c>
      <c r="DB65" s="6">
        <v>210265</v>
      </c>
      <c r="DC65" s="6"/>
      <c r="DD65" s="189">
        <f t="shared" si="340"/>
        <v>51.144061266496891</v>
      </c>
      <c r="DE65" s="190">
        <f t="shared" si="341"/>
        <v>19.280416633263819</v>
      </c>
      <c r="DF65" s="190">
        <f t="shared" si="342"/>
        <v>21.38843833175379</v>
      </c>
      <c r="DG65" s="190">
        <f t="shared" si="343"/>
        <v>7.696931294094048</v>
      </c>
      <c r="DH65" s="190">
        <f t="shared" si="344"/>
        <v>0.49015247439145504</v>
      </c>
      <c r="DI65" s="190"/>
      <c r="DJ65" s="191">
        <f t="shared" si="20"/>
        <v>48.855938733503116</v>
      </c>
      <c r="DK65" s="382">
        <v>2753579</v>
      </c>
      <c r="DL65" s="6">
        <v>1397736</v>
      </c>
      <c r="DM65" s="6">
        <v>525697</v>
      </c>
      <c r="DN65" s="6">
        <v>597299</v>
      </c>
      <c r="DO65" s="6">
        <v>13285</v>
      </c>
      <c r="DP65" s="6">
        <v>219562</v>
      </c>
      <c r="DQ65" s="6"/>
      <c r="DR65" s="189">
        <f t="shared" si="345"/>
        <v>50.760700891457986</v>
      </c>
      <c r="DS65" s="190">
        <f t="shared" si="346"/>
        <v>19.091407945804349</v>
      </c>
      <c r="DT65" s="190">
        <f t="shared" si="347"/>
        <v>21.691732832070553</v>
      </c>
      <c r="DU65" s="190">
        <f t="shared" si="348"/>
        <v>7.9736953252476139</v>
      </c>
      <c r="DV65" s="190">
        <f t="shared" si="349"/>
        <v>0.48246300541949227</v>
      </c>
      <c r="DW65" s="190"/>
      <c r="DX65" s="191">
        <f t="shared" si="350"/>
        <v>49.239299108542006</v>
      </c>
      <c r="DY65" s="382">
        <v>2734955</v>
      </c>
      <c r="DZ65" s="6">
        <v>1346498</v>
      </c>
      <c r="EA65" s="6">
        <v>519113</v>
      </c>
      <c r="EB65" s="6">
        <v>611873</v>
      </c>
      <c r="EC65" s="6">
        <v>14541</v>
      </c>
      <c r="ED65" s="6">
        <v>226894</v>
      </c>
      <c r="EE65" s="6">
        <v>16036</v>
      </c>
      <c r="EF65" s="189">
        <f t="shared" si="351"/>
        <v>49.232912424518865</v>
      </c>
      <c r="EG65" s="190">
        <f t="shared" si="352"/>
        <v>18.980677927059126</v>
      </c>
      <c r="EH65" s="190">
        <f t="shared" si="353"/>
        <v>22.372324224713022</v>
      </c>
      <c r="EI65" s="190">
        <f t="shared" si="354"/>
        <v>8.2960779976270178</v>
      </c>
      <c r="EJ65" s="190">
        <f t="shared" si="355"/>
        <v>0.53167236755266545</v>
      </c>
      <c r="EK65" s="190"/>
      <c r="EL65" s="191">
        <f t="shared" si="356"/>
        <v>50.180752516951827</v>
      </c>
      <c r="EM65" s="11">
        <v>2704718</v>
      </c>
      <c r="EN65" s="444">
        <f t="shared" si="200"/>
        <v>1304500</v>
      </c>
      <c r="EO65" s="444">
        <f t="shared" si="201"/>
        <v>500175</v>
      </c>
      <c r="EP65" s="444">
        <f t="shared" si="202"/>
        <v>630920</v>
      </c>
      <c r="EQ65" s="444">
        <f t="shared" si="203"/>
        <v>226656.00000000003</v>
      </c>
      <c r="ER65" s="444">
        <f t="shared" si="204"/>
        <v>5214</v>
      </c>
      <c r="ES65" s="444">
        <f t="shared" si="205"/>
        <v>14675</v>
      </c>
      <c r="ET65" s="444">
        <f t="shared" si="206"/>
        <v>22578</v>
      </c>
      <c r="EU65" s="148">
        <v>48.230536418214392</v>
      </c>
      <c r="EV65" s="148">
        <v>18.492685743948169</v>
      </c>
      <c r="EW65" s="148">
        <v>23.326646252955022</v>
      </c>
      <c r="EX65" s="148">
        <v>8.3800233517875071</v>
      </c>
      <c r="EY65" s="148">
        <v>0.19277425594830958</v>
      </c>
      <c r="EZ65" s="148">
        <v>0.54257042693545132</v>
      </c>
      <c r="FA65" s="148">
        <v>0.83476355021114956</v>
      </c>
      <c r="FB65" s="191">
        <f t="shared" si="255"/>
        <v>51.769463581785601</v>
      </c>
      <c r="FC65">
        <v>2710703</v>
      </c>
      <c r="FD65">
        <v>1280689</v>
      </c>
      <c r="FE65" s="11">
        <v>495291</v>
      </c>
      <c r="FF65">
        <v>649568</v>
      </c>
      <c r="FG65">
        <v>230687</v>
      </c>
      <c r="FH65">
        <v>5699</v>
      </c>
      <c r="FI65" s="11">
        <v>15243</v>
      </c>
      <c r="FJ65">
        <v>33526</v>
      </c>
      <c r="FK65" s="189">
        <f t="shared" si="256"/>
        <v>47.245640706488317</v>
      </c>
      <c r="FL65" s="190">
        <f t="shared" si="257"/>
        <v>18.271680814902997</v>
      </c>
      <c r="FM65" s="190">
        <f t="shared" si="258"/>
        <v>23.963082639448142</v>
      </c>
      <c r="FN65" s="190">
        <f t="shared" si="259"/>
        <v>8.5102277896176748</v>
      </c>
      <c r="FO65" s="190">
        <f t="shared" si="260"/>
        <v>0.21024066450658743</v>
      </c>
      <c r="FP65" s="190">
        <f t="shared" si="261"/>
        <v>0.56232645184662433</v>
      </c>
      <c r="FQ65" s="190">
        <f t="shared" si="262"/>
        <v>1.2368009331896559</v>
      </c>
      <c r="FR65" s="199">
        <f t="shared" si="37"/>
        <v>52.754359293511676</v>
      </c>
      <c r="FS65" s="474">
        <v>2732770</v>
      </c>
      <c r="FT65" s="474">
        <v>1269833</v>
      </c>
      <c r="FU65" s="474">
        <v>496248</v>
      </c>
      <c r="FV65" s="474">
        <v>670006</v>
      </c>
      <c r="FW65" s="474">
        <v>240228</v>
      </c>
      <c r="FX65" s="474">
        <v>0</v>
      </c>
      <c r="FY65" s="474">
        <v>15872</v>
      </c>
      <c r="FZ65" s="480">
        <v>40583</v>
      </c>
      <c r="GA65" s="189">
        <f t="shared" si="39"/>
        <v>46.46688158901042</v>
      </c>
      <c r="GB65" s="190">
        <f t="shared" si="40"/>
        <v>18.159157192153017</v>
      </c>
      <c r="GC65" s="190">
        <f t="shared" si="41"/>
        <v>24.517467624425034</v>
      </c>
      <c r="GD65" s="190">
        <f t="shared" si="42"/>
        <v>8.7906409979617752</v>
      </c>
      <c r="GE65" s="190">
        <f t="shared" si="43"/>
        <v>0</v>
      </c>
      <c r="GF65" s="190">
        <f t="shared" si="44"/>
        <v>0.58080262883447931</v>
      </c>
      <c r="GG65" s="190">
        <f t="shared" si="45"/>
        <v>1.4850499676152769</v>
      </c>
      <c r="GH65" s="199">
        <f t="shared" si="46"/>
        <v>53.53311841098958</v>
      </c>
      <c r="GI65" s="474">
        <v>2741185</v>
      </c>
      <c r="GJ65" s="474">
        <v>1245498</v>
      </c>
      <c r="GK65" s="474">
        <v>492373</v>
      </c>
      <c r="GL65" s="474">
        <v>693898</v>
      </c>
      <c r="GM65" s="474">
        <v>244524</v>
      </c>
      <c r="GN65" s="474"/>
      <c r="GO65" s="474">
        <v>17048</v>
      </c>
      <c r="GP65" s="480">
        <v>47844</v>
      </c>
      <c r="GQ65" s="189">
        <f t="shared" si="357"/>
        <v>45.436480937988499</v>
      </c>
      <c r="GR65" s="190">
        <f t="shared" si="358"/>
        <v>17.962049259717968</v>
      </c>
      <c r="GS65" s="190">
        <f t="shared" si="359"/>
        <v>25.313796770374857</v>
      </c>
      <c r="GT65" s="190">
        <f t="shared" si="360"/>
        <v>8.920375676942637</v>
      </c>
      <c r="GU65" s="190">
        <f t="shared" si="361"/>
        <v>0</v>
      </c>
      <c r="GV65" s="190">
        <f t="shared" si="362"/>
        <v>0.62192081161979218</v>
      </c>
      <c r="GW65" s="190">
        <f t="shared" si="363"/>
        <v>1.7453765433562491</v>
      </c>
      <c r="GX65" s="199">
        <f t="shared" si="55"/>
        <v>54.563519062011508</v>
      </c>
    </row>
    <row r="66" spans="1:206" s="11" customFormat="1">
      <c r="A66" s="113" t="s">
        <v>155</v>
      </c>
      <c r="C66" s="1"/>
      <c r="D66" s="1"/>
      <c r="E66" s="1"/>
      <c r="F66" s="1"/>
      <c r="G66" s="1"/>
      <c r="H66" s="52">
        <v>84.414279070529503</v>
      </c>
      <c r="I66" s="45">
        <v>12.551405838619381</v>
      </c>
      <c r="J66" s="45">
        <v>1.7901772154451308</v>
      </c>
      <c r="K66" s="45">
        <v>1.1612079537104838</v>
      </c>
      <c r="L66" s="43">
        <v>8.2929921695500994E-2</v>
      </c>
      <c r="M66" s="264">
        <f t="shared" si="317"/>
        <v>15.585720929470495</v>
      </c>
      <c r="N66" s="66"/>
      <c r="O66" s="1"/>
      <c r="P66" s="1"/>
      <c r="Q66" s="1"/>
      <c r="R66" s="134">
        <v>18.313604007305273</v>
      </c>
      <c r="S66" s="52">
        <v>81.111151883913706</v>
      </c>
      <c r="T66" s="45">
        <v>13.755201876975967</v>
      </c>
      <c r="U66" s="45">
        <v>3.2933084568271447</v>
      </c>
      <c r="V66" s="45">
        <v>1.7438400258703433</v>
      </c>
      <c r="W66" s="45">
        <v>9.6497756412829219E-2</v>
      </c>
      <c r="X66" s="261">
        <f t="shared" si="318"/>
        <v>18.888848116086287</v>
      </c>
      <c r="Y66" s="52">
        <v>80.900000000000006</v>
      </c>
      <c r="Z66" s="45">
        <v>13.9</v>
      </c>
      <c r="AA66" s="45">
        <v>3.4</v>
      </c>
      <c r="AB66" s="45">
        <v>1.7</v>
      </c>
      <c r="AC66" s="45">
        <v>0.1</v>
      </c>
      <c r="AD66" s="261">
        <f t="shared" si="319"/>
        <v>19.100000000000001</v>
      </c>
      <c r="AE66" s="52">
        <v>80.599999999999994</v>
      </c>
      <c r="AF66" s="45">
        <v>14</v>
      </c>
      <c r="AG66" s="45">
        <v>3.5</v>
      </c>
      <c r="AH66" s="45">
        <v>1.8</v>
      </c>
      <c r="AI66" s="45">
        <v>0.1</v>
      </c>
      <c r="AJ66" s="261">
        <f t="shared" si="320"/>
        <v>19.400000000000002</v>
      </c>
      <c r="AK66" s="258">
        <f>100-80.2</f>
        <v>19.799999999999997</v>
      </c>
      <c r="AL66" s="258">
        <f>100-79.7</f>
        <v>20.299999999999997</v>
      </c>
      <c r="AM66" s="258">
        <f>100-79.4</f>
        <v>20.599999999999994</v>
      </c>
      <c r="AN66" s="258">
        <f>100-78.8</f>
        <v>21.200000000000003</v>
      </c>
      <c r="AO66" s="77">
        <v>78.233996266351255</v>
      </c>
      <c r="AP66" s="68">
        <v>15.140568513336468</v>
      </c>
      <c r="AQ66" s="68">
        <v>4.4998349235605142</v>
      </c>
      <c r="AR66" s="68">
        <v>2.002137450525296</v>
      </c>
      <c r="AS66" s="68">
        <v>0.12346284622647385</v>
      </c>
      <c r="AT66" s="261">
        <f t="shared" si="321"/>
        <v>21.766003733648752</v>
      </c>
      <c r="AU66" s="68">
        <v>77.667985817074509</v>
      </c>
      <c r="AV66" s="68">
        <v>15.330031889074986</v>
      </c>
      <c r="AW66" s="68">
        <v>4.7879725102888795</v>
      </c>
      <c r="AX66" s="68">
        <v>2.0830279744426274</v>
      </c>
      <c r="AY66" s="68">
        <v>0.13098180911899088</v>
      </c>
      <c r="AZ66" s="261">
        <f t="shared" si="322"/>
        <v>22.332014182925484</v>
      </c>
      <c r="BA66" s="68">
        <v>77.083380349602891</v>
      </c>
      <c r="BB66" s="68">
        <v>15.469958117448385</v>
      </c>
      <c r="BC66" s="68">
        <v>5.1562490539409174</v>
      </c>
      <c r="BD66" s="68">
        <v>2.1517580598729489</v>
      </c>
      <c r="BE66" s="68">
        <v>0.13865441913486026</v>
      </c>
      <c r="BF66" s="261">
        <f t="shared" si="323"/>
        <v>22.916619650397113</v>
      </c>
      <c r="BG66" s="68">
        <v>76.305524104053163</v>
      </c>
      <c r="BH66" s="68">
        <v>15.761119646640081</v>
      </c>
      <c r="BI66" s="68">
        <v>5.542553974255771</v>
      </c>
      <c r="BJ66" s="68">
        <v>2.2566559737659695</v>
      </c>
      <c r="BK66" s="68">
        <v>0.13414630128501503</v>
      </c>
      <c r="BL66" s="191">
        <f t="shared" si="324"/>
        <v>23.694475895946834</v>
      </c>
      <c r="BM66" s="68">
        <v>75.519791432474022</v>
      </c>
      <c r="BN66" s="68">
        <v>15.975425704109592</v>
      </c>
      <c r="BO66" s="68">
        <v>6.0173766156899369</v>
      </c>
      <c r="BP66" s="68">
        <v>2.3450718209014987</v>
      </c>
      <c r="BQ66" s="68">
        <v>0.14233442682495218</v>
      </c>
      <c r="BR66" s="191">
        <f t="shared" si="325"/>
        <v>24.480208567525981</v>
      </c>
      <c r="BS66" s="77">
        <v>74.754244861483471</v>
      </c>
      <c r="BT66" s="68">
        <v>16.178488477530802</v>
      </c>
      <c r="BU66" s="68">
        <v>6.4389594271867789</v>
      </c>
      <c r="BV66" s="68">
        <v>2.4820231126726404</v>
      </c>
      <c r="BW66" s="68">
        <v>0.14628412112631126</v>
      </c>
      <c r="BX66" s="191">
        <f t="shared" si="326"/>
        <v>25.245755138516529</v>
      </c>
      <c r="BY66" s="38">
        <v>1871060</v>
      </c>
      <c r="BZ66" s="6">
        <v>1395295</v>
      </c>
      <c r="CA66" s="6">
        <v>297007</v>
      </c>
      <c r="CB66" s="6">
        <v>127556</v>
      </c>
      <c r="CC66" s="6">
        <v>48174</v>
      </c>
      <c r="CD66" s="6">
        <v>3028</v>
      </c>
      <c r="CE66" s="83">
        <f t="shared" si="327"/>
        <v>74.572434876487122</v>
      </c>
      <c r="CF66" s="84">
        <f t="shared" si="328"/>
        <v>15.873729329898561</v>
      </c>
      <c r="CG66" s="84">
        <f t="shared" si="329"/>
        <v>6.8173121118510354</v>
      </c>
      <c r="CH66" s="84">
        <f t="shared" si="330"/>
        <v>2.5746902825136555</v>
      </c>
      <c r="CI66" s="84">
        <f t="shared" si="331"/>
        <v>0.1618333992496232</v>
      </c>
      <c r="CJ66" s="191">
        <f t="shared" si="332"/>
        <v>25.427565123512878</v>
      </c>
      <c r="CK66" s="38">
        <v>1793399</v>
      </c>
      <c r="CL66" s="6">
        <v>1326394</v>
      </c>
      <c r="CM66" s="6">
        <v>285219</v>
      </c>
      <c r="CN66" s="6">
        <v>129180</v>
      </c>
      <c r="CO66" s="6">
        <v>49706</v>
      </c>
      <c r="CP66" s="6">
        <v>2900</v>
      </c>
      <c r="CQ66" s="83">
        <f t="shared" si="333"/>
        <v>73.959782513539935</v>
      </c>
      <c r="CR66" s="84">
        <f t="shared" si="334"/>
        <v>15.90382285258328</v>
      </c>
      <c r="CS66" s="84">
        <f t="shared" si="335"/>
        <v>7.2030819689316212</v>
      </c>
      <c r="CT66" s="84">
        <f t="shared" si="336"/>
        <v>2.7716085489062947</v>
      </c>
      <c r="CU66" s="84">
        <f t="shared" si="337"/>
        <v>0.16170411603887366</v>
      </c>
      <c r="CV66" s="191">
        <f t="shared" si="338"/>
        <v>26.040217486460069</v>
      </c>
      <c r="CW66" s="38">
        <f t="shared" si="339"/>
        <v>1759729</v>
      </c>
      <c r="CX66" s="6">
        <v>1295127</v>
      </c>
      <c r="CY66" s="6">
        <v>277404</v>
      </c>
      <c r="CZ66" s="6">
        <v>132762</v>
      </c>
      <c r="DA66" s="6">
        <v>2904</v>
      </c>
      <c r="DB66" s="6">
        <v>51532</v>
      </c>
      <c r="DC66" s="6"/>
      <c r="DD66" s="83">
        <f t="shared" si="340"/>
        <v>73.598093797397212</v>
      </c>
      <c r="DE66" s="84">
        <f t="shared" si="341"/>
        <v>15.76401820962205</v>
      </c>
      <c r="DF66" s="84">
        <f t="shared" si="342"/>
        <v>7.5444571294784604</v>
      </c>
      <c r="DG66" s="84">
        <f t="shared" si="343"/>
        <v>2.9284054533396904</v>
      </c>
      <c r="DH66" s="84">
        <f t="shared" si="344"/>
        <v>0.16502541016258754</v>
      </c>
      <c r="DI66" s="84"/>
      <c r="DJ66" s="191">
        <f t="shared" si="20"/>
        <v>26.401906202602788</v>
      </c>
      <c r="DK66" s="382">
        <v>1764172</v>
      </c>
      <c r="DL66" s="6">
        <v>1288746</v>
      </c>
      <c r="DM66" s="6">
        <v>278935</v>
      </c>
      <c r="DN66" s="6">
        <v>139265</v>
      </c>
      <c r="DO66" s="6">
        <v>2836</v>
      </c>
      <c r="DP66" s="6">
        <v>54390</v>
      </c>
      <c r="DQ66" s="6"/>
      <c r="DR66" s="83">
        <f t="shared" si="345"/>
        <v>73.051040374748041</v>
      </c>
      <c r="DS66" s="84">
        <f t="shared" si="346"/>
        <v>15.811100051468904</v>
      </c>
      <c r="DT66" s="84">
        <f t="shared" si="347"/>
        <v>7.8940715531138679</v>
      </c>
      <c r="DU66" s="84">
        <f t="shared" si="348"/>
        <v>3.0830327201656074</v>
      </c>
      <c r="DV66" s="84">
        <f t="shared" si="349"/>
        <v>0.16075530050357903</v>
      </c>
      <c r="DW66" s="84"/>
      <c r="DX66" s="191">
        <f t="shared" si="350"/>
        <v>26.948959625251959</v>
      </c>
      <c r="DY66" s="382">
        <v>1793284</v>
      </c>
      <c r="DZ66" s="6">
        <v>1276052</v>
      </c>
      <c r="EA66" s="6">
        <v>280981</v>
      </c>
      <c r="EB66" s="6">
        <v>149247</v>
      </c>
      <c r="EC66" s="6">
        <v>2892</v>
      </c>
      <c r="ED66" s="6">
        <v>56914</v>
      </c>
      <c r="EE66" s="6">
        <v>27198</v>
      </c>
      <c r="EF66" s="83">
        <f t="shared" si="351"/>
        <v>71.157273471463526</v>
      </c>
      <c r="EG66" s="84">
        <f t="shared" si="352"/>
        <v>15.66851653168154</v>
      </c>
      <c r="EH66" s="84">
        <f t="shared" si="353"/>
        <v>8.3225523676115998</v>
      </c>
      <c r="EI66" s="84">
        <f t="shared" si="354"/>
        <v>3.1737304297590341</v>
      </c>
      <c r="EJ66" s="84">
        <f t="shared" si="355"/>
        <v>0.16126837689958759</v>
      </c>
      <c r="EK66" s="84"/>
      <c r="EL66" s="191">
        <f t="shared" si="356"/>
        <v>27.326067705951761</v>
      </c>
      <c r="EM66" s="11">
        <v>1771395</v>
      </c>
      <c r="EN66" s="444">
        <f t="shared" si="200"/>
        <v>1251083</v>
      </c>
      <c r="EO66" s="444">
        <f t="shared" si="201"/>
        <v>271598</v>
      </c>
      <c r="EP66" s="444">
        <f t="shared" si="202"/>
        <v>153519.00000000003</v>
      </c>
      <c r="EQ66" s="444">
        <f t="shared" si="203"/>
        <v>57681</v>
      </c>
      <c r="ER66" s="444">
        <f t="shared" si="204"/>
        <v>997</v>
      </c>
      <c r="ES66" s="444">
        <f t="shared" si="205"/>
        <v>2832</v>
      </c>
      <c r="ET66" s="444">
        <f t="shared" si="206"/>
        <v>33685</v>
      </c>
      <c r="EU66" s="148">
        <v>70.626991721214068</v>
      </c>
      <c r="EV66" s="148">
        <v>15.332435735677249</v>
      </c>
      <c r="EW66" s="148">
        <v>8.6665594065693998</v>
      </c>
      <c r="EX66" s="148">
        <v>3.2562471950073246</v>
      </c>
      <c r="EY66" s="148">
        <v>5.6283324724299214E-2</v>
      </c>
      <c r="EZ66" s="148">
        <v>0.15987399761205151</v>
      </c>
      <c r="FA66" s="148">
        <v>1.9016086191956056</v>
      </c>
      <c r="FB66" s="191">
        <f t="shared" si="255"/>
        <v>29.373008278785932</v>
      </c>
      <c r="FC66">
        <v>1763677</v>
      </c>
      <c r="FD66">
        <v>1232905</v>
      </c>
      <c r="FE66" s="11">
        <v>267224</v>
      </c>
      <c r="FF66">
        <v>159737</v>
      </c>
      <c r="FG66">
        <v>59431</v>
      </c>
      <c r="FH66">
        <v>1193</v>
      </c>
      <c r="FI66" s="11">
        <v>2752</v>
      </c>
      <c r="FJ66">
        <v>40435</v>
      </c>
      <c r="FK66" s="189">
        <f t="shared" si="256"/>
        <v>69.905373829788559</v>
      </c>
      <c r="FL66" s="190">
        <f t="shared" si="257"/>
        <v>15.151527178729438</v>
      </c>
      <c r="FM66" s="190">
        <f t="shared" si="258"/>
        <v>9.0570438918237297</v>
      </c>
      <c r="FN66" s="190">
        <f t="shared" si="259"/>
        <v>3.3697213265240742</v>
      </c>
      <c r="FO66" s="190">
        <f t="shared" si="260"/>
        <v>6.7642771323774137E-2</v>
      </c>
      <c r="FP66" s="190">
        <f t="shared" si="261"/>
        <v>0.15603764181309843</v>
      </c>
      <c r="FQ66" s="190">
        <f t="shared" si="262"/>
        <v>2.2926533599973236</v>
      </c>
      <c r="FR66" s="199">
        <f t="shared" si="37"/>
        <v>30.094626170211445</v>
      </c>
      <c r="FS66" s="474">
        <v>1755236</v>
      </c>
      <c r="FT66" s="474">
        <v>1213031</v>
      </c>
      <c r="FU66" s="474">
        <v>264886</v>
      </c>
      <c r="FV66" s="474">
        <v>166332</v>
      </c>
      <c r="FW66" s="474">
        <v>60360</v>
      </c>
      <c r="FX66" s="474">
        <v>1333</v>
      </c>
      <c r="FY66" s="474">
        <v>2621</v>
      </c>
      <c r="FZ66" s="480">
        <v>46673</v>
      </c>
      <c r="GA66" s="189">
        <f t="shared" si="39"/>
        <v>69.109282170602711</v>
      </c>
      <c r="GB66" s="190">
        <f t="shared" si="40"/>
        <v>15.091190016613151</v>
      </c>
      <c r="GC66" s="190">
        <f t="shared" si="41"/>
        <v>9.4763325273638408</v>
      </c>
      <c r="GD66" s="190">
        <f t="shared" si="42"/>
        <v>3.4388538065536487</v>
      </c>
      <c r="GE66" s="190">
        <f t="shared" si="43"/>
        <v>7.5944203514513156E-2</v>
      </c>
      <c r="GF66" s="190">
        <f t="shared" si="44"/>
        <v>0.14932464922095948</v>
      </c>
      <c r="GG66" s="190">
        <f t="shared" si="45"/>
        <v>2.659072626131187</v>
      </c>
      <c r="GH66" s="199">
        <f t="shared" si="46"/>
        <v>30.8907178293973</v>
      </c>
      <c r="GI66" s="474">
        <v>1743160</v>
      </c>
      <c r="GJ66" s="474">
        <v>1189729</v>
      </c>
      <c r="GK66" s="474">
        <v>261133</v>
      </c>
      <c r="GL66" s="474">
        <v>173776</v>
      </c>
      <c r="GM66" s="474">
        <v>61869</v>
      </c>
      <c r="GN66" s="474">
        <v>1375</v>
      </c>
      <c r="GO66" s="474">
        <v>2527</v>
      </c>
      <c r="GP66" s="480">
        <v>52751</v>
      </c>
      <c r="GQ66" s="189">
        <f t="shared" si="357"/>
        <v>68.251279285894583</v>
      </c>
      <c r="GR66" s="190">
        <f t="shared" si="358"/>
        <v>14.980437825558182</v>
      </c>
      <c r="GS66" s="190">
        <f t="shared" si="359"/>
        <v>9.9690217765437481</v>
      </c>
      <c r="GT66" s="190">
        <f t="shared" si="360"/>
        <v>3.5492439018793451</v>
      </c>
      <c r="GU66" s="190">
        <f t="shared" si="361"/>
        <v>7.8879735652493163E-2</v>
      </c>
      <c r="GV66" s="190">
        <f t="shared" si="362"/>
        <v>0.1449666123591638</v>
      </c>
      <c r="GW66" s="190">
        <f t="shared" si="363"/>
        <v>3.0261708621124854</v>
      </c>
      <c r="GX66" s="199">
        <f t="shared" si="55"/>
        <v>31.748720714105417</v>
      </c>
    </row>
    <row r="67" spans="1:206" s="11" customFormat="1">
      <c r="A67" s="113" t="s">
        <v>156</v>
      </c>
      <c r="C67" s="1"/>
      <c r="D67" s="1"/>
      <c r="E67" s="1"/>
      <c r="F67" s="1"/>
      <c r="G67" s="1"/>
      <c r="H67" s="52">
        <v>87.931141204547487</v>
      </c>
      <c r="I67" s="45">
        <v>5.6286494405050931</v>
      </c>
      <c r="J67" s="45">
        <v>3.7393654701889285</v>
      </c>
      <c r="K67" s="45">
        <v>2.3548992771614659</v>
      </c>
      <c r="L67" s="43">
        <v>0.34594460759702611</v>
      </c>
      <c r="M67" s="264">
        <f t="shared" si="317"/>
        <v>12.068858795452513</v>
      </c>
      <c r="N67" s="66"/>
      <c r="O67" s="1"/>
      <c r="P67" s="1"/>
      <c r="Q67" s="1"/>
      <c r="R67" s="134">
        <v>17.98216943212006</v>
      </c>
      <c r="S67" s="52">
        <v>81.086795354073431</v>
      </c>
      <c r="T67" s="45">
        <v>6.8254207968368164</v>
      </c>
      <c r="U67" s="45">
        <v>8.6053982811169991</v>
      </c>
      <c r="V67" s="45">
        <v>3.0986572942694748</v>
      </c>
      <c r="W67" s="45">
        <v>0.38372827370328677</v>
      </c>
      <c r="X67" s="261">
        <f t="shared" si="318"/>
        <v>18.913204645926577</v>
      </c>
      <c r="Y67" s="52">
        <v>79.900000000000006</v>
      </c>
      <c r="Z67" s="45">
        <v>7</v>
      </c>
      <c r="AA67" s="45">
        <v>9.5</v>
      </c>
      <c r="AB67" s="45">
        <v>3.2</v>
      </c>
      <c r="AC67" s="45">
        <v>0.5</v>
      </c>
      <c r="AD67" s="261">
        <f t="shared" si="319"/>
        <v>20.2</v>
      </c>
      <c r="AE67" s="52">
        <v>78.900000000000006</v>
      </c>
      <c r="AF67" s="45">
        <v>7</v>
      </c>
      <c r="AG67" s="45">
        <v>10.3</v>
      </c>
      <c r="AH67" s="45">
        <v>3.3</v>
      </c>
      <c r="AI67" s="45">
        <v>0.5</v>
      </c>
      <c r="AJ67" s="261">
        <f t="shared" si="320"/>
        <v>21.1</v>
      </c>
      <c r="AK67" s="258">
        <f>100-78.3</f>
        <v>21.700000000000003</v>
      </c>
      <c r="AL67" s="258">
        <f>100-77.2</f>
        <v>22.799999999999997</v>
      </c>
      <c r="AM67" s="258">
        <f>100-76.4</f>
        <v>23.599999999999994</v>
      </c>
      <c r="AN67" s="258">
        <f>100-75.5</f>
        <v>24.5</v>
      </c>
      <c r="AO67" s="77">
        <v>74.325535281892883</v>
      </c>
      <c r="AP67" s="68">
        <v>7.8902044525793311</v>
      </c>
      <c r="AQ67" s="68">
        <v>14.025688446554431</v>
      </c>
      <c r="AR67" s="68">
        <v>3.2558612493406294</v>
      </c>
      <c r="AS67" s="68">
        <v>0.50271056963272254</v>
      </c>
      <c r="AT67" s="261">
        <f t="shared" si="321"/>
        <v>25.674464718107114</v>
      </c>
      <c r="AU67" s="68">
        <v>73.353960239423969</v>
      </c>
      <c r="AV67" s="68">
        <v>8.0875188236336264</v>
      </c>
      <c r="AW67" s="68">
        <v>14.765321488680511</v>
      </c>
      <c r="AX67" s="68">
        <v>3.2256431671791757</v>
      </c>
      <c r="AY67" s="68">
        <v>0.56755628108272282</v>
      </c>
      <c r="AZ67" s="261">
        <f t="shared" si="322"/>
        <v>26.646039760576034</v>
      </c>
      <c r="BA67" s="68">
        <v>72.184290694387741</v>
      </c>
      <c r="BB67" s="68">
        <v>8.3741088533651578</v>
      </c>
      <c r="BC67" s="68">
        <v>15.635815458057223</v>
      </c>
      <c r="BD67" s="68">
        <v>3.2637165918155837</v>
      </c>
      <c r="BE67" s="68">
        <v>0.54206840237429732</v>
      </c>
      <c r="BF67" s="261">
        <f t="shared" si="323"/>
        <v>27.815709305612263</v>
      </c>
      <c r="BG67" s="68">
        <v>71.244380086377518</v>
      </c>
      <c r="BH67" s="68">
        <v>8.5359453153158853</v>
      </c>
      <c r="BI67" s="68">
        <v>16.418684355298684</v>
      </c>
      <c r="BJ67" s="68">
        <v>3.2129148934824809</v>
      </c>
      <c r="BK67" s="68">
        <v>0.5880753495254295</v>
      </c>
      <c r="BL67" s="191">
        <f t="shared" si="324"/>
        <v>28.755619913622478</v>
      </c>
      <c r="BM67" s="68">
        <v>70.87082097944996</v>
      </c>
      <c r="BN67" s="68">
        <v>8.5791330129843573</v>
      </c>
      <c r="BO67" s="68">
        <v>16.7640067477763</v>
      </c>
      <c r="BP67" s="68">
        <v>3.1930528575810246</v>
      </c>
      <c r="BQ67" s="68">
        <v>0.59298640220836318</v>
      </c>
      <c r="BR67" s="191">
        <f t="shared" si="325"/>
        <v>29.129179020550044</v>
      </c>
      <c r="BS67" s="77">
        <v>70.379736934729038</v>
      </c>
      <c r="BT67" s="68">
        <v>8.5789521711358212</v>
      </c>
      <c r="BU67" s="68">
        <v>17.31107663829177</v>
      </c>
      <c r="BV67" s="68">
        <v>3.084955221545802</v>
      </c>
      <c r="BW67" s="68">
        <v>0.6452790342975584</v>
      </c>
      <c r="BX67" s="191">
        <f t="shared" si="326"/>
        <v>29.620263065270951</v>
      </c>
      <c r="BY67" s="38">
        <v>151612</v>
      </c>
      <c r="BZ67" s="6">
        <v>105352</v>
      </c>
      <c r="CA67" s="6">
        <v>13321</v>
      </c>
      <c r="CB67" s="6">
        <v>27238</v>
      </c>
      <c r="CC67" s="6">
        <v>4666</v>
      </c>
      <c r="CD67" s="6">
        <v>1035</v>
      </c>
      <c r="CE67" s="83">
        <f t="shared" si="327"/>
        <v>69.487903332190058</v>
      </c>
      <c r="CF67" s="84">
        <f t="shared" si="328"/>
        <v>8.7862438329419845</v>
      </c>
      <c r="CG67" s="84">
        <f t="shared" si="329"/>
        <v>17.96559639078701</v>
      </c>
      <c r="CH67" s="84">
        <f t="shared" si="330"/>
        <v>3.0775928026805266</v>
      </c>
      <c r="CI67" s="84">
        <f t="shared" si="331"/>
        <v>0.6826636414004168</v>
      </c>
      <c r="CJ67" s="191">
        <f t="shared" si="332"/>
        <v>30.512096667809939</v>
      </c>
      <c r="CK67" s="38">
        <v>147629</v>
      </c>
      <c r="CL67" s="6">
        <v>101818</v>
      </c>
      <c r="CM67" s="6">
        <v>13183</v>
      </c>
      <c r="CN67" s="6">
        <v>27062</v>
      </c>
      <c r="CO67" s="6">
        <v>4539</v>
      </c>
      <c r="CP67" s="6">
        <v>1027</v>
      </c>
      <c r="CQ67" s="83">
        <f t="shared" si="333"/>
        <v>68.968834036673016</v>
      </c>
      <c r="CR67" s="84">
        <f t="shared" si="334"/>
        <v>8.9298173123166862</v>
      </c>
      <c r="CS67" s="84">
        <f t="shared" si="335"/>
        <v>18.331086710605639</v>
      </c>
      <c r="CT67" s="84">
        <f t="shared" si="336"/>
        <v>3.0745991641208703</v>
      </c>
      <c r="CU67" s="84">
        <f t="shared" si="337"/>
        <v>0.69566277628379247</v>
      </c>
      <c r="CV67" s="191">
        <f t="shared" si="338"/>
        <v>31.031165963326988</v>
      </c>
      <c r="CW67" s="38">
        <f t="shared" si="339"/>
        <v>145342</v>
      </c>
      <c r="CX67" s="6">
        <v>99663</v>
      </c>
      <c r="CY67" s="6">
        <v>13098</v>
      </c>
      <c r="CZ67" s="6">
        <v>26902</v>
      </c>
      <c r="DA67" s="6">
        <v>1055</v>
      </c>
      <c r="DB67" s="6">
        <v>4624</v>
      </c>
      <c r="DC67" s="6"/>
      <c r="DD67" s="83">
        <f t="shared" si="340"/>
        <v>68.571369597225853</v>
      </c>
      <c r="DE67" s="84">
        <f t="shared" si="341"/>
        <v>9.0118479173260315</v>
      </c>
      <c r="DF67" s="84">
        <f t="shared" si="342"/>
        <v>18.509446684372033</v>
      </c>
      <c r="DG67" s="84">
        <f t="shared" si="343"/>
        <v>3.181461655956296</v>
      </c>
      <c r="DH67" s="84">
        <f t="shared" si="344"/>
        <v>0.72587414511978643</v>
      </c>
      <c r="DI67" s="84"/>
      <c r="DJ67" s="191">
        <f t="shared" si="20"/>
        <v>31.42863040277415</v>
      </c>
      <c r="DK67" s="382">
        <v>145118</v>
      </c>
      <c r="DL67" s="6">
        <v>98715</v>
      </c>
      <c r="DM67" s="6">
        <v>13367</v>
      </c>
      <c r="DN67" s="6">
        <v>26921</v>
      </c>
      <c r="DO67" s="6">
        <v>1237</v>
      </c>
      <c r="DP67" s="6">
        <v>4878</v>
      </c>
      <c r="DQ67" s="6"/>
      <c r="DR67" s="83">
        <f t="shared" si="345"/>
        <v>68.023952921071128</v>
      </c>
      <c r="DS67" s="84">
        <f t="shared" si="346"/>
        <v>9.2111247398668681</v>
      </c>
      <c r="DT67" s="84">
        <f t="shared" si="347"/>
        <v>18.551110131065755</v>
      </c>
      <c r="DU67" s="84">
        <f t="shared" si="348"/>
        <v>3.3614024449069033</v>
      </c>
      <c r="DV67" s="84">
        <f t="shared" si="349"/>
        <v>0.8524097630893479</v>
      </c>
      <c r="DW67" s="84"/>
      <c r="DX67" s="191">
        <f t="shared" si="350"/>
        <v>31.976047078928875</v>
      </c>
      <c r="DY67" s="382">
        <v>143793</v>
      </c>
      <c r="DZ67" s="6">
        <v>93683</v>
      </c>
      <c r="EA67" s="6">
        <v>11457</v>
      </c>
      <c r="EB67" s="6">
        <v>29917</v>
      </c>
      <c r="EC67" s="6">
        <v>951</v>
      </c>
      <c r="ED67" s="6">
        <v>4368</v>
      </c>
      <c r="EE67" s="6">
        <v>3417</v>
      </c>
      <c r="EF67" s="83">
        <f t="shared" si="351"/>
        <v>65.151293873832529</v>
      </c>
      <c r="EG67" s="84">
        <f t="shared" si="352"/>
        <v>7.967703573887464</v>
      </c>
      <c r="EH67" s="84">
        <f t="shared" si="353"/>
        <v>20.80560249803537</v>
      </c>
      <c r="EI67" s="84">
        <f t="shared" si="354"/>
        <v>3.0377000271223213</v>
      </c>
      <c r="EJ67" s="84">
        <f t="shared" si="355"/>
        <v>0.6613673822786923</v>
      </c>
      <c r="EK67" s="84"/>
      <c r="EL67" s="191">
        <f t="shared" si="356"/>
        <v>32.472373481323842</v>
      </c>
      <c r="EM67" s="11">
        <v>142854</v>
      </c>
      <c r="EN67" s="444">
        <f t="shared" si="200"/>
        <v>91400</v>
      </c>
      <c r="EO67" s="444">
        <f t="shared" si="201"/>
        <v>11597</v>
      </c>
      <c r="EP67" s="444">
        <f t="shared" si="202"/>
        <v>30816.000000000004</v>
      </c>
      <c r="EQ67" s="444">
        <f t="shared" si="203"/>
        <v>4122.9999999999991</v>
      </c>
      <c r="ER67" s="444">
        <f t="shared" si="204"/>
        <v>216</v>
      </c>
      <c r="ES67" s="444">
        <f t="shared" si="205"/>
        <v>913.00000000000011</v>
      </c>
      <c r="ET67" s="444">
        <f t="shared" si="206"/>
        <v>3789</v>
      </c>
      <c r="EU67" s="148">
        <v>63.981407590966995</v>
      </c>
      <c r="EV67" s="148">
        <v>8.1180785977291503</v>
      </c>
      <c r="EW67" s="148">
        <v>21.571674576840692</v>
      </c>
      <c r="EX67" s="148">
        <v>2.8861634955969029</v>
      </c>
      <c r="EY67" s="148">
        <v>0.15120332647318241</v>
      </c>
      <c r="EZ67" s="148">
        <v>0.63911406050933128</v>
      </c>
      <c r="FA67" s="148">
        <v>2.6523583518837412</v>
      </c>
      <c r="FB67" s="191">
        <f t="shared" si="255"/>
        <v>36.018592409032998</v>
      </c>
      <c r="FC67">
        <v>142481</v>
      </c>
      <c r="FD67">
        <v>89511</v>
      </c>
      <c r="FE67" s="11">
        <v>11692</v>
      </c>
      <c r="FF67">
        <v>31887</v>
      </c>
      <c r="FG67">
        <v>4131</v>
      </c>
      <c r="FH67">
        <v>243</v>
      </c>
      <c r="FI67" s="11">
        <v>914</v>
      </c>
      <c r="FJ67">
        <v>4103</v>
      </c>
      <c r="FK67" s="189">
        <f t="shared" si="256"/>
        <v>62.823113257206217</v>
      </c>
      <c r="FL67" s="190">
        <f t="shared" si="257"/>
        <v>8.2060064148904051</v>
      </c>
      <c r="FM67" s="190">
        <f t="shared" si="258"/>
        <v>22.3798260820741</v>
      </c>
      <c r="FN67" s="190">
        <f t="shared" si="259"/>
        <v>2.899333946280557</v>
      </c>
      <c r="FO67" s="190">
        <f t="shared" si="260"/>
        <v>0.17054905566356215</v>
      </c>
      <c r="FP67" s="190">
        <f t="shared" si="261"/>
        <v>0.64148904064401568</v>
      </c>
      <c r="FQ67" s="190">
        <f t="shared" si="262"/>
        <v>2.879682203241134</v>
      </c>
      <c r="FR67" s="199">
        <f t="shared" si="37"/>
        <v>37.176886742793776</v>
      </c>
      <c r="FS67" s="474">
        <v>142008</v>
      </c>
      <c r="FT67" s="474">
        <v>87354</v>
      </c>
      <c r="FU67" s="474">
        <v>11493</v>
      </c>
      <c r="FV67" s="474">
        <v>33240</v>
      </c>
      <c r="FW67" s="474">
        <v>4176</v>
      </c>
      <c r="FX67" s="474">
        <v>241</v>
      </c>
      <c r="FY67" s="474">
        <v>932</v>
      </c>
      <c r="FZ67" s="480">
        <v>4572</v>
      </c>
      <c r="GA67" s="189">
        <f t="shared" si="39"/>
        <v>61.513435862768297</v>
      </c>
      <c r="GB67" s="190">
        <f t="shared" si="40"/>
        <v>8.0932060165624478</v>
      </c>
      <c r="GC67" s="190">
        <f t="shared" si="41"/>
        <v>23.407131992563798</v>
      </c>
      <c r="GD67" s="190">
        <f t="shared" si="42"/>
        <v>2.9406793983437556</v>
      </c>
      <c r="GE67" s="190">
        <f t="shared" si="43"/>
        <v>0.16970874880288433</v>
      </c>
      <c r="GF67" s="190">
        <f t="shared" si="44"/>
        <v>0.65630105346177681</v>
      </c>
      <c r="GG67" s="190">
        <f t="shared" si="45"/>
        <v>3.2195369274970425</v>
      </c>
      <c r="GH67" s="199">
        <f t="shared" si="46"/>
        <v>38.486564137231696</v>
      </c>
      <c r="GI67" s="474">
        <v>141959</v>
      </c>
      <c r="GJ67" s="474">
        <v>86164</v>
      </c>
      <c r="GK67" s="474">
        <v>11460</v>
      </c>
      <c r="GL67" s="474">
        <v>33569</v>
      </c>
      <c r="GM67" s="474">
        <v>4513</v>
      </c>
      <c r="GN67" s="474">
        <v>236</v>
      </c>
      <c r="GO67" s="474">
        <v>1006</v>
      </c>
      <c r="GP67" s="480">
        <v>5011</v>
      </c>
      <c r="GQ67" s="189">
        <f t="shared" si="357"/>
        <v>60.696398255834424</v>
      </c>
      <c r="GR67" s="190">
        <f t="shared" si="358"/>
        <v>8.0727534006297592</v>
      </c>
      <c r="GS67" s="190">
        <f t="shared" si="359"/>
        <v>23.646968490902303</v>
      </c>
      <c r="GT67" s="190">
        <f t="shared" si="360"/>
        <v>3.1790869194626619</v>
      </c>
      <c r="GU67" s="190">
        <f t="shared" si="361"/>
        <v>0.16624518346846626</v>
      </c>
      <c r="GV67" s="190">
        <f t="shared" si="362"/>
        <v>0.70865531597151288</v>
      </c>
      <c r="GW67" s="190">
        <f t="shared" si="363"/>
        <v>3.5298924337308661</v>
      </c>
      <c r="GX67" s="199">
        <f t="shared" si="55"/>
        <v>39.303601744165569</v>
      </c>
    </row>
    <row r="68" spans="1:206" s="11" customFormat="1">
      <c r="A68" s="114" t="s">
        <v>159</v>
      </c>
      <c r="B68" s="14"/>
      <c r="C68" s="14"/>
      <c r="D68" s="14"/>
      <c r="E68" s="14"/>
      <c r="F68" s="14"/>
      <c r="G68" s="14"/>
      <c r="H68" s="53">
        <v>98.35549106500909</v>
      </c>
      <c r="I68" s="46">
        <v>0.31635227525262427</v>
      </c>
      <c r="J68" s="46">
        <v>0.19347163941069584</v>
      </c>
      <c r="K68" s="46">
        <v>0.56995699177745529</v>
      </c>
      <c r="L68" s="44">
        <v>0.56472802855013926</v>
      </c>
      <c r="M68" s="263">
        <f t="shared" si="317"/>
        <v>1.6445089349909146</v>
      </c>
      <c r="N68" s="81"/>
      <c r="O68" s="14"/>
      <c r="P68" s="14"/>
      <c r="Q68" s="14"/>
      <c r="R68" s="135">
        <v>2.2545100347003739</v>
      </c>
      <c r="S68" s="53">
        <v>97.497931974113186</v>
      </c>
      <c r="T68" s="46">
        <v>0.70458858449710482</v>
      </c>
      <c r="U68" s="46">
        <v>0.3153131234489806</v>
      </c>
      <c r="V68" s="46">
        <v>0.86516471217945612</v>
      </c>
      <c r="W68" s="46">
        <v>0.61700160576127683</v>
      </c>
      <c r="X68" s="262">
        <f t="shared" si="318"/>
        <v>2.5020680258868184</v>
      </c>
      <c r="Y68" s="53">
        <v>97.5</v>
      </c>
      <c r="Z68" s="46">
        <v>0.7</v>
      </c>
      <c r="AA68" s="46">
        <v>0.3</v>
      </c>
      <c r="AB68" s="46">
        <v>0.9</v>
      </c>
      <c r="AC68" s="46">
        <v>0.5</v>
      </c>
      <c r="AD68" s="262">
        <f t="shared" si="319"/>
        <v>2.4</v>
      </c>
      <c r="AE68" s="53">
        <v>97.3</v>
      </c>
      <c r="AF68" s="46">
        <v>0.7</v>
      </c>
      <c r="AG68" s="46">
        <v>0.4</v>
      </c>
      <c r="AH68" s="46">
        <v>1</v>
      </c>
      <c r="AI68" s="46">
        <v>0.6</v>
      </c>
      <c r="AJ68" s="262">
        <f t="shared" si="320"/>
        <v>2.7</v>
      </c>
      <c r="AK68" s="256">
        <f>100-97.3</f>
        <v>2.7000000000000028</v>
      </c>
      <c r="AL68" s="256">
        <f>100-97.1</f>
        <v>2.9000000000000057</v>
      </c>
      <c r="AM68" s="256">
        <f>100-97.1</f>
        <v>2.9000000000000057</v>
      </c>
      <c r="AN68" s="256">
        <f>100-96.8</f>
        <v>3.2000000000000028</v>
      </c>
      <c r="AO68" s="78">
        <v>96.339013611108385</v>
      </c>
      <c r="AP68" s="79">
        <v>1.0945722153083324</v>
      </c>
      <c r="AQ68" s="79">
        <v>0.58403316054052468</v>
      </c>
      <c r="AR68" s="79">
        <v>1.4169663592979842</v>
      </c>
      <c r="AS68" s="79">
        <v>0.56541465374476962</v>
      </c>
      <c r="AT68" s="262">
        <f t="shared" si="321"/>
        <v>3.6609863888916108</v>
      </c>
      <c r="AU68" s="79">
        <v>95.79062849010171</v>
      </c>
      <c r="AV68" s="79">
        <v>1.1524130501388627</v>
      </c>
      <c r="AW68" s="79">
        <v>1.0011959003350497</v>
      </c>
      <c r="AX68" s="79">
        <v>1.5062414137320985</v>
      </c>
      <c r="AY68" s="79">
        <v>0.54952114569228794</v>
      </c>
      <c r="AZ68" s="262">
        <f t="shared" si="322"/>
        <v>4.2093715098982987</v>
      </c>
      <c r="BA68" s="79">
        <v>95.829082398127582</v>
      </c>
      <c r="BB68" s="79">
        <v>1.2682790213847046</v>
      </c>
      <c r="BC68" s="79">
        <v>0.74816459621116649</v>
      </c>
      <c r="BD68" s="79">
        <v>1.5783472363920064</v>
      </c>
      <c r="BE68" s="79">
        <v>0.57612674788453455</v>
      </c>
      <c r="BF68" s="262">
        <f t="shared" si="323"/>
        <v>4.1709176018724117</v>
      </c>
      <c r="BG68" s="79">
        <v>95.855331826795435</v>
      </c>
      <c r="BH68" s="79">
        <v>1.2373202541522683</v>
      </c>
      <c r="BI68" s="79">
        <v>0.82893363464091374</v>
      </c>
      <c r="BJ68" s="79">
        <v>1.5068756903557929</v>
      </c>
      <c r="BK68" s="79">
        <v>0.57153859405559326</v>
      </c>
      <c r="BL68" s="194">
        <f t="shared" si="324"/>
        <v>4.1446681732045683</v>
      </c>
      <c r="BM68" s="79">
        <v>95.775886756944729</v>
      </c>
      <c r="BN68" s="79">
        <v>1.3582620791228572</v>
      </c>
      <c r="BO68" s="79">
        <v>0.8816430061776378</v>
      </c>
      <c r="BP68" s="79">
        <v>1.5167941742012028</v>
      </c>
      <c r="BQ68" s="79">
        <v>0.46741398355357361</v>
      </c>
      <c r="BR68" s="194">
        <f t="shared" si="325"/>
        <v>4.224113243055271</v>
      </c>
      <c r="BS68" s="78">
        <v>95.518774394189222</v>
      </c>
      <c r="BT68" s="79">
        <v>1.4860887896307737</v>
      </c>
      <c r="BU68" s="79">
        <v>0.99872680595270402</v>
      </c>
      <c r="BV68" s="79">
        <v>1.5612281104548016</v>
      </c>
      <c r="BW68" s="79">
        <v>0.43518189977249483</v>
      </c>
      <c r="BX68" s="194">
        <f t="shared" si="326"/>
        <v>4.4812256058107742</v>
      </c>
      <c r="BY68" s="73">
        <v>94444</v>
      </c>
      <c r="BZ68" s="12">
        <v>89993</v>
      </c>
      <c r="CA68" s="12">
        <v>1532</v>
      </c>
      <c r="CB68" s="80">
        <v>986</v>
      </c>
      <c r="CC68" s="12">
        <v>1536</v>
      </c>
      <c r="CD68" s="80">
        <v>397</v>
      </c>
      <c r="CE68" s="85">
        <f t="shared" si="327"/>
        <v>95.287154292490783</v>
      </c>
      <c r="CF68" s="86">
        <f t="shared" si="328"/>
        <v>1.6221252805895556</v>
      </c>
      <c r="CG68" s="86">
        <f t="shared" si="329"/>
        <v>1.0440049129642963</v>
      </c>
      <c r="CH68" s="86">
        <f t="shared" si="330"/>
        <v>1.6263605946380926</v>
      </c>
      <c r="CI68" s="86">
        <f t="shared" si="331"/>
        <v>0.42035491931726743</v>
      </c>
      <c r="CJ68" s="194">
        <f t="shared" si="332"/>
        <v>4.7128457075092118</v>
      </c>
      <c r="CK68" s="73">
        <v>92809</v>
      </c>
      <c r="CL68" s="12">
        <v>88358</v>
      </c>
      <c r="CM68" s="12">
        <v>1546</v>
      </c>
      <c r="CN68" s="80">
        <v>1018</v>
      </c>
      <c r="CO68" s="12">
        <v>1610</v>
      </c>
      <c r="CP68" s="80">
        <v>277</v>
      </c>
      <c r="CQ68" s="85">
        <f t="shared" si="333"/>
        <v>95.204128909911759</v>
      </c>
      <c r="CR68" s="86">
        <f t="shared" si="334"/>
        <v>1.6657867232703725</v>
      </c>
      <c r="CS68" s="86">
        <f t="shared" si="335"/>
        <v>1.0968763805234407</v>
      </c>
      <c r="CT68" s="86">
        <f t="shared" si="336"/>
        <v>1.7347455526942432</v>
      </c>
      <c r="CU68" s="86">
        <f t="shared" si="337"/>
        <v>0.29846243360018965</v>
      </c>
      <c r="CV68" s="194">
        <f t="shared" si="338"/>
        <v>4.7958710900882462</v>
      </c>
      <c r="CW68" s="73">
        <f t="shared" si="339"/>
        <v>92446</v>
      </c>
      <c r="CX68" s="12">
        <v>86627</v>
      </c>
      <c r="CY68" s="12">
        <v>1577</v>
      </c>
      <c r="CZ68" s="80">
        <v>1038</v>
      </c>
      <c r="DA68" s="12">
        <v>228</v>
      </c>
      <c r="DB68" s="12">
        <v>1568</v>
      </c>
      <c r="DC68" s="12">
        <v>1408</v>
      </c>
      <c r="DD68" s="85">
        <f t="shared" si="340"/>
        <v>93.705514570668285</v>
      </c>
      <c r="DE68" s="86">
        <f t="shared" si="341"/>
        <v>1.7058607186898298</v>
      </c>
      <c r="DF68" s="86">
        <f t="shared" si="342"/>
        <v>1.1228176448953984</v>
      </c>
      <c r="DG68" s="86">
        <f t="shared" si="343"/>
        <v>1.6961253055838004</v>
      </c>
      <c r="DH68" s="86">
        <f t="shared" si="344"/>
        <v>0.24663046535274646</v>
      </c>
      <c r="DI68" s="86">
        <f>(DC68/CW68)*100</f>
        <v>1.5230512948099431</v>
      </c>
      <c r="DJ68" s="194">
        <f t="shared" si="20"/>
        <v>6.2944854293317176</v>
      </c>
      <c r="DK68" s="383">
        <v>92431</v>
      </c>
      <c r="DL68" s="12">
        <v>86423</v>
      </c>
      <c r="DM68" s="12">
        <v>1687</v>
      </c>
      <c r="DN68" s="80">
        <v>1139</v>
      </c>
      <c r="DO68" s="12">
        <v>189</v>
      </c>
      <c r="DP68" s="12">
        <v>1442</v>
      </c>
      <c r="DQ68" s="12">
        <v>1551</v>
      </c>
      <c r="DR68" s="85">
        <f t="shared" si="345"/>
        <v>93.50001622832167</v>
      </c>
      <c r="DS68" s="86">
        <f t="shared" si="346"/>
        <v>1.8251452434789195</v>
      </c>
      <c r="DT68" s="86">
        <f t="shared" si="347"/>
        <v>1.2322705585788316</v>
      </c>
      <c r="DU68" s="86">
        <f t="shared" si="348"/>
        <v>1.5600826562516905</v>
      </c>
      <c r="DV68" s="86">
        <f t="shared" si="349"/>
        <v>0.20447685300386234</v>
      </c>
      <c r="DW68" s="86">
        <f>(DQ68/DK68)*100</f>
        <v>1.6780084603650289</v>
      </c>
      <c r="DX68" s="194">
        <f t="shared" si="350"/>
        <v>6.4999837716783331</v>
      </c>
      <c r="DY68" s="383">
        <v>96858</v>
      </c>
      <c r="DZ68" s="12">
        <v>89899</v>
      </c>
      <c r="EA68" s="12">
        <v>1787</v>
      </c>
      <c r="EB68" s="80">
        <v>1307</v>
      </c>
      <c r="EC68" s="12">
        <v>268</v>
      </c>
      <c r="ED68" s="12">
        <v>1563</v>
      </c>
      <c r="EE68" s="12">
        <v>2034</v>
      </c>
      <c r="EF68" s="85">
        <f t="shared" si="351"/>
        <v>92.815255322224289</v>
      </c>
      <c r="EG68" s="86">
        <f t="shared" si="352"/>
        <v>1.8449689235788473</v>
      </c>
      <c r="EH68" s="86">
        <f t="shared" si="353"/>
        <v>1.3493980879225258</v>
      </c>
      <c r="EI68" s="86">
        <f t="shared" si="354"/>
        <v>1.6137025336058972</v>
      </c>
      <c r="EJ68" s="86">
        <f t="shared" si="355"/>
        <v>0.27669371657477959</v>
      </c>
      <c r="EK68" s="86">
        <f>(EE68/DY68)*100</f>
        <v>2.0999814160936627</v>
      </c>
      <c r="EL68" s="194">
        <f t="shared" si="356"/>
        <v>7.1847446777757131</v>
      </c>
      <c r="EM68" s="14">
        <v>89908</v>
      </c>
      <c r="EN68" s="445">
        <f t="shared" si="200"/>
        <v>83130.893826387415</v>
      </c>
      <c r="EO68" s="445">
        <f t="shared" si="201"/>
        <v>1731.2233839134956</v>
      </c>
      <c r="EP68" s="445">
        <f t="shared" si="202"/>
        <v>1257.7006116584107</v>
      </c>
      <c r="EQ68" s="445">
        <f t="shared" si="203"/>
        <v>1523.1146496103056</v>
      </c>
      <c r="ER68" s="445">
        <f t="shared" si="204"/>
        <v>63.337440874883988</v>
      </c>
      <c r="ES68" s="445">
        <f t="shared" si="205"/>
        <v>316.68720437441993</v>
      </c>
      <c r="ET68" s="445">
        <f t="shared" si="206"/>
        <v>1885.0428831810711</v>
      </c>
      <c r="EU68" s="79">
        <v>92.462176698833716</v>
      </c>
      <c r="EV68" s="79">
        <v>1.9255498775564972</v>
      </c>
      <c r="EW68" s="79">
        <v>1.3988750852631697</v>
      </c>
      <c r="EX68" s="79">
        <v>1.6940813382683471</v>
      </c>
      <c r="EY68" s="79">
        <v>7.0446946739871855E-2</v>
      </c>
      <c r="EZ68" s="79">
        <v>0.35223473369935926</v>
      </c>
      <c r="FA68" s="79">
        <v>2.0966353196390433</v>
      </c>
      <c r="FB68" s="191">
        <f t="shared" si="255"/>
        <v>7.5378233011662887</v>
      </c>
      <c r="FC68">
        <v>89624</v>
      </c>
      <c r="FD68">
        <v>82401</v>
      </c>
      <c r="FE68" s="11">
        <v>1759</v>
      </c>
      <c r="FF68">
        <v>1373</v>
      </c>
      <c r="FG68">
        <v>1603</v>
      </c>
      <c r="FH68">
        <v>65</v>
      </c>
      <c r="FI68" s="11">
        <v>257</v>
      </c>
      <c r="FJ68">
        <v>2166</v>
      </c>
      <c r="FK68" s="189">
        <f t="shared" si="256"/>
        <v>91.9407747924663</v>
      </c>
      <c r="FL68" s="190">
        <f t="shared" si="257"/>
        <v>1.9626439346603588</v>
      </c>
      <c r="FM68" s="190">
        <f t="shared" si="258"/>
        <v>1.5319557261447827</v>
      </c>
      <c r="FN68" s="190">
        <f t="shared" si="259"/>
        <v>1.7885834151566544</v>
      </c>
      <c r="FO68" s="190">
        <f t="shared" si="260"/>
        <v>7.2525216459876821E-2</v>
      </c>
      <c r="FP68" s="190">
        <f t="shared" si="261"/>
        <v>0.28675354815674375</v>
      </c>
      <c r="FQ68" s="190">
        <f t="shared" si="262"/>
        <v>2.4167633669552799</v>
      </c>
      <c r="FR68" s="199">
        <f t="shared" si="37"/>
        <v>8.0592252075336965</v>
      </c>
      <c r="FS68" s="474">
        <v>88690</v>
      </c>
      <c r="FT68" s="474">
        <v>81259</v>
      </c>
      <c r="FU68" s="474">
        <v>1697</v>
      </c>
      <c r="FV68" s="474">
        <v>1424</v>
      </c>
      <c r="FW68" s="474">
        <v>1687</v>
      </c>
      <c r="FX68" s="474">
        <v>55</v>
      </c>
      <c r="FY68" s="474">
        <v>249</v>
      </c>
      <c r="FZ68" s="480">
        <v>2319</v>
      </c>
      <c r="GA68" s="189">
        <f t="shared" si="39"/>
        <v>91.621377832901118</v>
      </c>
      <c r="GB68" s="190">
        <f t="shared" si="40"/>
        <v>1.9134062464764912</v>
      </c>
      <c r="GC68" s="190">
        <f t="shared" si="41"/>
        <v>1.6055925132483932</v>
      </c>
      <c r="GD68" s="190">
        <f t="shared" si="42"/>
        <v>1.9021310181531175</v>
      </c>
      <c r="GE68" s="190">
        <f t="shared" si="43"/>
        <v>6.2013755778554516E-2</v>
      </c>
      <c r="GF68" s="190">
        <f t="shared" si="44"/>
        <v>0.28075318525200138</v>
      </c>
      <c r="GG68" s="190">
        <f t="shared" si="45"/>
        <v>2.6147254481903257</v>
      </c>
      <c r="GH68" s="199">
        <f t="shared" si="46"/>
        <v>8.3786221670988841</v>
      </c>
      <c r="GI68" s="474">
        <v>87311</v>
      </c>
      <c r="GJ68" s="474">
        <v>79697</v>
      </c>
      <c r="GK68" s="474">
        <v>1721</v>
      </c>
      <c r="GL68" s="474">
        <v>1465</v>
      </c>
      <c r="GM68" s="474">
        <v>1688</v>
      </c>
      <c r="GN68" s="474">
        <v>48</v>
      </c>
      <c r="GO68" s="474">
        <v>222</v>
      </c>
      <c r="GP68" s="480">
        <v>2470</v>
      </c>
      <c r="GQ68" s="189">
        <f t="shared" si="357"/>
        <v>91.27944932482734</v>
      </c>
      <c r="GR68" s="190">
        <f t="shared" si="358"/>
        <v>1.9711147507186955</v>
      </c>
      <c r="GS68" s="190">
        <f t="shared" si="359"/>
        <v>1.6779099998854667</v>
      </c>
      <c r="GT68" s="190">
        <f t="shared" si="360"/>
        <v>1.9333188258065994</v>
      </c>
      <c r="GU68" s="190">
        <f t="shared" si="361"/>
        <v>5.4975890781230309E-2</v>
      </c>
      <c r="GV68" s="190">
        <f t="shared" si="362"/>
        <v>0.25426349486319022</v>
      </c>
      <c r="GW68" s="190">
        <f t="shared" si="363"/>
        <v>2.8289677131174766</v>
      </c>
      <c r="GX68" s="199">
        <f t="shared" si="55"/>
        <v>8.7205506751726585</v>
      </c>
    </row>
    <row r="69" spans="1:206" s="11" customFormat="1">
      <c r="A69" s="202" t="s">
        <v>171</v>
      </c>
      <c r="B69" s="14"/>
      <c r="C69" s="14"/>
      <c r="D69" s="14"/>
      <c r="E69" s="14"/>
      <c r="F69" s="14"/>
      <c r="G69" s="14"/>
      <c r="H69" s="53">
        <v>4.0383164005805519</v>
      </c>
      <c r="I69" s="46">
        <v>91.107111756168365</v>
      </c>
      <c r="J69" s="46">
        <v>3.8548621190130623</v>
      </c>
      <c r="K69" s="46">
        <v>0.94281567489114659</v>
      </c>
      <c r="L69" s="44">
        <v>5.6894049346879534E-2</v>
      </c>
      <c r="M69" s="263">
        <f t="shared" si="317"/>
        <v>95.961683599419459</v>
      </c>
      <c r="N69" s="81"/>
      <c r="O69" s="14"/>
      <c r="P69" s="14"/>
      <c r="Q69" s="14"/>
      <c r="R69" s="135">
        <v>96.010477284801766</v>
      </c>
      <c r="S69" s="53">
        <v>4.0196831850070645</v>
      </c>
      <c r="T69" s="46">
        <v>88.517315749026992</v>
      </c>
      <c r="U69" s="46">
        <v>6.1206276804085382</v>
      </c>
      <c r="V69" s="46">
        <v>1.3250204516720792</v>
      </c>
      <c r="W69" s="46" t="s">
        <v>183</v>
      </c>
      <c r="X69" s="262">
        <f t="shared" si="318"/>
        <v>95.962963881107598</v>
      </c>
      <c r="Y69" s="53">
        <v>4</v>
      </c>
      <c r="Z69" s="46">
        <v>88</v>
      </c>
      <c r="AA69" s="46">
        <v>6.6</v>
      </c>
      <c r="AB69" s="46">
        <v>1.3</v>
      </c>
      <c r="AC69" s="46" t="s">
        <v>204</v>
      </c>
      <c r="AD69" s="262">
        <f t="shared" si="319"/>
        <v>95.899999999999991</v>
      </c>
      <c r="AE69" s="53">
        <v>4</v>
      </c>
      <c r="AF69" s="46">
        <v>87.6</v>
      </c>
      <c r="AG69" s="46">
        <v>7</v>
      </c>
      <c r="AH69" s="46">
        <v>1.4</v>
      </c>
      <c r="AI69" s="46" t="s">
        <v>204</v>
      </c>
      <c r="AJ69" s="262">
        <f t="shared" si="320"/>
        <v>96</v>
      </c>
      <c r="AK69" s="256">
        <f>100-4</f>
        <v>96</v>
      </c>
      <c r="AL69" s="256">
        <f>100-4</f>
        <v>96</v>
      </c>
      <c r="AM69" s="256">
        <f>100-4.3</f>
        <v>95.7</v>
      </c>
      <c r="AN69" s="256">
        <f>100-4.1</f>
        <v>95.9</v>
      </c>
      <c r="AO69" s="78">
        <v>4.5165034457743927</v>
      </c>
      <c r="AP69" s="79">
        <v>84.613710554951027</v>
      </c>
      <c r="AQ69" s="79">
        <v>9.1984040623866523</v>
      </c>
      <c r="AR69" s="79">
        <v>1.613347841857091</v>
      </c>
      <c r="AS69" s="79">
        <v>5.803409503083061E-2</v>
      </c>
      <c r="AT69" s="262">
        <f t="shared" si="321"/>
        <v>95.48349655422561</v>
      </c>
      <c r="AU69" s="79">
        <v>4.5552162924220951</v>
      </c>
      <c r="AV69" s="79">
        <v>84.370845446975125</v>
      </c>
      <c r="AW69" s="79">
        <v>9.3894724539438119</v>
      </c>
      <c r="AX69" s="79">
        <v>1.637715671521863</v>
      </c>
      <c r="AY69" s="79" t="s">
        <v>183</v>
      </c>
      <c r="AZ69" s="262">
        <f t="shared" si="322"/>
        <v>95.398033572440795</v>
      </c>
      <c r="BA69" s="79">
        <v>4.3339547829740299</v>
      </c>
      <c r="BB69" s="79">
        <v>83.684321088149574</v>
      </c>
      <c r="BC69" s="79">
        <v>10.362891578919728</v>
      </c>
      <c r="BD69" s="79">
        <v>1.5636898353596094</v>
      </c>
      <c r="BE69" s="79">
        <v>5.514271459706431E-2</v>
      </c>
      <c r="BF69" s="262">
        <f t="shared" si="323"/>
        <v>95.666045217025982</v>
      </c>
      <c r="BG69" s="79">
        <v>4.3339547829740299</v>
      </c>
      <c r="BH69" s="79">
        <v>83.684321088149574</v>
      </c>
      <c r="BI69" s="79">
        <v>10.362891578919728</v>
      </c>
      <c r="BJ69" s="79">
        <v>1.5636898353596094</v>
      </c>
      <c r="BK69" s="79">
        <v>5.514271459706431E-2</v>
      </c>
      <c r="BL69" s="194">
        <f t="shared" si="324"/>
        <v>95.666045217025982</v>
      </c>
      <c r="BM69" s="79">
        <v>4.5962927236228062</v>
      </c>
      <c r="BN69" s="79">
        <v>84.480016685350776</v>
      </c>
      <c r="BO69" s="79">
        <v>9.4793649138358056</v>
      </c>
      <c r="BP69" s="79">
        <v>1.397398128112209</v>
      </c>
      <c r="BQ69" s="79">
        <v>4.6927549078395074E-2</v>
      </c>
      <c r="BR69" s="194">
        <f t="shared" si="325"/>
        <v>95.40370727637719</v>
      </c>
      <c r="BS69" s="78">
        <v>4.531973567823508</v>
      </c>
      <c r="BT69" s="79">
        <v>83.345907695509652</v>
      </c>
      <c r="BU69" s="79">
        <v>10.583276965502888</v>
      </c>
      <c r="BV69" s="79">
        <v>1.4360788802747282</v>
      </c>
      <c r="BW69" s="79">
        <v>0.10276289088922422</v>
      </c>
      <c r="BX69" s="194">
        <f t="shared" si="326"/>
        <v>95.468026432176501</v>
      </c>
      <c r="BY69" s="73">
        <v>72850</v>
      </c>
      <c r="BZ69" s="12">
        <v>3654</v>
      </c>
      <c r="CA69" s="12">
        <v>60754</v>
      </c>
      <c r="CB69" s="12">
        <v>7225</v>
      </c>
      <c r="CC69" s="12">
        <v>1171</v>
      </c>
      <c r="CD69" s="80">
        <v>46</v>
      </c>
      <c r="CE69" s="85">
        <f t="shared" si="327"/>
        <v>5.0157858613589568</v>
      </c>
      <c r="CF69" s="86">
        <f t="shared" si="328"/>
        <v>83.396019217570355</v>
      </c>
      <c r="CG69" s="86">
        <f t="shared" si="329"/>
        <v>9.9176389842141397</v>
      </c>
      <c r="CH69" s="86">
        <f t="shared" si="330"/>
        <v>1.6074124914207275</v>
      </c>
      <c r="CI69" s="86">
        <f t="shared" si="331"/>
        <v>6.3143445435827047E-2</v>
      </c>
      <c r="CJ69" s="194">
        <f t="shared" si="332"/>
        <v>94.98421413864105</v>
      </c>
      <c r="CK69" s="73">
        <v>78422</v>
      </c>
      <c r="CL69" s="12">
        <v>4207</v>
      </c>
      <c r="CM69" s="12">
        <v>65215</v>
      </c>
      <c r="CN69" s="12">
        <v>7771</v>
      </c>
      <c r="CO69" s="12">
        <v>1169</v>
      </c>
      <c r="CP69" s="80">
        <v>60</v>
      </c>
      <c r="CQ69" s="85">
        <f t="shared" si="333"/>
        <v>5.3645660656448451</v>
      </c>
      <c r="CR69" s="86">
        <f t="shared" si="334"/>
        <v>83.159062507969708</v>
      </c>
      <c r="CS69" s="86">
        <f t="shared" si="335"/>
        <v>9.9092091504934832</v>
      </c>
      <c r="CT69" s="86">
        <f t="shared" si="336"/>
        <v>1.4906531330493995</v>
      </c>
      <c r="CU69" s="86">
        <f t="shared" si="337"/>
        <v>7.6509142842569697E-2</v>
      </c>
      <c r="CV69" s="194">
        <f t="shared" si="338"/>
        <v>94.635433934355163</v>
      </c>
      <c r="CW69" s="73">
        <f t="shared" si="339"/>
        <v>68663</v>
      </c>
      <c r="CX69" s="12">
        <v>4117</v>
      </c>
      <c r="CY69" s="12">
        <v>55961</v>
      </c>
      <c r="CZ69" s="12">
        <v>7433</v>
      </c>
      <c r="DA69" s="12">
        <v>55</v>
      </c>
      <c r="DB69" s="12">
        <v>1097</v>
      </c>
      <c r="DC69" s="12"/>
      <c r="DD69" s="85">
        <f t="shared" si="340"/>
        <v>5.9959512401147634</v>
      </c>
      <c r="DE69" s="86">
        <f t="shared" si="341"/>
        <v>81.500953934433397</v>
      </c>
      <c r="DF69" s="86">
        <f t="shared" si="342"/>
        <v>10.825335333440135</v>
      </c>
      <c r="DG69" s="86">
        <f t="shared" si="343"/>
        <v>1.5976581273757335</v>
      </c>
      <c r="DH69" s="86">
        <f t="shared" si="344"/>
        <v>8.0101364635975711E-2</v>
      </c>
      <c r="DI69" s="86"/>
      <c r="DJ69" s="194">
        <f t="shared" si="20"/>
        <v>94.004048759885251</v>
      </c>
      <c r="DK69" s="383">
        <v>69406</v>
      </c>
      <c r="DL69" s="12">
        <v>4621</v>
      </c>
      <c r="DM69" s="12">
        <v>55635</v>
      </c>
      <c r="DN69" s="12">
        <v>7999</v>
      </c>
      <c r="DO69" s="12">
        <v>42</v>
      </c>
      <c r="DP69" s="12">
        <v>1109</v>
      </c>
      <c r="DQ69" s="12"/>
      <c r="DR69" s="85">
        <f t="shared" si="345"/>
        <v>6.6579258277382358</v>
      </c>
      <c r="DS69" s="86">
        <f t="shared" si="346"/>
        <v>80.158775898337325</v>
      </c>
      <c r="DT69" s="86">
        <f t="shared" si="347"/>
        <v>11.524940206898538</v>
      </c>
      <c r="DU69" s="86">
        <f t="shared" si="348"/>
        <v>1.5978445667521539</v>
      </c>
      <c r="DV69" s="86">
        <f t="shared" si="349"/>
        <v>6.0513500273751554E-2</v>
      </c>
      <c r="DW69" s="86"/>
      <c r="DX69" s="194">
        <f t="shared" si="350"/>
        <v>93.342074172261775</v>
      </c>
      <c r="DY69" s="383">
        <v>71284</v>
      </c>
      <c r="DZ69" s="12">
        <v>5093</v>
      </c>
      <c r="EA69" s="12">
        <v>55441</v>
      </c>
      <c r="EB69" s="12">
        <v>8980</v>
      </c>
      <c r="EC69" s="12">
        <v>52</v>
      </c>
      <c r="ED69" s="12">
        <v>1027</v>
      </c>
      <c r="EE69" s="12">
        <v>691</v>
      </c>
      <c r="EF69" s="85">
        <f t="shared" si="351"/>
        <v>7.1446607934459356</v>
      </c>
      <c r="EG69" s="86">
        <f t="shared" si="352"/>
        <v>77.774816228045566</v>
      </c>
      <c r="EH69" s="86">
        <f t="shared" si="353"/>
        <v>12.59749733460524</v>
      </c>
      <c r="EI69" s="86">
        <f t="shared" si="354"/>
        <v>1.4407160092026261</v>
      </c>
      <c r="EJ69" s="86">
        <f t="shared" si="355"/>
        <v>7.2947646035576005E-2</v>
      </c>
      <c r="EK69" s="86"/>
      <c r="EL69" s="194">
        <f t="shared" si="356"/>
        <v>91.885977217889007</v>
      </c>
      <c r="EM69" s="49">
        <v>73911</v>
      </c>
      <c r="EN69" s="447">
        <f t="shared" si="200"/>
        <v>5690</v>
      </c>
      <c r="EO69" s="447">
        <f t="shared" si="201"/>
        <v>56480</v>
      </c>
      <c r="EP69" s="447">
        <f t="shared" si="202"/>
        <v>9711.0000000000018</v>
      </c>
      <c r="EQ69" s="447">
        <f t="shared" si="203"/>
        <v>1035</v>
      </c>
      <c r="ER69" s="447">
        <f t="shared" si="204"/>
        <v>88.000000000000014</v>
      </c>
      <c r="ES69" s="447">
        <f t="shared" si="205"/>
        <v>64</v>
      </c>
      <c r="ET69" s="447">
        <f t="shared" si="206"/>
        <v>843</v>
      </c>
      <c r="EU69" s="448">
        <v>7.6984481335660453</v>
      </c>
      <c r="EV69" s="448">
        <v>76.416230331073862</v>
      </c>
      <c r="EW69" s="448">
        <v>13.138775013191543</v>
      </c>
      <c r="EX69" s="448">
        <v>1.4003328327312579</v>
      </c>
      <c r="EY69" s="448">
        <v>0.11906211524671566</v>
      </c>
      <c r="EZ69" s="448">
        <v>8.6590629270338657E-2</v>
      </c>
      <c r="FA69" s="448">
        <v>1.1405609449202418</v>
      </c>
      <c r="FB69" s="191">
        <f t="shared" si="255"/>
        <v>92.301551866433954</v>
      </c>
      <c r="FC69">
        <v>76140</v>
      </c>
      <c r="FD69">
        <v>6370</v>
      </c>
      <c r="FE69" s="11">
        <v>56804</v>
      </c>
      <c r="FF69">
        <v>10590</v>
      </c>
      <c r="FG69">
        <v>1072</v>
      </c>
      <c r="FH69">
        <v>71</v>
      </c>
      <c r="FI69" s="11">
        <v>84</v>
      </c>
      <c r="FJ69">
        <v>1149</v>
      </c>
      <c r="FK69" s="189">
        <f t="shared" si="256"/>
        <v>8.3661675860257425</v>
      </c>
      <c r="FL69" s="190">
        <f t="shared" si="257"/>
        <v>74.604675597583409</v>
      </c>
      <c r="FM69" s="190">
        <f t="shared" si="258"/>
        <v>13.908589440504334</v>
      </c>
      <c r="FN69" s="190">
        <f t="shared" si="259"/>
        <v>1.4079327554504859</v>
      </c>
      <c r="FO69" s="190">
        <f t="shared" si="260"/>
        <v>9.3249277646440767E-2</v>
      </c>
      <c r="FP69" s="190">
        <f t="shared" si="261"/>
        <v>0.11032308904649331</v>
      </c>
      <c r="FQ69" s="190">
        <f t="shared" si="262"/>
        <v>1.5090622537431047</v>
      </c>
      <c r="FR69" s="199">
        <f t="shared" si="37"/>
        <v>91.633832413974261</v>
      </c>
      <c r="FS69" s="474">
        <v>78153</v>
      </c>
      <c r="FT69" s="474">
        <v>6910</v>
      </c>
      <c r="FU69" s="474">
        <v>57483</v>
      </c>
      <c r="FV69" s="474">
        <v>11215</v>
      </c>
      <c r="FW69" s="474">
        <v>1129</v>
      </c>
      <c r="FX69" s="474">
        <v>85</v>
      </c>
      <c r="FY69" s="474">
        <v>88</v>
      </c>
      <c r="FZ69" s="480">
        <v>1243</v>
      </c>
      <c r="GA69" s="189">
        <f t="shared" si="39"/>
        <v>8.8416311593924739</v>
      </c>
      <c r="GB69" s="190">
        <f t="shared" si="40"/>
        <v>73.55187900656405</v>
      </c>
      <c r="GC69" s="190">
        <f t="shared" si="41"/>
        <v>14.35005693959285</v>
      </c>
      <c r="GD69" s="190">
        <f t="shared" si="42"/>
        <v>1.4446022545519686</v>
      </c>
      <c r="GE69" s="190">
        <f t="shared" si="43"/>
        <v>0.10876102005041392</v>
      </c>
      <c r="GF69" s="190">
        <f t="shared" si="44"/>
        <v>0.11259964428748737</v>
      </c>
      <c r="GG69" s="190">
        <f t="shared" si="45"/>
        <v>1.5904699755607592</v>
      </c>
      <c r="GH69" s="199">
        <f t="shared" si="46"/>
        <v>91.158368840607523</v>
      </c>
      <c r="GI69" s="474">
        <v>80958</v>
      </c>
      <c r="GJ69" s="474">
        <v>7751</v>
      </c>
      <c r="GK69" s="474">
        <v>58136</v>
      </c>
      <c r="GL69" s="474">
        <v>12178</v>
      </c>
      <c r="GM69" s="474">
        <v>1149</v>
      </c>
      <c r="GN69" s="474">
        <v>99</v>
      </c>
      <c r="GO69" s="474">
        <v>212</v>
      </c>
      <c r="GP69" s="480">
        <v>1433</v>
      </c>
      <c r="GQ69" s="189">
        <f t="shared" si="357"/>
        <v>9.574100150695422</v>
      </c>
      <c r="GR69" s="190">
        <f t="shared" si="358"/>
        <v>71.810074359544444</v>
      </c>
      <c r="GS69" s="190">
        <f t="shared" si="359"/>
        <v>15.04236764742212</v>
      </c>
      <c r="GT69" s="190">
        <f t="shared" si="360"/>
        <v>1.419254428222041</v>
      </c>
      <c r="GU69" s="190">
        <f t="shared" si="361"/>
        <v>0.12228562958571113</v>
      </c>
      <c r="GV69" s="190">
        <f t="shared" si="362"/>
        <v>0.26186417648657329</v>
      </c>
      <c r="GW69" s="190">
        <f t="shared" si="363"/>
        <v>1.7700536080436771</v>
      </c>
      <c r="GX69" s="199">
        <f t="shared" si="55"/>
        <v>90.425899849304571</v>
      </c>
    </row>
    <row r="70" spans="1:206">
      <c r="H70" s="146"/>
      <c r="I70" s="146"/>
      <c r="J70" s="146"/>
      <c r="K70" s="146"/>
      <c r="L70" s="146"/>
      <c r="M70" s="149"/>
      <c r="S70" s="146"/>
      <c r="T70" s="146"/>
      <c r="U70" s="146"/>
      <c r="V70" s="146"/>
      <c r="W70" s="146"/>
      <c r="Y70" s="146"/>
      <c r="Z70" s="146"/>
      <c r="AA70" s="146"/>
      <c r="AB70" s="146"/>
      <c r="AC70" s="146"/>
      <c r="AE70" s="146"/>
      <c r="AF70" s="146"/>
      <c r="AG70" s="146"/>
      <c r="AH70" s="146"/>
      <c r="AI70" s="146"/>
      <c r="AO70" s="138"/>
      <c r="AP70" s="138"/>
      <c r="AQ70" s="138"/>
      <c r="AR70" s="138"/>
      <c r="AS70" s="138"/>
      <c r="AU70" s="138"/>
      <c r="AV70" s="138"/>
      <c r="AW70" s="138"/>
      <c r="AX70" s="138"/>
      <c r="AY70" s="138"/>
      <c r="BA70" s="138"/>
      <c r="BB70" s="138"/>
      <c r="BC70" s="138"/>
      <c r="BD70" s="138"/>
      <c r="BE70" s="138"/>
      <c r="BG70" s="138"/>
      <c r="BH70" s="138"/>
      <c r="BI70" s="138"/>
      <c r="BJ70" s="138"/>
      <c r="BK70" s="138"/>
      <c r="BM70" s="138"/>
      <c r="BN70" s="138"/>
      <c r="BO70" s="138"/>
      <c r="BP70" s="138"/>
      <c r="BQ70" s="138"/>
      <c r="BS70" s="138"/>
      <c r="BT70" s="138"/>
      <c r="BU70" s="138"/>
      <c r="BV70" s="138"/>
      <c r="BW70" s="138"/>
      <c r="BY70" s="151"/>
      <c r="BZ70" s="151"/>
      <c r="CA70" s="151"/>
      <c r="CB70" s="151"/>
      <c r="CC70" s="151"/>
      <c r="CD70" s="152"/>
      <c r="CE70" s="150"/>
      <c r="CF70" s="150"/>
      <c r="CG70" s="150"/>
      <c r="CH70" s="150"/>
      <c r="CI70" s="150"/>
      <c r="CK70" s="151"/>
      <c r="CL70" s="151"/>
      <c r="CM70" s="151"/>
      <c r="CN70" s="151"/>
      <c r="CO70" s="151"/>
      <c r="CP70" s="152"/>
      <c r="CQ70" s="150"/>
      <c r="CR70" s="150"/>
      <c r="CS70" s="150"/>
      <c r="CT70" s="150"/>
      <c r="CU70" s="150"/>
      <c r="CW70" s="151"/>
      <c r="CX70" s="151"/>
      <c r="CY70" s="151"/>
      <c r="CZ70" s="151"/>
      <c r="DA70" s="151"/>
      <c r="DB70" s="151"/>
      <c r="DC70" s="151"/>
      <c r="DD70" s="150"/>
      <c r="DE70" s="150"/>
      <c r="DF70" s="150"/>
      <c r="DG70" s="150"/>
      <c r="DH70" s="150"/>
      <c r="DI70" s="150"/>
      <c r="DQ70" s="151"/>
      <c r="EE70" s="151"/>
      <c r="EP70" s="11"/>
    </row>
    <row r="71" spans="1:206">
      <c r="H71" s="146"/>
      <c r="I71" s="146"/>
      <c r="J71" s="146"/>
      <c r="K71" s="146"/>
      <c r="L71" s="146"/>
      <c r="M71" s="149"/>
      <c r="S71" s="146"/>
      <c r="T71" s="146"/>
      <c r="U71" s="146"/>
      <c r="V71" s="146"/>
      <c r="W71" s="146"/>
      <c r="Y71" s="146"/>
      <c r="Z71" s="146"/>
      <c r="AA71" s="146"/>
      <c r="AB71" s="146"/>
      <c r="AC71" s="146"/>
      <c r="AE71" s="146"/>
      <c r="AF71" s="146"/>
      <c r="AG71" s="146"/>
      <c r="AH71" s="146"/>
      <c r="AI71" s="146"/>
      <c r="AO71" s="138"/>
      <c r="AP71" s="138"/>
      <c r="AQ71" s="138"/>
      <c r="AR71" s="138"/>
      <c r="AS71" s="138"/>
      <c r="AU71" s="138"/>
      <c r="AV71" s="138"/>
      <c r="AW71" s="138"/>
      <c r="AX71" s="138"/>
      <c r="AY71" s="138"/>
      <c r="BA71" s="138"/>
      <c r="BB71" s="138"/>
      <c r="BC71" s="138"/>
      <c r="BD71" s="138"/>
      <c r="BE71" s="138"/>
      <c r="BG71" s="138"/>
      <c r="BH71" s="138"/>
      <c r="BI71" s="138"/>
      <c r="BJ71" s="138"/>
      <c r="BK71" s="138"/>
      <c r="BM71" s="138"/>
      <c r="BN71" s="138"/>
      <c r="BO71" s="138"/>
      <c r="BP71" s="138"/>
      <c r="BQ71" s="138"/>
      <c r="BS71" s="138"/>
      <c r="BT71" s="138"/>
      <c r="BU71" s="138"/>
      <c r="BV71" s="138"/>
      <c r="BW71" s="138"/>
      <c r="BY71" s="151"/>
      <c r="BZ71" s="151"/>
      <c r="CA71" s="151"/>
      <c r="CB71" s="151"/>
      <c r="CC71" s="151"/>
      <c r="CD71" s="152"/>
      <c r="CE71" s="150"/>
      <c r="CF71" s="150"/>
      <c r="CG71" s="150"/>
      <c r="CH71" s="150"/>
      <c r="CI71" s="150"/>
      <c r="CK71" s="151"/>
      <c r="CL71" s="151"/>
      <c r="CM71" s="151"/>
      <c r="CN71" s="151"/>
      <c r="CO71" s="151"/>
      <c r="CP71" s="152"/>
      <c r="CQ71" s="150"/>
      <c r="CR71" s="150"/>
      <c r="CS71" s="150"/>
      <c r="CT71" s="150"/>
      <c r="CU71" s="150"/>
      <c r="CW71" s="151"/>
      <c r="CX71" s="151"/>
      <c r="CY71" s="151"/>
      <c r="CZ71" s="151"/>
      <c r="DA71" s="151"/>
      <c r="DB71" s="151"/>
      <c r="DC71" s="151"/>
      <c r="DD71" s="150"/>
      <c r="DE71" s="150"/>
      <c r="DF71" s="150"/>
      <c r="DG71" s="150"/>
      <c r="DH71" s="150"/>
      <c r="DI71" s="150"/>
      <c r="DQ71" s="151"/>
      <c r="EE71" s="151"/>
    </row>
    <row r="73" spans="1:206" ht="12.75" customHeight="1">
      <c r="B73" s="40" t="s">
        <v>15</v>
      </c>
      <c r="C73" s="40" t="s">
        <v>16</v>
      </c>
      <c r="D73" s="40" t="s">
        <v>16</v>
      </c>
      <c r="E73" s="40" t="s">
        <v>17</v>
      </c>
      <c r="F73" s="40" t="s">
        <v>15</v>
      </c>
      <c r="G73" s="40" t="s">
        <v>17</v>
      </c>
      <c r="H73" s="40" t="s">
        <v>15</v>
      </c>
      <c r="I73" s="40"/>
      <c r="J73" s="40"/>
      <c r="K73" s="40"/>
      <c r="L73" s="40"/>
      <c r="M73" s="153"/>
      <c r="N73" s="40" t="s">
        <v>15</v>
      </c>
      <c r="O73" s="40" t="s">
        <v>15</v>
      </c>
      <c r="P73" s="40" t="s">
        <v>15</v>
      </c>
      <c r="Q73" s="40" t="s">
        <v>15</v>
      </c>
      <c r="R73" s="138" t="s">
        <v>15</v>
      </c>
      <c r="S73" s="40" t="s">
        <v>15</v>
      </c>
      <c r="T73" s="40"/>
      <c r="V73" s="40"/>
      <c r="Y73" s="40" t="s">
        <v>15</v>
      </c>
      <c r="Z73" s="40"/>
      <c r="AB73" s="40"/>
      <c r="AE73" s="40" t="s">
        <v>15</v>
      </c>
      <c r="AF73" s="40"/>
      <c r="AH73" s="40"/>
      <c r="AK73" s="40" t="s">
        <v>15</v>
      </c>
      <c r="AL73" s="40" t="s">
        <v>15</v>
      </c>
      <c r="AM73" s="40" t="s">
        <v>15</v>
      </c>
      <c r="AN73" s="40" t="s">
        <v>15</v>
      </c>
      <c r="AO73" s="40" t="s">
        <v>16</v>
      </c>
      <c r="AU73" s="40"/>
      <c r="BA73" s="40" t="s">
        <v>15</v>
      </c>
      <c r="BG73" s="39" t="s">
        <v>221</v>
      </c>
      <c r="BH73" s="242"/>
      <c r="BI73" s="242"/>
      <c r="BJ73" s="242"/>
      <c r="BK73" s="242"/>
      <c r="BL73" s="242"/>
      <c r="BM73" s="39" t="s">
        <v>222</v>
      </c>
      <c r="BN73" s="242"/>
      <c r="BO73" s="242"/>
      <c r="BP73" s="242"/>
      <c r="BQ73" s="242"/>
      <c r="BR73" s="242"/>
      <c r="BS73" s="39" t="s">
        <v>210</v>
      </c>
      <c r="BT73" s="242"/>
      <c r="BU73" s="242"/>
      <c r="BV73" s="242"/>
      <c r="BW73" s="242"/>
      <c r="BX73" s="242"/>
      <c r="BY73" s="40" t="s">
        <v>211</v>
      </c>
      <c r="BZ73" s="40"/>
      <c r="CA73" s="40"/>
      <c r="CB73" s="40"/>
      <c r="CC73" s="40"/>
      <c r="CD73" s="40"/>
      <c r="CE73" s="40"/>
      <c r="CF73" s="40"/>
      <c r="CG73" s="40"/>
      <c r="CH73" s="40"/>
      <c r="CI73" s="40"/>
      <c r="CJ73" s="242"/>
      <c r="CK73" s="40" t="s">
        <v>223</v>
      </c>
      <c r="CL73" s="40"/>
      <c r="CM73" s="40"/>
      <c r="CN73" s="40"/>
      <c r="CO73" s="40"/>
      <c r="CP73" s="40"/>
      <c r="CQ73" s="40"/>
      <c r="CR73" s="40"/>
      <c r="CS73" s="40"/>
      <c r="CT73" s="40"/>
      <c r="CU73" s="40"/>
      <c r="CV73" s="242"/>
      <c r="CW73" s="40" t="s">
        <v>267</v>
      </c>
      <c r="CX73" s="40"/>
      <c r="CY73" s="40"/>
      <c r="CZ73" s="40"/>
      <c r="DA73" s="40"/>
      <c r="DB73" s="40"/>
      <c r="DC73" s="40"/>
      <c r="DD73" s="40"/>
      <c r="DE73" s="40"/>
      <c r="DF73" s="40"/>
      <c r="DG73" s="40"/>
      <c r="DH73" s="40"/>
      <c r="DI73" s="40"/>
      <c r="DJ73" s="242"/>
      <c r="DK73" s="40" t="s">
        <v>292</v>
      </c>
      <c r="DL73" s="242"/>
      <c r="DM73" s="242"/>
      <c r="DN73" s="242"/>
      <c r="DO73" s="242"/>
      <c r="DP73" s="242"/>
      <c r="DQ73" s="40"/>
      <c r="DR73" s="242"/>
      <c r="DS73" s="242"/>
      <c r="DT73" s="242"/>
      <c r="DU73" s="242"/>
      <c r="DV73" s="242"/>
      <c r="DW73" s="242"/>
      <c r="DX73" s="242"/>
      <c r="DY73" s="40" t="s">
        <v>292</v>
      </c>
      <c r="DZ73" s="242"/>
      <c r="EA73" s="242"/>
      <c r="EB73" s="242"/>
      <c r="EC73" s="242"/>
      <c r="ED73" s="242"/>
      <c r="EE73" s="40"/>
      <c r="EF73" s="242"/>
      <c r="EG73" s="242"/>
      <c r="EH73" s="242"/>
      <c r="EI73" s="242"/>
      <c r="EJ73" s="242"/>
      <c r="EK73" s="242"/>
      <c r="EL73" s="242"/>
      <c r="FS73" t="s">
        <v>334</v>
      </c>
      <c r="GI73" t="s">
        <v>337</v>
      </c>
    </row>
    <row r="74" spans="1:206">
      <c r="B74" s="40" t="s">
        <v>18</v>
      </c>
      <c r="C74" s="40" t="s">
        <v>17</v>
      </c>
      <c r="D74" s="40" t="s">
        <v>17</v>
      </c>
      <c r="E74" s="40" t="s">
        <v>20</v>
      </c>
      <c r="F74" s="40" t="s">
        <v>18</v>
      </c>
      <c r="G74" s="40" t="s">
        <v>20</v>
      </c>
      <c r="H74" s="40" t="s">
        <v>21</v>
      </c>
      <c r="I74" s="40"/>
      <c r="J74" s="40"/>
      <c r="K74" s="40"/>
      <c r="L74" s="40"/>
      <c r="M74" s="153"/>
      <c r="N74" s="40" t="s">
        <v>21</v>
      </c>
      <c r="O74" s="40" t="s">
        <v>21</v>
      </c>
      <c r="P74" s="40" t="s">
        <v>21</v>
      </c>
      <c r="Q74" s="40" t="s">
        <v>21</v>
      </c>
      <c r="R74" s="138" t="s">
        <v>21</v>
      </c>
      <c r="S74" s="40" t="s">
        <v>21</v>
      </c>
      <c r="T74" s="40"/>
      <c r="V74" s="40"/>
      <c r="Y74" s="40" t="s">
        <v>21</v>
      </c>
      <c r="Z74" s="40"/>
      <c r="AB74" s="40"/>
      <c r="AE74" s="40" t="s">
        <v>21</v>
      </c>
      <c r="AF74" s="40"/>
      <c r="AH74" s="40"/>
      <c r="AK74" s="40" t="s">
        <v>21</v>
      </c>
      <c r="AL74" s="40" t="s">
        <v>21</v>
      </c>
      <c r="AM74" s="40" t="s">
        <v>21</v>
      </c>
      <c r="AN74" s="40" t="s">
        <v>21</v>
      </c>
      <c r="AO74" s="40" t="s">
        <v>17</v>
      </c>
      <c r="AU74" s="40"/>
      <c r="BA74" s="40" t="s">
        <v>21</v>
      </c>
      <c r="BG74" s="242"/>
      <c r="BH74" s="242"/>
      <c r="BI74" s="242"/>
      <c r="BJ74" s="242"/>
      <c r="BK74" s="242"/>
      <c r="BL74" s="242"/>
      <c r="BM74" s="242"/>
      <c r="BN74" s="242"/>
      <c r="BO74" s="242"/>
      <c r="BP74" s="242"/>
      <c r="BQ74" s="242"/>
      <c r="BR74" s="242"/>
      <c r="BS74" s="242"/>
      <c r="BT74" s="242"/>
      <c r="BU74" s="242"/>
      <c r="BV74" s="242"/>
      <c r="BW74" s="242"/>
      <c r="BX74" s="242"/>
      <c r="BY74" s="40"/>
      <c r="BZ74" s="40"/>
      <c r="CA74" s="40"/>
      <c r="CB74" s="40"/>
      <c r="CC74" s="40"/>
      <c r="CD74" s="40"/>
      <c r="CE74" s="40"/>
      <c r="CF74" s="40"/>
      <c r="CG74" s="40"/>
      <c r="CH74" s="40"/>
      <c r="CI74" s="40"/>
      <c r="CJ74" s="242"/>
      <c r="CK74" s="40"/>
      <c r="CL74" s="40"/>
      <c r="CM74" s="40"/>
      <c r="CN74" s="40"/>
      <c r="CO74" s="40"/>
      <c r="CP74" s="40"/>
      <c r="CQ74" s="40"/>
      <c r="CR74" s="40"/>
      <c r="CS74" s="40"/>
      <c r="CT74" s="40"/>
      <c r="CU74" s="40"/>
      <c r="CV74" s="242"/>
      <c r="CW74" s="40" t="s">
        <v>262</v>
      </c>
      <c r="CX74" s="40"/>
      <c r="CY74" s="40"/>
      <c r="CZ74" s="40"/>
      <c r="DA74" s="40"/>
      <c r="DB74" s="40"/>
      <c r="DC74" s="40"/>
      <c r="DD74" s="40"/>
      <c r="DE74" s="40"/>
      <c r="DF74" s="40"/>
      <c r="DG74" s="40"/>
      <c r="DH74" s="40"/>
      <c r="DI74" s="40"/>
      <c r="DJ74" s="242"/>
      <c r="DK74" s="40" t="s">
        <v>262</v>
      </c>
      <c r="DL74" s="242"/>
      <c r="DM74" s="242"/>
      <c r="DN74" s="242"/>
      <c r="DO74" s="242"/>
      <c r="DP74" s="242"/>
      <c r="DQ74" s="40"/>
      <c r="DR74" s="242"/>
      <c r="DS74" s="242"/>
      <c r="DT74" s="242"/>
      <c r="DU74" s="242"/>
      <c r="DV74" s="242"/>
      <c r="DW74" s="242"/>
      <c r="DX74" s="242"/>
      <c r="DY74" s="40" t="s">
        <v>262</v>
      </c>
      <c r="DZ74" s="242"/>
      <c r="EA74" s="242"/>
      <c r="EB74" s="242"/>
      <c r="EC74" s="242"/>
      <c r="ED74" s="242"/>
      <c r="EE74" s="40"/>
      <c r="EF74" s="242"/>
      <c r="EG74" s="242"/>
      <c r="EH74" s="242"/>
      <c r="EI74" s="242"/>
      <c r="EJ74" s="242"/>
      <c r="EK74" s="242"/>
      <c r="EL74" s="242"/>
      <c r="FS74" s="70" t="s">
        <v>336</v>
      </c>
      <c r="GI74"/>
    </row>
    <row r="75" spans="1:206">
      <c r="B75" s="40" t="s">
        <v>22</v>
      </c>
      <c r="C75" s="40" t="s">
        <v>20</v>
      </c>
      <c r="D75" s="40" t="s">
        <v>20</v>
      </c>
      <c r="E75" s="40" t="s">
        <v>23</v>
      </c>
      <c r="F75" s="40" t="s">
        <v>22</v>
      </c>
      <c r="G75" s="40" t="s">
        <v>19</v>
      </c>
      <c r="H75" s="40" t="s">
        <v>24</v>
      </c>
      <c r="I75" s="40"/>
      <c r="J75" s="40"/>
      <c r="K75" s="40"/>
      <c r="L75" s="40"/>
      <c r="M75" s="153"/>
      <c r="N75" s="40" t="s">
        <v>24</v>
      </c>
      <c r="O75" s="40" t="s">
        <v>24</v>
      </c>
      <c r="P75" s="40" t="s">
        <v>24</v>
      </c>
      <c r="Q75" s="40" t="s">
        <v>24</v>
      </c>
      <c r="R75" s="138" t="s">
        <v>24</v>
      </c>
      <c r="S75" s="40" t="s">
        <v>24</v>
      </c>
      <c r="T75" s="40"/>
      <c r="U75" s="40"/>
      <c r="V75" s="40"/>
      <c r="Y75" s="40" t="s">
        <v>24</v>
      </c>
      <c r="Z75" s="40"/>
      <c r="AA75" s="40"/>
      <c r="AB75" s="40"/>
      <c r="AE75" s="40" t="s">
        <v>24</v>
      </c>
      <c r="AF75" s="40"/>
      <c r="AG75" s="40"/>
      <c r="AH75" s="40"/>
      <c r="AK75" s="40" t="s">
        <v>24</v>
      </c>
      <c r="AL75" s="40" t="s">
        <v>24</v>
      </c>
      <c r="AM75" s="40" t="s">
        <v>24</v>
      </c>
      <c r="AN75" s="40" t="s">
        <v>24</v>
      </c>
      <c r="AO75" s="40" t="s">
        <v>20</v>
      </c>
      <c r="AU75" s="40"/>
      <c r="BA75" s="40" t="s">
        <v>24</v>
      </c>
      <c r="BG75" s="242"/>
      <c r="BH75" s="242"/>
      <c r="BI75" s="242"/>
      <c r="BJ75" s="242"/>
      <c r="BK75" s="242"/>
      <c r="BL75" s="242"/>
      <c r="BM75" s="242"/>
      <c r="BN75" s="242"/>
      <c r="BO75" s="242"/>
      <c r="BP75" s="242"/>
      <c r="BQ75" s="242"/>
      <c r="BR75" s="242"/>
      <c r="BS75" s="242"/>
      <c r="BT75" s="242"/>
      <c r="BU75" s="242"/>
      <c r="BV75" s="242"/>
      <c r="BW75" s="242"/>
      <c r="BX75" s="242"/>
      <c r="CJ75" s="242"/>
      <c r="CV75" s="242"/>
      <c r="CW75" s="70" t="s">
        <v>263</v>
      </c>
      <c r="DJ75" s="242"/>
      <c r="DK75" s="70" t="s">
        <v>263</v>
      </c>
      <c r="DL75" s="242"/>
      <c r="DM75" s="242"/>
      <c r="DN75" s="242"/>
      <c r="DO75" s="242"/>
      <c r="DP75" s="242"/>
      <c r="DR75" s="242"/>
      <c r="DS75" s="242"/>
      <c r="DT75" s="242"/>
      <c r="DU75" s="242"/>
      <c r="DV75" s="242"/>
      <c r="DW75" s="242"/>
      <c r="DX75" s="242"/>
      <c r="DY75" s="70" t="s">
        <v>263</v>
      </c>
      <c r="DZ75" s="242"/>
      <c r="EA75" s="242"/>
      <c r="EB75" s="242"/>
      <c r="EC75" s="242"/>
      <c r="ED75" s="242"/>
      <c r="EF75" s="242"/>
      <c r="EG75" s="242"/>
      <c r="EH75" s="242"/>
      <c r="EI75" s="242"/>
      <c r="EJ75" s="242"/>
      <c r="EK75" s="242"/>
      <c r="EL75" s="242"/>
      <c r="GI75" t="s">
        <v>338</v>
      </c>
    </row>
    <row r="76" spans="1:206">
      <c r="B76" s="40" t="s">
        <v>25</v>
      </c>
      <c r="C76" s="40" t="s">
        <v>19</v>
      </c>
      <c r="D76" s="40" t="s">
        <v>19</v>
      </c>
      <c r="E76" s="40" t="s">
        <v>26</v>
      </c>
      <c r="F76" s="40" t="s">
        <v>25</v>
      </c>
      <c r="G76" s="40" t="s">
        <v>23</v>
      </c>
      <c r="H76" s="40" t="s">
        <v>22</v>
      </c>
      <c r="I76" s="40"/>
      <c r="J76" s="40"/>
      <c r="K76" s="40"/>
      <c r="L76" s="40"/>
      <c r="M76" s="153"/>
      <c r="N76" s="40" t="s">
        <v>22</v>
      </c>
      <c r="O76" s="40" t="s">
        <v>22</v>
      </c>
      <c r="P76" s="40" t="s">
        <v>22</v>
      </c>
      <c r="Q76" s="40" t="s">
        <v>22</v>
      </c>
      <c r="R76" s="138" t="s">
        <v>22</v>
      </c>
      <c r="S76" s="40" t="s">
        <v>22</v>
      </c>
      <c r="T76" s="40"/>
      <c r="U76" s="40"/>
      <c r="V76" s="40"/>
      <c r="Y76" s="40" t="s">
        <v>22</v>
      </c>
      <c r="Z76" s="40"/>
      <c r="AA76" s="40"/>
      <c r="AB76" s="40"/>
      <c r="AE76" s="40" t="s">
        <v>22</v>
      </c>
      <c r="AF76" s="40"/>
      <c r="AG76" s="40"/>
      <c r="AH76" s="40"/>
      <c r="AK76" s="40" t="s">
        <v>22</v>
      </c>
      <c r="AL76" s="40" t="s">
        <v>22</v>
      </c>
      <c r="AM76" s="40" t="s">
        <v>22</v>
      </c>
      <c r="AN76" s="40" t="s">
        <v>22</v>
      </c>
      <c r="AO76" s="40" t="s">
        <v>19</v>
      </c>
      <c r="AU76" s="40"/>
      <c r="BA76" s="40" t="s">
        <v>22</v>
      </c>
      <c r="CW76" s="70" t="s">
        <v>264</v>
      </c>
      <c r="DK76" s="70" t="s">
        <v>264</v>
      </c>
      <c r="DY76" s="70" t="s">
        <v>264</v>
      </c>
      <c r="GI76" t="s">
        <v>339</v>
      </c>
    </row>
    <row r="77" spans="1:206">
      <c r="B77" s="40" t="s">
        <v>27</v>
      </c>
      <c r="C77" s="40" t="s">
        <v>23</v>
      </c>
      <c r="D77" s="40" t="s">
        <v>23</v>
      </c>
      <c r="E77" s="40" t="s">
        <v>24</v>
      </c>
      <c r="F77" s="40" t="s">
        <v>27</v>
      </c>
      <c r="G77" s="40" t="s">
        <v>26</v>
      </c>
      <c r="H77" s="40" t="s">
        <v>184</v>
      </c>
      <c r="I77" s="40"/>
      <c r="J77" s="40"/>
      <c r="K77" s="40"/>
      <c r="L77" s="40"/>
      <c r="M77" s="153"/>
      <c r="N77" s="40" t="s">
        <v>28</v>
      </c>
      <c r="O77" s="40" t="s">
        <v>28</v>
      </c>
      <c r="P77" s="40" t="s">
        <v>28</v>
      </c>
      <c r="Q77" s="40" t="s">
        <v>28</v>
      </c>
      <c r="R77" s="138" t="s">
        <v>28</v>
      </c>
      <c r="S77" s="40" t="s">
        <v>28</v>
      </c>
      <c r="U77" s="40"/>
      <c r="V77" s="40"/>
      <c r="Y77" s="40" t="s">
        <v>28</v>
      </c>
      <c r="AA77" s="40"/>
      <c r="AB77" s="40"/>
      <c r="AE77" s="40" t="s">
        <v>28</v>
      </c>
      <c r="AG77" s="40"/>
      <c r="AH77" s="40"/>
      <c r="AK77" s="40" t="s">
        <v>28</v>
      </c>
      <c r="AL77" s="40" t="s">
        <v>28</v>
      </c>
      <c r="AM77" s="40" t="s">
        <v>28</v>
      </c>
      <c r="AN77" s="40" t="s">
        <v>28</v>
      </c>
      <c r="AO77" s="40" t="s">
        <v>23</v>
      </c>
      <c r="AU77" s="40"/>
      <c r="BA77" s="40" t="s">
        <v>28</v>
      </c>
      <c r="BG77" s="40" t="s">
        <v>208</v>
      </c>
      <c r="BM77" s="40"/>
      <c r="BS77" s="40"/>
      <c r="CW77" s="70" t="s">
        <v>265</v>
      </c>
      <c r="DK77" s="70" t="s">
        <v>297</v>
      </c>
      <c r="DY77" s="70" t="s">
        <v>298</v>
      </c>
      <c r="FT77" s="70" t="s">
        <v>335</v>
      </c>
      <c r="GI77" t="s">
        <v>340</v>
      </c>
    </row>
    <row r="78" spans="1:206">
      <c r="B78" s="40" t="s">
        <v>29</v>
      </c>
      <c r="C78" s="40" t="s">
        <v>26</v>
      </c>
      <c r="D78" s="40" t="s">
        <v>26</v>
      </c>
      <c r="E78" s="40" t="s">
        <v>19</v>
      </c>
      <c r="F78" s="40" t="s">
        <v>29</v>
      </c>
      <c r="G78" s="40" t="s">
        <v>24</v>
      </c>
      <c r="H78" s="40" t="s">
        <v>185</v>
      </c>
      <c r="I78" s="40"/>
      <c r="J78" s="40"/>
      <c r="K78" s="40"/>
      <c r="L78" s="40"/>
      <c r="M78" s="153"/>
      <c r="N78" s="40" t="s">
        <v>30</v>
      </c>
      <c r="O78" s="40" t="s">
        <v>26</v>
      </c>
      <c r="P78" s="40" t="s">
        <v>26</v>
      </c>
      <c r="Q78" s="40" t="s">
        <v>26</v>
      </c>
      <c r="R78" s="138" t="s">
        <v>26</v>
      </c>
      <c r="S78" s="40" t="s">
        <v>26</v>
      </c>
      <c r="T78" s="40"/>
      <c r="U78" s="40"/>
      <c r="V78" s="40"/>
      <c r="Y78" s="40" t="s">
        <v>30</v>
      </c>
      <c r="Z78" s="40"/>
      <c r="AA78" s="40"/>
      <c r="AB78" s="40"/>
      <c r="AE78" s="40" t="s">
        <v>30</v>
      </c>
      <c r="AF78" s="40"/>
      <c r="AG78" s="40"/>
      <c r="AH78" s="40"/>
      <c r="AK78" s="40" t="s">
        <v>30</v>
      </c>
      <c r="AL78" s="40" t="s">
        <v>26</v>
      </c>
      <c r="AM78" s="40" t="s">
        <v>26</v>
      </c>
      <c r="AN78" s="40" t="s">
        <v>26</v>
      </c>
      <c r="AO78" s="40" t="s">
        <v>26</v>
      </c>
      <c r="AU78" s="40"/>
      <c r="BA78" s="40" t="s">
        <v>26</v>
      </c>
      <c r="BG78" s="40" t="s">
        <v>21</v>
      </c>
      <c r="BM78" s="40"/>
      <c r="BS78" s="40"/>
    </row>
    <row r="79" spans="1:206">
      <c r="B79" s="40" t="s">
        <v>31</v>
      </c>
      <c r="C79" s="40" t="s">
        <v>24</v>
      </c>
      <c r="D79" s="40" t="s">
        <v>24</v>
      </c>
      <c r="E79" s="40" t="s">
        <v>23</v>
      </c>
      <c r="F79" s="40" t="s">
        <v>31</v>
      </c>
      <c r="G79" s="40" t="s">
        <v>19</v>
      </c>
      <c r="H79" s="154" t="s">
        <v>186</v>
      </c>
      <c r="I79" s="40"/>
      <c r="J79" s="40"/>
      <c r="K79" s="40"/>
      <c r="L79" s="40"/>
      <c r="M79" s="153"/>
      <c r="N79" s="40" t="s">
        <v>24</v>
      </c>
      <c r="O79" s="40" t="s">
        <v>24</v>
      </c>
      <c r="P79" s="40" t="s">
        <v>24</v>
      </c>
      <c r="Q79" s="40" t="s">
        <v>24</v>
      </c>
      <c r="R79" s="138" t="s">
        <v>24</v>
      </c>
      <c r="S79" s="40" t="s">
        <v>24</v>
      </c>
      <c r="T79" s="40"/>
      <c r="U79" s="40"/>
      <c r="V79" s="40"/>
      <c r="Y79" s="40" t="s">
        <v>24</v>
      </c>
      <c r="Z79" s="40"/>
      <c r="AA79" s="40"/>
      <c r="AB79" s="40"/>
      <c r="AE79" s="40" t="s">
        <v>24</v>
      </c>
      <c r="AF79" s="40"/>
      <c r="AG79" s="40"/>
      <c r="AH79" s="40"/>
      <c r="AK79" s="40" t="s">
        <v>24</v>
      </c>
      <c r="AL79" s="40" t="s">
        <v>24</v>
      </c>
      <c r="AM79" s="40" t="s">
        <v>24</v>
      </c>
      <c r="AN79" s="40" t="s">
        <v>24</v>
      </c>
      <c r="AO79" s="40" t="s">
        <v>24</v>
      </c>
      <c r="AU79" s="40"/>
      <c r="BA79" s="40" t="s">
        <v>24</v>
      </c>
      <c r="BG79" s="40" t="s">
        <v>24</v>
      </c>
      <c r="BM79" s="40"/>
      <c r="BS79" s="40"/>
    </row>
    <row r="80" spans="1:206">
      <c r="B80" s="40" t="s">
        <v>36</v>
      </c>
      <c r="C80" s="40" t="s">
        <v>19</v>
      </c>
      <c r="D80" s="40" t="s">
        <v>19</v>
      </c>
      <c r="E80" s="40" t="s">
        <v>37</v>
      </c>
      <c r="F80" s="40" t="s">
        <v>36</v>
      </c>
      <c r="G80" s="40" t="s">
        <v>23</v>
      </c>
      <c r="H80" s="40" t="s">
        <v>187</v>
      </c>
      <c r="I80" s="40"/>
      <c r="J80" s="40"/>
      <c r="K80" s="40"/>
      <c r="L80" s="40"/>
      <c r="M80" s="153"/>
      <c r="N80" s="40" t="s">
        <v>19</v>
      </c>
      <c r="O80" s="40" t="s">
        <v>19</v>
      </c>
      <c r="P80" s="40" t="s">
        <v>19</v>
      </c>
      <c r="Q80" s="40" t="s">
        <v>19</v>
      </c>
      <c r="R80" s="138" t="s">
        <v>19</v>
      </c>
      <c r="S80" s="40" t="s">
        <v>19</v>
      </c>
      <c r="T80" s="40"/>
      <c r="U80" s="40"/>
      <c r="V80" s="40"/>
      <c r="Y80" s="40" t="s">
        <v>19</v>
      </c>
      <c r="Z80" s="40"/>
      <c r="AA80" s="40"/>
      <c r="AB80" s="40"/>
      <c r="AE80" s="40" t="s">
        <v>19</v>
      </c>
      <c r="AF80" s="40"/>
      <c r="AG80" s="40"/>
      <c r="AH80" s="40"/>
      <c r="AK80" s="40" t="s">
        <v>19</v>
      </c>
      <c r="AL80" s="40" t="s">
        <v>19</v>
      </c>
      <c r="AM80" s="40" t="s">
        <v>19</v>
      </c>
      <c r="AN80" s="40" t="s">
        <v>19</v>
      </c>
      <c r="AO80" s="40" t="s">
        <v>19</v>
      </c>
      <c r="AU80" s="40"/>
      <c r="BA80" s="40" t="s">
        <v>19</v>
      </c>
      <c r="BG80" s="40" t="s">
        <v>22</v>
      </c>
      <c r="BM80" s="40"/>
      <c r="BS80" s="40"/>
    </row>
    <row r="81" spans="2:71">
      <c r="B81" s="40" t="s">
        <v>19</v>
      </c>
      <c r="C81" s="40" t="s">
        <v>23</v>
      </c>
      <c r="D81" s="40" t="s">
        <v>23</v>
      </c>
      <c r="E81" s="40" t="s">
        <v>38</v>
      </c>
      <c r="F81" s="40" t="s">
        <v>19</v>
      </c>
      <c r="G81" s="40" t="s">
        <v>40</v>
      </c>
      <c r="H81" s="40" t="s">
        <v>188</v>
      </c>
      <c r="I81" s="40"/>
      <c r="J81" s="40"/>
      <c r="K81" s="40"/>
      <c r="L81" s="40"/>
      <c r="M81" s="153"/>
      <c r="N81" s="40" t="s">
        <v>23</v>
      </c>
      <c r="O81" s="40" t="s">
        <v>23</v>
      </c>
      <c r="P81" s="40" t="s">
        <v>23</v>
      </c>
      <c r="Q81" s="40" t="s">
        <v>23</v>
      </c>
      <c r="R81" s="138" t="s">
        <v>23</v>
      </c>
      <c r="S81" s="40" t="s">
        <v>23</v>
      </c>
      <c r="T81" s="40"/>
      <c r="U81" s="40"/>
      <c r="V81" s="40"/>
      <c r="Y81" s="40" t="s">
        <v>23</v>
      </c>
      <c r="Z81" s="40"/>
      <c r="AA81" s="40"/>
      <c r="AB81" s="40"/>
      <c r="AE81" s="40" t="s">
        <v>23</v>
      </c>
      <c r="AF81" s="40"/>
      <c r="AG81" s="40"/>
      <c r="AH81" s="40"/>
      <c r="AK81" s="40" t="s">
        <v>23</v>
      </c>
      <c r="AL81" s="40" t="s">
        <v>23</v>
      </c>
      <c r="AM81" s="40" t="s">
        <v>23</v>
      </c>
      <c r="AN81" s="40" t="s">
        <v>23</v>
      </c>
      <c r="AO81" s="40" t="s">
        <v>23</v>
      </c>
      <c r="AU81" s="40"/>
      <c r="BA81" s="40" t="s">
        <v>23</v>
      </c>
      <c r="BG81" s="40" t="s">
        <v>28</v>
      </c>
      <c r="BM81" s="40"/>
      <c r="BS81" s="40"/>
    </row>
    <row r="82" spans="2:71">
      <c r="B82" s="40" t="s">
        <v>23</v>
      </c>
      <c r="C82" s="40" t="s">
        <v>32</v>
      </c>
      <c r="D82" s="40" t="s">
        <v>33</v>
      </c>
      <c r="E82" s="40" t="s">
        <v>41</v>
      </c>
      <c r="F82" s="40" t="s">
        <v>23</v>
      </c>
      <c r="G82" s="40" t="s">
        <v>38</v>
      </c>
      <c r="H82" s="40" t="s">
        <v>189</v>
      </c>
      <c r="I82" s="40"/>
      <c r="J82" s="40"/>
      <c r="K82" s="40"/>
      <c r="L82" s="40"/>
      <c r="M82" s="153"/>
      <c r="N82" s="40" t="s">
        <v>100</v>
      </c>
      <c r="O82" s="40" t="s">
        <v>42</v>
      </c>
      <c r="P82" s="40" t="s">
        <v>43</v>
      </c>
      <c r="Q82" s="40" t="s">
        <v>35</v>
      </c>
      <c r="R82" s="138" t="s">
        <v>194</v>
      </c>
      <c r="S82" s="40" t="s">
        <v>198</v>
      </c>
      <c r="T82" s="155"/>
      <c r="U82" s="40"/>
      <c r="V82" s="40"/>
      <c r="Y82" s="40" t="s">
        <v>34</v>
      </c>
      <c r="Z82" s="155"/>
      <c r="AA82" s="40"/>
      <c r="AB82" s="40"/>
      <c r="AE82" s="40" t="s">
        <v>100</v>
      </c>
      <c r="AF82" s="155"/>
      <c r="AG82" s="40"/>
      <c r="AH82" s="40"/>
      <c r="AK82" s="40" t="s">
        <v>111</v>
      </c>
      <c r="AL82" s="40" t="s">
        <v>115</v>
      </c>
      <c r="AM82" s="40" t="s">
        <v>124</v>
      </c>
      <c r="AN82" s="40" t="s">
        <v>163</v>
      </c>
      <c r="AO82" s="40" t="s">
        <v>179</v>
      </c>
      <c r="AU82" s="40"/>
      <c r="BA82" s="40" t="s">
        <v>194</v>
      </c>
      <c r="BG82" s="40" t="s">
        <v>26</v>
      </c>
      <c r="BM82" s="40"/>
      <c r="BS82" s="40"/>
    </row>
    <row r="83" spans="2:71">
      <c r="B83" s="40" t="s">
        <v>45</v>
      </c>
      <c r="C83" s="40" t="s">
        <v>38</v>
      </c>
      <c r="D83" s="40" t="s">
        <v>38</v>
      </c>
      <c r="E83" s="40" t="s">
        <v>15</v>
      </c>
      <c r="F83" s="40" t="s">
        <v>45</v>
      </c>
      <c r="G83" s="40" t="s">
        <v>41</v>
      </c>
      <c r="H83" s="40" t="s">
        <v>190</v>
      </c>
      <c r="I83" s="40"/>
      <c r="J83" s="40"/>
      <c r="K83" s="40"/>
      <c r="L83" s="40"/>
      <c r="M83" s="153"/>
      <c r="N83" s="40" t="s">
        <v>101</v>
      </c>
      <c r="O83" s="40" t="s">
        <v>47</v>
      </c>
      <c r="P83" s="40" t="s">
        <v>46</v>
      </c>
      <c r="Q83" s="40" t="s">
        <v>46</v>
      </c>
      <c r="R83" s="138" t="s">
        <v>167</v>
      </c>
      <c r="S83" s="40" t="s">
        <v>199</v>
      </c>
      <c r="U83" s="40"/>
      <c r="V83" s="40"/>
      <c r="Y83" s="40" t="s">
        <v>39</v>
      </c>
      <c r="AA83" s="40"/>
      <c r="AB83" s="40"/>
      <c r="AE83" s="40" t="s">
        <v>101</v>
      </c>
      <c r="AG83" s="40"/>
      <c r="AH83" s="40"/>
      <c r="AK83" s="40" t="s">
        <v>113</v>
      </c>
      <c r="AL83" s="40" t="s">
        <v>117</v>
      </c>
      <c r="AM83" s="40" t="s">
        <v>125</v>
      </c>
      <c r="AN83" s="40" t="s">
        <v>164</v>
      </c>
      <c r="AO83" s="40" t="s">
        <v>38</v>
      </c>
      <c r="AU83" s="40"/>
      <c r="BA83" s="40" t="s">
        <v>167</v>
      </c>
      <c r="BG83" s="40" t="s">
        <v>24</v>
      </c>
      <c r="BM83" s="40"/>
      <c r="BS83" s="40"/>
    </row>
    <row r="84" spans="2:71">
      <c r="B84" s="40" t="s">
        <v>27</v>
      </c>
      <c r="C84" s="40" t="s">
        <v>41</v>
      </c>
      <c r="D84" s="40" t="s">
        <v>41</v>
      </c>
      <c r="E84" s="40" t="s">
        <v>44</v>
      </c>
      <c r="F84" s="40" t="s">
        <v>27</v>
      </c>
      <c r="G84" s="40" t="s">
        <v>15</v>
      </c>
      <c r="H84" s="40" t="s">
        <v>191</v>
      </c>
      <c r="I84" s="40"/>
      <c r="J84" s="40"/>
      <c r="K84" s="40"/>
      <c r="L84" s="40"/>
      <c r="M84" s="153"/>
      <c r="N84" s="40" t="s">
        <v>102</v>
      </c>
      <c r="O84" s="40" t="s">
        <v>49</v>
      </c>
      <c r="P84" s="40" t="s">
        <v>50</v>
      </c>
      <c r="Q84" s="40" t="s">
        <v>51</v>
      </c>
      <c r="R84" s="138" t="s">
        <v>61</v>
      </c>
      <c r="S84" s="40" t="s">
        <v>61</v>
      </c>
      <c r="U84" s="40"/>
      <c r="V84" s="40"/>
      <c r="Y84" s="40" t="s">
        <v>47</v>
      </c>
      <c r="AA84" s="40"/>
      <c r="AB84" s="40"/>
      <c r="AE84" s="40" t="s">
        <v>102</v>
      </c>
      <c r="AG84" s="40"/>
      <c r="AH84" s="40"/>
      <c r="AK84" s="40" t="s">
        <v>102</v>
      </c>
      <c r="AL84" s="40" t="s">
        <v>118</v>
      </c>
      <c r="AM84" s="40" t="s">
        <v>126</v>
      </c>
      <c r="AN84" s="40" t="s">
        <v>165</v>
      </c>
      <c r="AO84" s="40" t="s">
        <v>41</v>
      </c>
      <c r="AU84" s="40"/>
      <c r="BA84" s="40" t="s">
        <v>268</v>
      </c>
      <c r="BG84" s="40" t="s">
        <v>19</v>
      </c>
      <c r="BM84" s="40"/>
      <c r="BS84" s="40"/>
    </row>
    <row r="85" spans="2:71">
      <c r="B85" s="40" t="s">
        <v>53</v>
      </c>
      <c r="C85" s="40" t="s">
        <v>15</v>
      </c>
      <c r="D85" s="40" t="s">
        <v>15</v>
      </c>
      <c r="E85" s="40" t="s">
        <v>48</v>
      </c>
      <c r="F85" s="40" t="s">
        <v>53</v>
      </c>
      <c r="G85" s="40" t="s">
        <v>44</v>
      </c>
      <c r="H85" s="40" t="s">
        <v>192</v>
      </c>
      <c r="I85" s="40"/>
      <c r="J85" s="40"/>
      <c r="K85" s="40"/>
      <c r="L85" s="40"/>
      <c r="M85" s="153"/>
      <c r="N85" s="40" t="s">
        <v>103</v>
      </c>
      <c r="O85" s="40" t="s">
        <v>54</v>
      </c>
      <c r="P85" s="40" t="s">
        <v>56</v>
      </c>
      <c r="Q85" s="40" t="s">
        <v>57</v>
      </c>
      <c r="R85" s="138" t="s">
        <v>62</v>
      </c>
      <c r="S85" s="40" t="s">
        <v>62</v>
      </c>
      <c r="U85" s="40"/>
      <c r="V85" s="40"/>
      <c r="Y85" s="40" t="s">
        <v>58</v>
      </c>
      <c r="AA85" s="40"/>
      <c r="AB85" s="40"/>
      <c r="AE85" s="40" t="s">
        <v>103</v>
      </c>
      <c r="AG85" s="40"/>
      <c r="AH85" s="40"/>
      <c r="AK85" s="40" t="s">
        <v>114</v>
      </c>
      <c r="AL85" s="40" t="s">
        <v>119</v>
      </c>
      <c r="AM85" s="40" t="s">
        <v>127</v>
      </c>
      <c r="AN85" s="40" t="s">
        <v>166</v>
      </c>
      <c r="AO85" s="40" t="s">
        <v>15</v>
      </c>
      <c r="AU85" s="40"/>
      <c r="BA85" s="40" t="s">
        <v>62</v>
      </c>
      <c r="BG85" s="40" t="s">
        <v>23</v>
      </c>
      <c r="BM85" s="40"/>
      <c r="BS85" s="40"/>
    </row>
    <row r="86" spans="2:71">
      <c r="B86" s="40" t="s">
        <v>19</v>
      </c>
      <c r="C86" s="40"/>
      <c r="D86" s="40" t="s">
        <v>44</v>
      </c>
      <c r="E86" s="40" t="s">
        <v>52</v>
      </c>
      <c r="F86" s="40" t="s">
        <v>19</v>
      </c>
      <c r="G86" s="40" t="s">
        <v>48</v>
      </c>
      <c r="H86" s="40" t="s">
        <v>193</v>
      </c>
      <c r="I86" s="40"/>
      <c r="J86" s="40"/>
      <c r="K86" s="40"/>
      <c r="L86" s="40"/>
      <c r="M86" s="153"/>
      <c r="N86" s="40" t="s">
        <v>104</v>
      </c>
      <c r="O86" s="40" t="s">
        <v>55</v>
      </c>
      <c r="P86" s="40" t="s">
        <v>55</v>
      </c>
      <c r="Q86" s="40" t="s">
        <v>55</v>
      </c>
      <c r="R86" s="138" t="s">
        <v>65</v>
      </c>
      <c r="S86" s="40" t="s">
        <v>65</v>
      </c>
      <c r="T86" s="40"/>
      <c r="U86" s="40"/>
      <c r="V86" s="40"/>
      <c r="Y86" s="40" t="s">
        <v>54</v>
      </c>
      <c r="Z86" s="40"/>
      <c r="AA86" s="40"/>
      <c r="AB86" s="40"/>
      <c r="AE86" s="40" t="s">
        <v>104</v>
      </c>
      <c r="AF86" s="40"/>
      <c r="AG86" s="40"/>
      <c r="AH86" s="40"/>
      <c r="AK86" s="40" t="s">
        <v>104</v>
      </c>
      <c r="AL86" s="40" t="s">
        <v>104</v>
      </c>
      <c r="AM86" s="40" t="s">
        <v>54</v>
      </c>
      <c r="AN86" s="40" t="s">
        <v>167</v>
      </c>
      <c r="AO86" s="40" t="s">
        <v>44</v>
      </c>
      <c r="AU86" s="40"/>
      <c r="BA86" s="40" t="s">
        <v>65</v>
      </c>
      <c r="BG86" s="40" t="s">
        <v>198</v>
      </c>
      <c r="BM86" s="40"/>
      <c r="BS86" s="40"/>
    </row>
    <row r="87" spans="2:71">
      <c r="B87" s="40" t="s">
        <v>64</v>
      </c>
      <c r="C87" s="40" t="s">
        <v>48</v>
      </c>
      <c r="D87" s="40" t="s">
        <v>48</v>
      </c>
      <c r="E87" s="40" t="s">
        <v>60</v>
      </c>
      <c r="F87" s="40" t="s">
        <v>64</v>
      </c>
      <c r="G87" s="40" t="s">
        <v>52</v>
      </c>
      <c r="H87" s="40" t="s">
        <v>166</v>
      </c>
      <c r="I87" s="40"/>
      <c r="J87" s="40"/>
      <c r="K87" s="40"/>
      <c r="L87" s="40"/>
      <c r="M87" s="153"/>
      <c r="N87" s="40" t="s">
        <v>61</v>
      </c>
      <c r="O87" s="40" t="s">
        <v>62</v>
      </c>
      <c r="P87" s="40" t="s">
        <v>62</v>
      </c>
      <c r="Q87" s="40" t="s">
        <v>62</v>
      </c>
      <c r="R87" s="138" t="s">
        <v>68</v>
      </c>
      <c r="S87" s="40" t="s">
        <v>68</v>
      </c>
      <c r="T87" s="40"/>
      <c r="U87" s="40"/>
      <c r="V87" s="40"/>
      <c r="W87" s="40"/>
      <c r="Y87" s="40" t="s">
        <v>61</v>
      </c>
      <c r="Z87" s="40"/>
      <c r="AA87" s="40"/>
      <c r="AB87" s="40"/>
      <c r="AC87" s="40"/>
      <c r="AE87" s="40" t="s">
        <v>61</v>
      </c>
      <c r="AF87" s="40"/>
      <c r="AG87" s="40"/>
      <c r="AH87" s="40"/>
      <c r="AI87" s="40"/>
      <c r="AK87" s="40" t="s">
        <v>61</v>
      </c>
      <c r="AL87" s="40" t="s">
        <v>61</v>
      </c>
      <c r="AM87" s="40" t="s">
        <v>61</v>
      </c>
      <c r="AN87" s="40" t="s">
        <v>61</v>
      </c>
      <c r="AO87" s="40" t="s">
        <v>48</v>
      </c>
      <c r="AU87" s="40"/>
      <c r="BA87" s="40" t="s">
        <v>68</v>
      </c>
      <c r="BG87" s="40" t="s">
        <v>199</v>
      </c>
      <c r="BM87" s="40"/>
      <c r="BS87" s="40"/>
    </row>
    <row r="88" spans="2:71">
      <c r="B88" s="40" t="s">
        <v>59</v>
      </c>
      <c r="C88" s="40" t="s">
        <v>52</v>
      </c>
      <c r="D88" s="40" t="s">
        <v>52</v>
      </c>
      <c r="E88" s="40" t="s">
        <v>66</v>
      </c>
      <c r="F88" s="40" t="s">
        <v>59</v>
      </c>
      <c r="G88" s="40" t="s">
        <v>67</v>
      </c>
      <c r="H88" s="40" t="s">
        <v>167</v>
      </c>
      <c r="I88" s="40"/>
      <c r="J88" s="40"/>
      <c r="K88" s="40"/>
      <c r="L88" s="40"/>
      <c r="M88" s="153"/>
      <c r="N88" s="40" t="s">
        <v>62</v>
      </c>
      <c r="O88" s="40" t="s">
        <v>65</v>
      </c>
      <c r="P88" s="40" t="s">
        <v>65</v>
      </c>
      <c r="Q88" s="40" t="s">
        <v>65</v>
      </c>
      <c r="S88" s="40"/>
      <c r="T88" s="40"/>
      <c r="U88" s="40"/>
      <c r="V88" s="40"/>
      <c r="W88" s="40"/>
      <c r="Y88" s="40" t="s">
        <v>62</v>
      </c>
      <c r="Z88" s="40"/>
      <c r="AA88" s="40"/>
      <c r="AB88" s="40"/>
      <c r="AC88" s="40"/>
      <c r="AE88" s="40" t="s">
        <v>62</v>
      </c>
      <c r="AF88" s="40"/>
      <c r="AG88" s="40"/>
      <c r="AH88" s="40"/>
      <c r="AI88" s="40"/>
      <c r="AK88" s="40" t="s">
        <v>62</v>
      </c>
      <c r="AL88" s="40" t="s">
        <v>62</v>
      </c>
      <c r="AM88" s="40" t="s">
        <v>62</v>
      </c>
      <c r="AN88" s="40" t="s">
        <v>62</v>
      </c>
      <c r="AO88" s="70" t="s">
        <v>52</v>
      </c>
      <c r="BG88" s="40" t="s">
        <v>268</v>
      </c>
      <c r="BM88" s="40"/>
      <c r="BS88" s="40"/>
    </row>
    <row r="89" spans="2:71">
      <c r="B89" s="40" t="s">
        <v>272</v>
      </c>
      <c r="C89" s="40" t="s">
        <v>67</v>
      </c>
      <c r="D89" s="40" t="s">
        <v>60</v>
      </c>
      <c r="E89" s="40" t="s">
        <v>70</v>
      </c>
      <c r="F89" s="40" t="s">
        <v>69</v>
      </c>
      <c r="G89" s="40" t="s">
        <v>71</v>
      </c>
      <c r="H89" s="40"/>
      <c r="I89" s="40"/>
      <c r="J89" s="40"/>
      <c r="K89" s="40"/>
      <c r="L89" s="40"/>
      <c r="M89" s="153"/>
      <c r="N89" s="40" t="s">
        <v>65</v>
      </c>
      <c r="O89" s="40" t="s">
        <v>68</v>
      </c>
      <c r="P89" s="40" t="s">
        <v>68</v>
      </c>
      <c r="Q89" s="40" t="s">
        <v>68</v>
      </c>
      <c r="S89" s="156"/>
      <c r="T89" s="40"/>
      <c r="U89" s="40"/>
      <c r="V89" s="40"/>
      <c r="W89" s="40"/>
      <c r="Y89" s="40" t="s">
        <v>65</v>
      </c>
      <c r="Z89" s="40"/>
      <c r="AA89" s="40"/>
      <c r="AB89" s="40"/>
      <c r="AC89" s="40"/>
      <c r="AE89" s="156" t="s">
        <v>65</v>
      </c>
      <c r="AF89" s="40"/>
      <c r="AG89" s="40"/>
      <c r="AH89" s="40"/>
      <c r="AI89" s="40"/>
      <c r="AK89" s="40" t="s">
        <v>65</v>
      </c>
      <c r="AL89" s="40" t="s">
        <v>65</v>
      </c>
      <c r="AM89" s="40" t="s">
        <v>65</v>
      </c>
      <c r="AN89" s="40" t="s">
        <v>65</v>
      </c>
      <c r="AO89" s="70" t="s">
        <v>180</v>
      </c>
      <c r="BG89" s="40" t="s">
        <v>62</v>
      </c>
      <c r="BM89" s="40"/>
      <c r="BS89" s="40"/>
    </row>
    <row r="90" spans="2:71">
      <c r="B90" s="40"/>
      <c r="C90" s="40" t="s">
        <v>74</v>
      </c>
      <c r="D90" s="40" t="s">
        <v>63</v>
      </c>
      <c r="E90" s="40" t="s">
        <v>75</v>
      </c>
      <c r="F90" s="40" t="s">
        <v>73</v>
      </c>
      <c r="G90" s="40" t="s">
        <v>70</v>
      </c>
      <c r="I90" s="40"/>
      <c r="J90" s="40"/>
      <c r="K90" s="40"/>
      <c r="L90" s="40"/>
      <c r="M90" s="153"/>
      <c r="N90" s="40" t="s">
        <v>68</v>
      </c>
      <c r="O90" s="40" t="s">
        <v>72</v>
      </c>
      <c r="P90" s="40" t="s">
        <v>72</v>
      </c>
      <c r="Q90" s="40"/>
      <c r="S90" s="40"/>
      <c r="T90" s="40"/>
      <c r="U90" s="40"/>
      <c r="V90" s="40"/>
      <c r="W90" s="40"/>
      <c r="Y90" s="40" t="s">
        <v>68</v>
      </c>
      <c r="Z90" s="40"/>
      <c r="AA90" s="40"/>
      <c r="AB90" s="40"/>
      <c r="AC90" s="40"/>
      <c r="AE90" s="40" t="s">
        <v>68</v>
      </c>
      <c r="AF90" s="40"/>
      <c r="AG90" s="40"/>
      <c r="AH90" s="40"/>
      <c r="AI90" s="40"/>
      <c r="AK90" s="40" t="s">
        <v>68</v>
      </c>
      <c r="AL90" s="40" t="s">
        <v>68</v>
      </c>
      <c r="AM90" s="40" t="s">
        <v>68</v>
      </c>
      <c r="AN90" s="40" t="s">
        <v>68</v>
      </c>
      <c r="AO90" s="70" t="s">
        <v>70</v>
      </c>
      <c r="BG90" s="40" t="s">
        <v>65</v>
      </c>
      <c r="BM90" s="40"/>
      <c r="BS90" s="40"/>
    </row>
    <row r="91" spans="2:71">
      <c r="B91" s="40"/>
      <c r="C91" s="40" t="s">
        <v>70</v>
      </c>
      <c r="D91" s="40" t="s">
        <v>70</v>
      </c>
      <c r="E91" s="40" t="s">
        <v>78</v>
      </c>
      <c r="F91" s="40"/>
      <c r="G91" s="40" t="s">
        <v>79</v>
      </c>
      <c r="I91" s="40"/>
      <c r="J91" s="40"/>
      <c r="K91" s="40"/>
      <c r="L91" s="40"/>
      <c r="M91" s="153"/>
      <c r="N91" s="40" t="s">
        <v>76</v>
      </c>
      <c r="O91" s="40" t="s">
        <v>77</v>
      </c>
      <c r="P91" s="40" t="s">
        <v>77</v>
      </c>
      <c r="Q91" s="40"/>
      <c r="S91" s="40"/>
      <c r="T91" s="40"/>
      <c r="U91" s="40"/>
      <c r="V91" s="40"/>
      <c r="W91" s="40"/>
      <c r="Y91" s="40" t="s">
        <v>76</v>
      </c>
      <c r="Z91" s="40"/>
      <c r="AA91" s="40"/>
      <c r="AB91" s="40"/>
      <c r="AC91" s="40"/>
      <c r="AE91" s="40" t="s">
        <v>76</v>
      </c>
      <c r="AF91" s="40"/>
      <c r="AG91" s="40"/>
      <c r="AH91" s="40"/>
      <c r="AI91" s="40"/>
      <c r="AK91" s="40" t="s">
        <v>76</v>
      </c>
      <c r="AL91" s="40" t="s">
        <v>120</v>
      </c>
      <c r="AM91" s="40" t="s">
        <v>128</v>
      </c>
      <c r="AN91" s="40" t="s">
        <v>128</v>
      </c>
      <c r="AO91" s="70">
        <v>42</v>
      </c>
      <c r="BG91" s="40" t="s">
        <v>68</v>
      </c>
      <c r="BM91" s="40"/>
      <c r="BS91" s="40"/>
    </row>
    <row r="92" spans="2:71">
      <c r="B92" s="40"/>
      <c r="C92" s="40" t="s">
        <v>79</v>
      </c>
      <c r="D92" s="40" t="s">
        <v>81</v>
      </c>
      <c r="E92" s="40"/>
      <c r="F92" s="40"/>
      <c r="G92" s="40" t="s">
        <v>82</v>
      </c>
      <c r="H92" s="40"/>
      <c r="I92" s="40"/>
      <c r="J92" s="40"/>
      <c r="K92" s="40"/>
      <c r="L92" s="40"/>
      <c r="M92" s="153"/>
      <c r="N92" s="40"/>
      <c r="O92" s="40" t="s">
        <v>80</v>
      </c>
      <c r="P92" s="40" t="s">
        <v>80</v>
      </c>
      <c r="Q92" s="40"/>
      <c r="AK92" s="40"/>
      <c r="AL92" s="40"/>
      <c r="AM92" s="41"/>
    </row>
    <row r="93" spans="2:71">
      <c r="B93" s="40"/>
      <c r="C93" s="40" t="s">
        <v>83</v>
      </c>
      <c r="D93" s="40" t="s">
        <v>84</v>
      </c>
      <c r="E93" s="40"/>
      <c r="F93" s="40"/>
      <c r="G93" s="40"/>
      <c r="H93" s="40"/>
      <c r="I93" s="40"/>
      <c r="J93" s="40"/>
      <c r="K93" s="40"/>
      <c r="L93" s="40"/>
      <c r="M93" s="153"/>
      <c r="N93" s="40"/>
      <c r="O93" s="40"/>
      <c r="P93" s="40"/>
      <c r="Q93" s="40"/>
      <c r="AK93" s="40"/>
      <c r="AL93" s="40"/>
      <c r="AM93" s="41"/>
    </row>
    <row r="94" spans="2:71">
      <c r="H94" s="40"/>
      <c r="S94" s="157"/>
      <c r="Y94" s="70" t="s">
        <v>205</v>
      </c>
      <c r="AE94" s="70" t="s">
        <v>205</v>
      </c>
    </row>
    <row r="95" spans="2:71">
      <c r="S95" s="157"/>
      <c r="Y95" s="157"/>
      <c r="AE95" s="157"/>
    </row>
  </sheetData>
  <sortState ref="EC9:EC24">
    <sortCondition ref="EC9"/>
  </sortState>
  <phoneticPr fontId="1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indexed="18"/>
    <pageSetUpPr autoPageBreaks="0"/>
  </sheetPr>
  <dimension ref="A1:BH166"/>
  <sheetViews>
    <sheetView zoomScaleNormal="100" workbookViewId="0">
      <pane xSplit="1" ySplit="3" topLeftCell="AR4" activePane="bottomRight" state="frozen"/>
      <selection pane="topRight" activeCell="B1" sqref="B1"/>
      <selection pane="bottomLeft" activeCell="A4" sqref="A4"/>
      <selection pane="bottomRight" activeCell="BI1" sqref="BI1:BJ1048576"/>
    </sheetView>
  </sheetViews>
  <sheetFormatPr defaultColWidth="9.7109375" defaultRowHeight="12.75"/>
  <cols>
    <col min="1" max="1" width="20.5703125" style="1" customWidth="1"/>
    <col min="2" max="2" width="11.7109375" style="1" customWidth="1"/>
    <col min="3" max="11" width="11.85546875" style="1" customWidth="1"/>
    <col min="12" max="13" width="10.5703125" style="1" customWidth="1"/>
    <col min="14" max="22" width="11.28515625" style="1" customWidth="1"/>
    <col min="23" max="27" width="11.5703125" style="1" customWidth="1"/>
    <col min="28" max="31" width="12.28515625" style="1" customWidth="1"/>
    <col min="32" max="42" width="12.28515625" style="11" customWidth="1"/>
    <col min="43" max="48" width="11.7109375" style="11" customWidth="1"/>
    <col min="49" max="58" width="12.28515625" style="11" customWidth="1"/>
    <col min="59" max="59" width="13.140625" style="70" customWidth="1"/>
    <col min="60" max="60" width="11.28515625" style="70" bestFit="1" customWidth="1"/>
    <col min="61" max="16384" width="9.7109375" style="70"/>
  </cols>
  <sheetData>
    <row r="1" spans="1:60" ht="13.5" thickBot="1">
      <c r="A1" s="5" t="s">
        <v>249</v>
      </c>
      <c r="D1" s="3"/>
      <c r="E1" s="3"/>
      <c r="F1" s="3"/>
      <c r="G1" s="3"/>
      <c r="H1" s="3"/>
      <c r="I1" s="7"/>
      <c r="J1" s="7"/>
      <c r="K1" s="7"/>
      <c r="L1" s="7"/>
      <c r="M1" s="7"/>
      <c r="N1" s="7"/>
      <c r="O1" s="7"/>
      <c r="P1" s="7"/>
      <c r="Q1" s="7"/>
      <c r="R1" s="7"/>
      <c r="S1" s="7"/>
      <c r="T1" s="7"/>
      <c r="U1" s="7"/>
      <c r="V1" s="7"/>
      <c r="W1" s="7"/>
      <c r="X1" s="7"/>
      <c r="Y1" s="7"/>
      <c r="Z1" s="7"/>
      <c r="AA1" s="7"/>
      <c r="AB1" s="7"/>
      <c r="AC1" s="7"/>
      <c r="AD1" s="7"/>
      <c r="AE1" s="7"/>
      <c r="AF1" s="70"/>
      <c r="AG1" s="70"/>
      <c r="AH1" s="70"/>
      <c r="AI1" s="70"/>
      <c r="AJ1" s="70"/>
      <c r="AK1" s="70"/>
      <c r="AL1" s="70"/>
      <c r="AM1" s="70"/>
      <c r="AN1" s="70"/>
      <c r="AQ1" s="18"/>
      <c r="AR1" s="18"/>
      <c r="AS1" s="18"/>
      <c r="AT1" s="18"/>
      <c r="AU1" s="18"/>
      <c r="AV1" s="18"/>
    </row>
    <row r="2" spans="1:60" ht="13.5" thickBot="1">
      <c r="B2" s="164" t="s">
        <v>252</v>
      </c>
      <c r="C2" s="165"/>
      <c r="D2" s="166"/>
      <c r="E2" s="166"/>
      <c r="F2" s="166"/>
      <c r="G2" s="166"/>
      <c r="H2" s="166"/>
      <c r="I2" s="167"/>
      <c r="J2" s="167"/>
      <c r="K2" s="167"/>
      <c r="L2" s="167"/>
      <c r="M2" s="167"/>
      <c r="N2" s="167"/>
      <c r="O2" s="168"/>
      <c r="P2" s="169"/>
      <c r="Q2" s="169"/>
      <c r="R2" s="169"/>
      <c r="S2" s="169"/>
      <c r="T2" s="169"/>
      <c r="U2" s="169"/>
      <c r="V2" s="169"/>
      <c r="W2" s="169"/>
      <c r="X2" s="169"/>
      <c r="Y2" s="169"/>
      <c r="Z2" s="169"/>
      <c r="AA2" s="169"/>
      <c r="AB2" s="169"/>
      <c r="AC2" s="169"/>
      <c r="AD2" s="170"/>
      <c r="AE2" s="170"/>
      <c r="AF2" s="170"/>
      <c r="AG2" s="170"/>
      <c r="AH2" s="170"/>
      <c r="AI2" s="170"/>
      <c r="AJ2" s="170"/>
      <c r="AK2" s="170"/>
      <c r="AL2" s="171"/>
      <c r="AM2" s="170"/>
      <c r="AN2" s="172"/>
      <c r="AO2" s="172"/>
      <c r="AP2" s="172"/>
      <c r="AQ2" s="172"/>
      <c r="AR2" s="172"/>
      <c r="AS2" s="172"/>
      <c r="AT2" s="172"/>
      <c r="AU2" s="172"/>
      <c r="AV2" s="176" t="s">
        <v>253</v>
      </c>
      <c r="AW2" s="408"/>
      <c r="AX2" s="408"/>
      <c r="AY2" s="408"/>
      <c r="AZ2" s="408"/>
      <c r="BA2" s="408"/>
      <c r="BB2" s="408"/>
      <c r="BC2" s="408"/>
      <c r="BD2" s="408"/>
      <c r="BE2" s="408"/>
      <c r="BF2" s="408"/>
      <c r="BG2" s="408"/>
      <c r="BH2" s="408"/>
    </row>
    <row r="3" spans="1:60" s="145" customFormat="1">
      <c r="A3" s="139"/>
      <c r="B3" s="160" t="s">
        <v>107</v>
      </c>
      <c r="C3" s="161">
        <v>1970</v>
      </c>
      <c r="D3" s="161">
        <v>1971</v>
      </c>
      <c r="E3" s="161">
        <v>1972</v>
      </c>
      <c r="F3" s="161">
        <v>1973</v>
      </c>
      <c r="G3" s="161">
        <v>1974</v>
      </c>
      <c r="H3" s="161">
        <v>1975</v>
      </c>
      <c r="I3" s="161">
        <v>1976</v>
      </c>
      <c r="J3" s="161">
        <v>1977</v>
      </c>
      <c r="K3" s="161">
        <v>1978</v>
      </c>
      <c r="L3" s="161">
        <v>1979</v>
      </c>
      <c r="M3" s="161">
        <v>1980</v>
      </c>
      <c r="N3" s="161">
        <v>1981</v>
      </c>
      <c r="O3" s="161">
        <v>1982</v>
      </c>
      <c r="P3" s="161">
        <v>1983</v>
      </c>
      <c r="Q3" s="161">
        <v>1984</v>
      </c>
      <c r="R3" s="161">
        <v>1985</v>
      </c>
      <c r="S3" s="161">
        <v>1986</v>
      </c>
      <c r="T3" s="161">
        <v>1987</v>
      </c>
      <c r="U3" s="161">
        <v>1988</v>
      </c>
      <c r="V3" s="161">
        <v>1989</v>
      </c>
      <c r="W3" s="161">
        <v>1990</v>
      </c>
      <c r="X3" s="161">
        <v>1991</v>
      </c>
      <c r="Y3" s="162">
        <v>1992</v>
      </c>
      <c r="Z3" s="162">
        <v>1993</v>
      </c>
      <c r="AA3" s="162">
        <v>1994</v>
      </c>
      <c r="AB3" s="162">
        <v>1995</v>
      </c>
      <c r="AC3" s="162">
        <v>1996</v>
      </c>
      <c r="AD3" s="162">
        <v>1997</v>
      </c>
      <c r="AE3" s="162">
        <v>1998</v>
      </c>
      <c r="AF3" s="162">
        <v>1999</v>
      </c>
      <c r="AG3" s="162">
        <v>2000</v>
      </c>
      <c r="AH3" s="162">
        <v>2001</v>
      </c>
      <c r="AI3" s="163">
        <v>2002</v>
      </c>
      <c r="AJ3" s="163">
        <v>2003</v>
      </c>
      <c r="AK3" s="163">
        <v>2004</v>
      </c>
      <c r="AL3" s="163">
        <v>2005</v>
      </c>
      <c r="AM3" s="163">
        <v>2006</v>
      </c>
      <c r="AN3" s="163">
        <v>2007</v>
      </c>
      <c r="AO3" s="163">
        <v>2008</v>
      </c>
      <c r="AP3" s="163">
        <v>2009</v>
      </c>
      <c r="AQ3" s="177">
        <v>2010</v>
      </c>
      <c r="AR3" s="463">
        <v>2011</v>
      </c>
      <c r="AS3" s="483">
        <v>2012</v>
      </c>
      <c r="AT3" s="483">
        <v>2013</v>
      </c>
      <c r="AU3" s="483">
        <v>2014</v>
      </c>
      <c r="AV3" s="420">
        <v>2011</v>
      </c>
      <c r="AW3" s="421">
        <v>2012</v>
      </c>
      <c r="AX3" s="421">
        <v>2013</v>
      </c>
      <c r="AY3" s="421">
        <v>2014</v>
      </c>
      <c r="AZ3" s="421">
        <v>2015</v>
      </c>
      <c r="BA3" s="421">
        <v>2016</v>
      </c>
      <c r="BB3" s="421">
        <v>2017</v>
      </c>
      <c r="BC3" s="421">
        <v>2018</v>
      </c>
      <c r="BD3" s="421">
        <v>2019</v>
      </c>
      <c r="BE3" s="421">
        <v>2020</v>
      </c>
      <c r="BF3" s="421">
        <v>2021</v>
      </c>
      <c r="BG3" s="471">
        <v>2023</v>
      </c>
      <c r="BH3" s="484">
        <v>2024</v>
      </c>
    </row>
    <row r="4" spans="1:60">
      <c r="A4" s="104" t="s">
        <v>243</v>
      </c>
      <c r="B4" s="105">
        <f t="shared" ref="B4:AG4" si="0">B5+B7+B9+B11+B67</f>
        <v>42143504</v>
      </c>
      <c r="C4" s="105">
        <f t="shared" si="0"/>
        <v>45893960</v>
      </c>
      <c r="D4" s="105">
        <f t="shared" si="0"/>
        <v>46071327</v>
      </c>
      <c r="E4" s="105">
        <f t="shared" si="0"/>
        <v>45726408</v>
      </c>
      <c r="F4" s="105">
        <f t="shared" si="0"/>
        <v>45444787</v>
      </c>
      <c r="G4" s="105">
        <f t="shared" si="0"/>
        <v>45073441</v>
      </c>
      <c r="H4" s="105">
        <f t="shared" si="0"/>
        <v>44819327</v>
      </c>
      <c r="I4" s="105">
        <f t="shared" si="0"/>
        <v>44310966</v>
      </c>
      <c r="J4" s="105">
        <f t="shared" si="0"/>
        <v>43577373</v>
      </c>
      <c r="K4" s="105">
        <f t="shared" si="0"/>
        <v>42550893</v>
      </c>
      <c r="L4" s="105">
        <f t="shared" si="0"/>
        <v>41650712</v>
      </c>
      <c r="M4" s="105">
        <f t="shared" si="0"/>
        <v>40877481</v>
      </c>
      <c r="N4" s="105">
        <f t="shared" si="0"/>
        <v>40044093</v>
      </c>
      <c r="O4" s="105">
        <f t="shared" si="0"/>
        <v>39565610</v>
      </c>
      <c r="P4" s="105">
        <f t="shared" si="0"/>
        <v>39252308</v>
      </c>
      <c r="Q4" s="105">
        <f t="shared" si="0"/>
        <v>39208252</v>
      </c>
      <c r="R4" s="105">
        <f t="shared" si="0"/>
        <v>39421961</v>
      </c>
      <c r="S4" s="105">
        <f t="shared" si="0"/>
        <v>39753172</v>
      </c>
      <c r="T4" s="105">
        <f t="shared" si="0"/>
        <v>40008213</v>
      </c>
      <c r="U4" s="105">
        <f t="shared" si="0"/>
        <v>40188690</v>
      </c>
      <c r="V4" s="105">
        <f t="shared" si="0"/>
        <v>40542707</v>
      </c>
      <c r="W4" s="105">
        <f t="shared" si="0"/>
        <v>41216683</v>
      </c>
      <c r="X4" s="105">
        <f t="shared" si="0"/>
        <v>42046878</v>
      </c>
      <c r="Y4" s="105">
        <f t="shared" si="0"/>
        <v>42823312</v>
      </c>
      <c r="Z4" s="105">
        <f t="shared" si="0"/>
        <v>43464916</v>
      </c>
      <c r="AA4" s="105">
        <f t="shared" si="0"/>
        <v>44111482</v>
      </c>
      <c r="AB4" s="105">
        <f t="shared" si="0"/>
        <v>44840481</v>
      </c>
      <c r="AC4" s="105">
        <f t="shared" si="0"/>
        <v>45611046</v>
      </c>
      <c r="AD4" s="105">
        <f t="shared" si="0"/>
        <v>46126897</v>
      </c>
      <c r="AE4" s="105">
        <f t="shared" si="0"/>
        <v>46538585</v>
      </c>
      <c r="AF4" s="105">
        <f t="shared" si="0"/>
        <v>46857149</v>
      </c>
      <c r="AG4" s="105">
        <f t="shared" si="0"/>
        <v>47203539</v>
      </c>
      <c r="AH4" s="105">
        <f t="shared" ref="AH4:AV4" si="1">AH5+AH7+AH9+AH11+AH67</f>
        <v>47671870</v>
      </c>
      <c r="AI4" s="105">
        <f t="shared" si="1"/>
        <v>48183086</v>
      </c>
      <c r="AJ4" s="105">
        <f t="shared" si="1"/>
        <v>48540215</v>
      </c>
      <c r="AK4" s="105">
        <f t="shared" si="1"/>
        <v>48795465</v>
      </c>
      <c r="AL4" s="105">
        <f t="shared" si="1"/>
        <v>49113298</v>
      </c>
      <c r="AM4" s="105">
        <f t="shared" si="1"/>
        <v>49315842</v>
      </c>
      <c r="AN4" s="105">
        <f t="shared" si="1"/>
        <v>49292507</v>
      </c>
      <c r="AO4" s="105">
        <f t="shared" si="1"/>
        <v>49265572</v>
      </c>
      <c r="AP4" s="105">
        <f t="shared" si="1"/>
        <v>49360982</v>
      </c>
      <c r="AQ4" s="105">
        <f t="shared" si="1"/>
        <v>49484181</v>
      </c>
      <c r="AR4" s="105">
        <f t="shared" ref="AR4:AS4" si="2">AR5+AR7+AR9+AR11+AR67</f>
        <v>49521669</v>
      </c>
      <c r="AS4" s="105">
        <f t="shared" si="2"/>
        <v>49771118</v>
      </c>
      <c r="AT4" s="105">
        <f t="shared" ref="AT4:AU4" si="3">AT5+AT7+AT9+AT11+AT67</f>
        <v>50044522</v>
      </c>
      <c r="AU4" s="105">
        <f t="shared" si="3"/>
        <v>50312581</v>
      </c>
      <c r="AV4" s="116">
        <f t="shared" si="1"/>
        <v>49634000</v>
      </c>
      <c r="AW4" s="105">
        <f>AW5+AW7+AW9+AW11+AW67</f>
        <v>49830000</v>
      </c>
      <c r="AX4" s="105">
        <f t="shared" ref="AX4:BF4" si="4">AX5+AX7+AX9+AX11+AX67</f>
        <v>50068000</v>
      </c>
      <c r="AY4" s="105">
        <f t="shared" si="4"/>
        <v>50409000</v>
      </c>
      <c r="AZ4" s="105">
        <f t="shared" si="4"/>
        <v>50771000</v>
      </c>
      <c r="BA4" s="105">
        <f t="shared" si="4"/>
        <v>51146000</v>
      </c>
      <c r="BB4" s="105">
        <f t="shared" si="4"/>
        <v>51523000</v>
      </c>
      <c r="BC4" s="105">
        <f t="shared" si="4"/>
        <v>51881000</v>
      </c>
      <c r="BD4" s="105">
        <f t="shared" si="4"/>
        <v>52260000</v>
      </c>
      <c r="BE4" s="105">
        <f t="shared" si="4"/>
        <v>52686000</v>
      </c>
      <c r="BF4" s="105">
        <f t="shared" si="4"/>
        <v>53112000</v>
      </c>
      <c r="BG4" s="472">
        <f>BG5+BG7+BG9+BG11+BG67</f>
        <v>52112900</v>
      </c>
      <c r="BH4" s="472">
        <f>BH5+BH7+BH9+BH11+BH67</f>
        <v>52919400</v>
      </c>
    </row>
    <row r="5" spans="1:60">
      <c r="A5" s="106" t="s">
        <v>108</v>
      </c>
      <c r="B5" s="107">
        <f t="shared" ref="B5:V5" si="5">SUM(B14:B29)</f>
        <v>13689530</v>
      </c>
      <c r="C5" s="107">
        <f t="shared" si="5"/>
        <v>14613297</v>
      </c>
      <c r="D5" s="107">
        <f t="shared" si="5"/>
        <v>14634738</v>
      </c>
      <c r="E5" s="107">
        <f t="shared" si="5"/>
        <v>14492933</v>
      </c>
      <c r="F5" s="107">
        <f t="shared" si="5"/>
        <v>14541036</v>
      </c>
      <c r="G5" s="107">
        <f t="shared" si="5"/>
        <v>14495012</v>
      </c>
      <c r="H5" s="107">
        <f t="shared" si="5"/>
        <v>14524481</v>
      </c>
      <c r="I5" s="107">
        <f t="shared" si="5"/>
        <v>14452402</v>
      </c>
      <c r="J5" s="107">
        <f t="shared" si="5"/>
        <v>14440631</v>
      </c>
      <c r="K5" s="107">
        <f t="shared" si="5"/>
        <v>14317645</v>
      </c>
      <c r="L5" s="107">
        <f t="shared" si="5"/>
        <v>14151973</v>
      </c>
      <c r="M5" s="107">
        <f t="shared" si="5"/>
        <v>14033790</v>
      </c>
      <c r="N5" s="107">
        <f t="shared" si="5"/>
        <v>13895192</v>
      </c>
      <c r="O5" s="107">
        <f t="shared" si="5"/>
        <v>13854200</v>
      </c>
      <c r="P5" s="107">
        <f t="shared" si="5"/>
        <v>13825433</v>
      </c>
      <c r="Q5" s="107">
        <f t="shared" si="5"/>
        <v>13875515</v>
      </c>
      <c r="R5" s="107">
        <f t="shared" si="5"/>
        <v>14030205</v>
      </c>
      <c r="S5" s="107">
        <f t="shared" si="5"/>
        <v>14226300</v>
      </c>
      <c r="T5" s="107">
        <f t="shared" si="5"/>
        <v>14332118</v>
      </c>
      <c r="U5" s="107">
        <f t="shared" si="5"/>
        <v>14406271</v>
      </c>
      <c r="V5" s="107">
        <f t="shared" si="5"/>
        <v>14524071</v>
      </c>
      <c r="W5" s="107">
        <f t="shared" ref="W5:AO5" si="6">SUM(W14:W29)</f>
        <v>14726322</v>
      </c>
      <c r="X5" s="107">
        <f t="shared" si="6"/>
        <v>15000741</v>
      </c>
      <c r="Y5" s="107">
        <f t="shared" si="6"/>
        <v>15276446</v>
      </c>
      <c r="Z5" s="107">
        <f t="shared" si="6"/>
        <v>15510219</v>
      </c>
      <c r="AA5" s="107">
        <f t="shared" si="6"/>
        <v>15770646</v>
      </c>
      <c r="AB5" s="107">
        <f t="shared" si="6"/>
        <v>16038190</v>
      </c>
      <c r="AC5" s="107">
        <f t="shared" si="6"/>
        <v>16294295</v>
      </c>
      <c r="AD5" s="107">
        <f t="shared" si="6"/>
        <v>16485584</v>
      </c>
      <c r="AE5" s="107">
        <f t="shared" si="6"/>
        <v>16641179</v>
      </c>
      <c r="AF5" s="107">
        <f t="shared" si="6"/>
        <v>16764344</v>
      </c>
      <c r="AG5" s="107">
        <f t="shared" si="6"/>
        <v>16938336</v>
      </c>
      <c r="AH5" s="107">
        <f t="shared" si="6"/>
        <v>17161522</v>
      </c>
      <c r="AI5" s="107">
        <f t="shared" si="6"/>
        <v>17395274</v>
      </c>
      <c r="AJ5" s="107">
        <f t="shared" si="6"/>
        <v>17594688</v>
      </c>
      <c r="AK5" s="107">
        <f t="shared" si="6"/>
        <v>17815273</v>
      </c>
      <c r="AL5" s="107">
        <f t="shared" si="6"/>
        <v>18026290</v>
      </c>
      <c r="AM5" s="107">
        <f t="shared" si="6"/>
        <v>18220783</v>
      </c>
      <c r="AN5" s="107">
        <f t="shared" si="6"/>
        <v>18346297</v>
      </c>
      <c r="AO5" s="107">
        <f t="shared" si="6"/>
        <v>18422089</v>
      </c>
      <c r="AP5" s="107">
        <f t="shared" ref="AP5" si="7">SUM(AP14:AP29)</f>
        <v>18582456</v>
      </c>
      <c r="AQ5" s="107">
        <f t="shared" ref="AQ5:BD5" si="8">SUM(AQ14:AQ29)</f>
        <v>18733716</v>
      </c>
      <c r="AR5" s="107">
        <f t="shared" ref="AR5:AS5" si="9">SUM(AR14:AR29)</f>
        <v>18882021</v>
      </c>
      <c r="AS5" s="107">
        <f t="shared" si="9"/>
        <v>19052236</v>
      </c>
      <c r="AT5" s="107">
        <f t="shared" ref="AT5:AU5" si="10">SUM(AT14:AT29)</f>
        <v>19220561</v>
      </c>
      <c r="AU5" s="107">
        <f t="shared" si="10"/>
        <v>19425235</v>
      </c>
      <c r="AV5" s="117">
        <f t="shared" si="8"/>
        <v>18825000</v>
      </c>
      <c r="AW5" s="107">
        <f t="shared" si="8"/>
        <v>18960000</v>
      </c>
      <c r="AX5" s="107">
        <f>SUM(AX14:AX29)</f>
        <v>19100000</v>
      </c>
      <c r="AY5" s="107">
        <f t="shared" si="8"/>
        <v>19269000</v>
      </c>
      <c r="AZ5" s="107">
        <f t="shared" si="8"/>
        <v>19438000</v>
      </c>
      <c r="BA5" s="107">
        <f t="shared" si="8"/>
        <v>19604000</v>
      </c>
      <c r="BB5" s="107">
        <f t="shared" si="8"/>
        <v>19764000</v>
      </c>
      <c r="BC5" s="107">
        <f t="shared" si="8"/>
        <v>19909000</v>
      </c>
      <c r="BD5" s="107">
        <f t="shared" si="8"/>
        <v>20062000</v>
      </c>
      <c r="BE5" s="107">
        <f t="shared" ref="BE5:BF5" si="11">SUM(BE14:BE29)</f>
        <v>20235000</v>
      </c>
      <c r="BF5" s="107">
        <f t="shared" si="11"/>
        <v>20420000</v>
      </c>
      <c r="BG5" s="107">
        <f>SUM(BG14:BG29)</f>
        <v>20473100</v>
      </c>
      <c r="BH5" s="107">
        <f>SUM(BH14:BH29)</f>
        <v>20821300</v>
      </c>
    </row>
    <row r="6" spans="1:60">
      <c r="A6" s="108" t="s">
        <v>244</v>
      </c>
      <c r="B6" s="109">
        <f t="shared" ref="B6:V6" si="12">(B5/B4)*100</f>
        <v>32.483131919927679</v>
      </c>
      <c r="C6" s="109">
        <f t="shared" si="12"/>
        <v>31.841438394071897</v>
      </c>
      <c r="D6" s="109">
        <f t="shared" si="12"/>
        <v>31.765392822307899</v>
      </c>
      <c r="E6" s="109">
        <f t="shared" si="12"/>
        <v>31.694886246039705</v>
      </c>
      <c r="F6" s="109">
        <f t="shared" si="12"/>
        <v>31.997148539831421</v>
      </c>
      <c r="G6" s="109">
        <f t="shared" si="12"/>
        <v>32.158654139585217</v>
      </c>
      <c r="H6" s="109">
        <f t="shared" si="12"/>
        <v>32.406736049383341</v>
      </c>
      <c r="I6" s="109">
        <f t="shared" si="12"/>
        <v>32.615858566477648</v>
      </c>
      <c r="J6" s="109">
        <f t="shared" si="12"/>
        <v>33.137910814403618</v>
      </c>
      <c r="K6" s="109">
        <f t="shared" si="12"/>
        <v>33.648283245195351</v>
      </c>
      <c r="L6" s="109">
        <f t="shared" si="12"/>
        <v>33.977745686556332</v>
      </c>
      <c r="M6" s="109">
        <f t="shared" si="12"/>
        <v>34.331347374364874</v>
      </c>
      <c r="N6" s="109">
        <f t="shared" si="12"/>
        <v>34.69972962054603</v>
      </c>
      <c r="O6" s="109">
        <f t="shared" si="12"/>
        <v>35.015762426005814</v>
      </c>
      <c r="P6" s="109">
        <f t="shared" si="12"/>
        <v>35.221961979917204</v>
      </c>
      <c r="Q6" s="109">
        <f t="shared" si="12"/>
        <v>35.389272135875885</v>
      </c>
      <c r="R6" s="109">
        <f t="shared" si="12"/>
        <v>35.589820100527213</v>
      </c>
      <c r="S6" s="109">
        <f t="shared" si="12"/>
        <v>35.786578238335295</v>
      </c>
      <c r="T6" s="109">
        <f t="shared" si="12"/>
        <v>35.822939654915352</v>
      </c>
      <c r="U6" s="109">
        <f t="shared" si="12"/>
        <v>35.846580219459753</v>
      </c>
      <c r="V6" s="109">
        <f t="shared" si="12"/>
        <v>35.824127382515428</v>
      </c>
      <c r="W6" s="109">
        <f t="shared" ref="W6:AO6" si="13">(W5/W4)*100</f>
        <v>35.72903234352944</v>
      </c>
      <c r="X6" s="109">
        <f t="shared" si="13"/>
        <v>35.676230230458486</v>
      </c>
      <c r="Y6" s="109">
        <f t="shared" si="13"/>
        <v>35.673200615589941</v>
      </c>
      <c r="Z6" s="109">
        <f t="shared" si="13"/>
        <v>35.684456401572248</v>
      </c>
      <c r="AA6" s="109">
        <f t="shared" si="13"/>
        <v>35.751793603307185</v>
      </c>
      <c r="AB6" s="109">
        <f t="shared" si="13"/>
        <v>35.767212220582557</v>
      </c>
      <c r="AC6" s="109">
        <f t="shared" si="13"/>
        <v>35.724449292392904</v>
      </c>
      <c r="AD6" s="109">
        <f t="shared" si="13"/>
        <v>35.73963364585309</v>
      </c>
      <c r="AE6" s="109">
        <f t="shared" si="13"/>
        <v>35.757810427626879</v>
      </c>
      <c r="AF6" s="109">
        <f t="shared" si="13"/>
        <v>35.777558724283459</v>
      </c>
      <c r="AG6" s="109">
        <f t="shared" si="13"/>
        <v>35.88361457389879</v>
      </c>
      <c r="AH6" s="109">
        <f t="shared" si="13"/>
        <v>35.999263297202312</v>
      </c>
      <c r="AI6" s="109">
        <f t="shared" si="13"/>
        <v>36.102448896693751</v>
      </c>
      <c r="AJ6" s="109">
        <f t="shared" si="13"/>
        <v>36.247651560669844</v>
      </c>
      <c r="AK6" s="109">
        <f t="shared" si="13"/>
        <v>36.510099862763887</v>
      </c>
      <c r="AL6" s="109">
        <f t="shared" si="13"/>
        <v>36.703481000196732</v>
      </c>
      <c r="AM6" s="109">
        <f t="shared" si="13"/>
        <v>36.947119345544181</v>
      </c>
      <c r="AN6" s="109">
        <f t="shared" si="13"/>
        <v>37.219241050166104</v>
      </c>
      <c r="AO6" s="109">
        <f t="shared" si="13"/>
        <v>37.393433694426612</v>
      </c>
      <c r="AP6" s="109">
        <f t="shared" ref="AP6" si="14">(AP5/AP4)*100</f>
        <v>37.646041968938135</v>
      </c>
      <c r="AQ6" s="109">
        <f t="shared" ref="AQ6:BD6" si="15">(AQ5/AQ4)*100</f>
        <v>37.857989404735221</v>
      </c>
      <c r="AR6" s="109">
        <f t="shared" ref="AR6:AS6" si="16">(AR5/AR4)*100</f>
        <v>38.128805796105134</v>
      </c>
      <c r="AS6" s="109">
        <f t="shared" si="16"/>
        <v>38.279702698259662</v>
      </c>
      <c r="AT6" s="109">
        <f t="shared" ref="AT6:AU6" si="17">(AT5/AT4)*100</f>
        <v>38.406922939537722</v>
      </c>
      <c r="AU6" s="109">
        <f t="shared" si="17"/>
        <v>38.609100574665412</v>
      </c>
      <c r="AV6" s="118">
        <f t="shared" si="15"/>
        <v>37.927630253455291</v>
      </c>
      <c r="AW6" s="109">
        <f t="shared" si="15"/>
        <v>38.049367850692356</v>
      </c>
      <c r="AX6" s="109">
        <f t="shared" si="15"/>
        <v>38.148118558760089</v>
      </c>
      <c r="AY6" s="109">
        <f t="shared" si="15"/>
        <v>38.225316907695053</v>
      </c>
      <c r="AZ6" s="109">
        <f t="shared" si="15"/>
        <v>38.285635500581037</v>
      </c>
      <c r="BA6" s="109">
        <f t="shared" si="15"/>
        <v>38.329488132014234</v>
      </c>
      <c r="BB6" s="109">
        <f t="shared" si="15"/>
        <v>38.35956757176406</v>
      </c>
      <c r="BC6" s="109">
        <f t="shared" si="15"/>
        <v>38.374356700911697</v>
      </c>
      <c r="BD6" s="109">
        <f t="shared" si="15"/>
        <v>38.388825105243015</v>
      </c>
      <c r="BE6" s="109">
        <f t="shared" ref="BE6:BG6" si="18">(BE5/BE4)*100</f>
        <v>38.406787381847167</v>
      </c>
      <c r="BF6" s="109">
        <f t="shared" si="18"/>
        <v>38.447055279409547</v>
      </c>
      <c r="BG6" s="109">
        <f t="shared" si="18"/>
        <v>39.286050095082025</v>
      </c>
      <c r="BH6" s="109">
        <f t="shared" ref="BH6" si="19">(BH5/BH4)*100</f>
        <v>39.34530625819643</v>
      </c>
    </row>
    <row r="7" spans="1:60">
      <c r="A7" s="111" t="s">
        <v>245</v>
      </c>
      <c r="B7" s="377">
        <f t="shared" ref="B7:AG7" si="20">SUM(B31:B43)</f>
        <v>7603120</v>
      </c>
      <c r="C7" s="377">
        <f t="shared" si="20"/>
        <v>8339362</v>
      </c>
      <c r="D7" s="377">
        <f t="shared" si="20"/>
        <v>8352901</v>
      </c>
      <c r="E7" s="377">
        <f t="shared" si="20"/>
        <v>8262749</v>
      </c>
      <c r="F7" s="377">
        <f t="shared" si="20"/>
        <v>8252419</v>
      </c>
      <c r="G7" s="377">
        <f t="shared" si="20"/>
        <v>8180304</v>
      </c>
      <c r="H7" s="377">
        <f t="shared" si="20"/>
        <v>8190803</v>
      </c>
      <c r="I7" s="377">
        <f t="shared" si="20"/>
        <v>8170999</v>
      </c>
      <c r="J7" s="377">
        <f t="shared" si="20"/>
        <v>8096889</v>
      </c>
      <c r="K7" s="377">
        <f t="shared" si="20"/>
        <v>7970423</v>
      </c>
      <c r="L7" s="377">
        <f t="shared" si="20"/>
        <v>7881273</v>
      </c>
      <c r="M7" s="377">
        <f t="shared" si="20"/>
        <v>7831106</v>
      </c>
      <c r="N7" s="377">
        <f t="shared" si="20"/>
        <v>7791029</v>
      </c>
      <c r="O7" s="377">
        <f t="shared" si="20"/>
        <v>7806719</v>
      </c>
      <c r="P7" s="377">
        <f t="shared" si="20"/>
        <v>7839303</v>
      </c>
      <c r="Q7" s="377">
        <f t="shared" si="20"/>
        <v>7961124</v>
      </c>
      <c r="R7" s="377">
        <f t="shared" si="20"/>
        <v>8124316</v>
      </c>
      <c r="S7" s="377">
        <f t="shared" si="20"/>
        <v>8276014</v>
      </c>
      <c r="T7" s="377">
        <f t="shared" si="20"/>
        <v>8467808</v>
      </c>
      <c r="U7" s="377">
        <f t="shared" si="20"/>
        <v>8644347</v>
      </c>
      <c r="V7" s="377">
        <f t="shared" si="20"/>
        <v>8888561</v>
      </c>
      <c r="W7" s="377">
        <f t="shared" si="20"/>
        <v>9184143</v>
      </c>
      <c r="X7" s="377">
        <f t="shared" si="20"/>
        <v>9478963</v>
      </c>
      <c r="Y7" s="377">
        <f t="shared" si="20"/>
        <v>9741992</v>
      </c>
      <c r="Z7" s="377">
        <f t="shared" si="20"/>
        <v>9930806</v>
      </c>
      <c r="AA7" s="377">
        <f t="shared" si="20"/>
        <v>10114304</v>
      </c>
      <c r="AB7" s="377">
        <f t="shared" si="20"/>
        <v>10315840</v>
      </c>
      <c r="AC7" s="377">
        <f t="shared" si="20"/>
        <v>10594328</v>
      </c>
      <c r="AD7" s="377">
        <f t="shared" si="20"/>
        <v>10774862</v>
      </c>
      <c r="AE7" s="377">
        <f t="shared" si="20"/>
        <v>10958679</v>
      </c>
      <c r="AF7" s="377">
        <f t="shared" si="20"/>
        <v>11093466</v>
      </c>
      <c r="AG7" s="377">
        <f t="shared" si="20"/>
        <v>11244164</v>
      </c>
      <c r="AH7" s="377">
        <f t="shared" ref="AH7:BE7" si="21">SUM(AH31:AH43)</f>
        <v>11439980</v>
      </c>
      <c r="AI7" s="377">
        <f t="shared" si="21"/>
        <v>11596055</v>
      </c>
      <c r="AJ7" s="377">
        <f t="shared" si="21"/>
        <v>11766178</v>
      </c>
      <c r="AK7" s="377">
        <f t="shared" si="21"/>
        <v>11856810</v>
      </c>
      <c r="AL7" s="377">
        <f t="shared" si="21"/>
        <v>11951157</v>
      </c>
      <c r="AM7" s="377">
        <f t="shared" si="21"/>
        <v>11945072</v>
      </c>
      <c r="AN7" s="377">
        <f t="shared" si="21"/>
        <v>11975554</v>
      </c>
      <c r="AO7" s="377">
        <f t="shared" si="21"/>
        <v>11978844</v>
      </c>
      <c r="AP7" s="377">
        <f t="shared" si="21"/>
        <v>11944893</v>
      </c>
      <c r="AQ7" s="377">
        <f t="shared" si="21"/>
        <v>11998242</v>
      </c>
      <c r="AR7" s="377">
        <f t="shared" ref="AR7:AS7" si="22">SUM(AR31:AR43)</f>
        <v>12037964</v>
      </c>
      <c r="AS7" s="377">
        <f t="shared" si="22"/>
        <v>12124384</v>
      </c>
      <c r="AT7" s="377">
        <f t="shared" ref="AT7:AU7" si="23">SUM(AT31:AT43)</f>
        <v>12211645</v>
      </c>
      <c r="AU7" s="377">
        <f t="shared" si="23"/>
        <v>12265993</v>
      </c>
      <c r="AV7" s="404">
        <f t="shared" si="21"/>
        <v>12048000</v>
      </c>
      <c r="AW7" s="377">
        <f t="shared" si="21"/>
        <v>12121000</v>
      </c>
      <c r="AX7" s="377">
        <f>SUM(AX31:AX43)</f>
        <v>12217000</v>
      </c>
      <c r="AY7" s="377">
        <f t="shared" si="21"/>
        <v>12348000</v>
      </c>
      <c r="AZ7" s="377">
        <f t="shared" si="21"/>
        <v>12489000</v>
      </c>
      <c r="BA7" s="377">
        <f t="shared" si="21"/>
        <v>12650000</v>
      </c>
      <c r="BB7" s="377">
        <f t="shared" si="21"/>
        <v>12808000</v>
      </c>
      <c r="BC7" s="377">
        <f t="shared" si="21"/>
        <v>12975000</v>
      </c>
      <c r="BD7" s="377">
        <f t="shared" si="21"/>
        <v>13152000</v>
      </c>
      <c r="BE7" s="377">
        <f t="shared" si="21"/>
        <v>13337000</v>
      </c>
      <c r="BF7" s="377">
        <f t="shared" ref="BF7" si="24">SUM(BF31:BF43)</f>
        <v>13516000</v>
      </c>
      <c r="BG7" s="377">
        <f>SUM(BG31:BG43)</f>
        <v>13263700</v>
      </c>
      <c r="BH7" s="377">
        <f>SUM(BH31:BH43)</f>
        <v>13507800</v>
      </c>
    </row>
    <row r="8" spans="1:60">
      <c r="A8" s="108" t="s">
        <v>244</v>
      </c>
      <c r="B8" s="109">
        <f t="shared" ref="B8:AG8" si="25">(B7/B4)*100</f>
        <v>18.041024780473876</v>
      </c>
      <c r="C8" s="109">
        <f t="shared" si="25"/>
        <v>18.170935783270828</v>
      </c>
      <c r="D8" s="109">
        <f t="shared" si="25"/>
        <v>18.130367723074269</v>
      </c>
      <c r="E8" s="109">
        <f t="shared" si="25"/>
        <v>18.069971732745767</v>
      </c>
      <c r="F8" s="109">
        <f t="shared" si="25"/>
        <v>18.159220330375845</v>
      </c>
      <c r="G8" s="109">
        <f t="shared" si="25"/>
        <v>18.148834032884242</v>
      </c>
      <c r="H8" s="109">
        <f t="shared" si="25"/>
        <v>18.275158393163736</v>
      </c>
      <c r="I8" s="109">
        <f t="shared" si="25"/>
        <v>18.440128342045174</v>
      </c>
      <c r="J8" s="109">
        <f t="shared" si="25"/>
        <v>18.58048900744889</v>
      </c>
      <c r="K8" s="109">
        <f t="shared" si="25"/>
        <v>18.731505822921271</v>
      </c>
      <c r="L8" s="109">
        <f t="shared" si="25"/>
        <v>18.922300776034753</v>
      </c>
      <c r="M8" s="109">
        <f t="shared" si="25"/>
        <v>19.157506305244201</v>
      </c>
      <c r="N8" s="109">
        <f t="shared" si="25"/>
        <v>19.45612552642908</v>
      </c>
      <c r="O8" s="109">
        <f t="shared" si="25"/>
        <v>19.731072009252479</v>
      </c>
      <c r="P8" s="109">
        <f t="shared" si="25"/>
        <v>19.971572117491792</v>
      </c>
      <c r="Q8" s="109">
        <f t="shared" si="25"/>
        <v>20.304715446125986</v>
      </c>
      <c r="R8" s="109">
        <f t="shared" si="25"/>
        <v>20.608604427364739</v>
      </c>
      <c r="S8" s="109">
        <f t="shared" si="25"/>
        <v>20.818499716198748</v>
      </c>
      <c r="T8" s="109">
        <f t="shared" si="25"/>
        <v>21.165174260594945</v>
      </c>
      <c r="U8" s="109">
        <f t="shared" si="25"/>
        <v>21.509402272131787</v>
      </c>
      <c r="V8" s="109">
        <f t="shared" si="25"/>
        <v>21.923945532300053</v>
      </c>
      <c r="W8" s="109">
        <f t="shared" si="25"/>
        <v>22.282586398328075</v>
      </c>
      <c r="X8" s="109">
        <f t="shared" si="25"/>
        <v>22.543797425340355</v>
      </c>
      <c r="Y8" s="109">
        <f t="shared" si="25"/>
        <v>22.749272639164388</v>
      </c>
      <c r="Z8" s="109">
        <f t="shared" si="25"/>
        <v>22.847866541373278</v>
      </c>
      <c r="AA8" s="109">
        <f t="shared" si="25"/>
        <v>22.928959856755661</v>
      </c>
      <c r="AB8" s="109">
        <f t="shared" si="25"/>
        <v>23.005640818170527</v>
      </c>
      <c r="AC8" s="109">
        <f t="shared" si="25"/>
        <v>23.227548870508254</v>
      </c>
      <c r="AD8" s="109">
        <f t="shared" si="25"/>
        <v>23.359173715934112</v>
      </c>
      <c r="AE8" s="109">
        <f t="shared" si="25"/>
        <v>23.547512241723723</v>
      </c>
      <c r="AF8" s="109">
        <f t="shared" si="25"/>
        <v>23.67507677430396</v>
      </c>
      <c r="AG8" s="109">
        <f t="shared" si="25"/>
        <v>23.820595315957135</v>
      </c>
      <c r="AH8" s="109">
        <f t="shared" ref="AH8:BE8" si="26">(AH7/AH4)*100</f>
        <v>23.997338472352773</v>
      </c>
      <c r="AI8" s="109">
        <f t="shared" si="26"/>
        <v>24.066650691489542</v>
      </c>
      <c r="AJ8" s="109">
        <f t="shared" si="26"/>
        <v>24.2400615654463</v>
      </c>
      <c r="AK8" s="109">
        <f t="shared" si="26"/>
        <v>24.298999917307889</v>
      </c>
      <c r="AL8" s="109">
        <f t="shared" si="26"/>
        <v>24.333851495780227</v>
      </c>
      <c r="AM8" s="109">
        <f t="shared" si="26"/>
        <v>24.221571640204377</v>
      </c>
      <c r="AN8" s="109">
        <f t="shared" si="26"/>
        <v>24.294877109821176</v>
      </c>
      <c r="AO8" s="109">
        <f t="shared" si="26"/>
        <v>24.31483795621007</v>
      </c>
      <c r="AP8" s="109">
        <f t="shared" si="26"/>
        <v>24.199058681612129</v>
      </c>
      <c r="AQ8" s="109">
        <f t="shared" si="26"/>
        <v>24.246621359662392</v>
      </c>
      <c r="AR8" s="109">
        <f t="shared" ref="AR8:AS8" si="27">(AR7/AR4)*100</f>
        <v>24.308477971532017</v>
      </c>
      <c r="AS8" s="109">
        <f t="shared" si="27"/>
        <v>24.360280594862267</v>
      </c>
      <c r="AT8" s="109">
        <f t="shared" ref="AT8:AU8" si="28">(AT7/AT4)*100</f>
        <v>24.401561873245587</v>
      </c>
      <c r="AU8" s="109">
        <f t="shared" si="28"/>
        <v>24.37957416654892</v>
      </c>
      <c r="AV8" s="118">
        <f t="shared" si="26"/>
        <v>24.273683362211386</v>
      </c>
      <c r="AW8" s="109">
        <f t="shared" si="26"/>
        <v>24.324703993578165</v>
      </c>
      <c r="AX8" s="109">
        <f t="shared" si="26"/>
        <v>24.400814891747224</v>
      </c>
      <c r="AY8" s="109">
        <f t="shared" si="26"/>
        <v>24.495625781110515</v>
      </c>
      <c r="AZ8" s="109">
        <f t="shared" si="26"/>
        <v>24.598688227531465</v>
      </c>
      <c r="BA8" s="109">
        <f t="shared" si="26"/>
        <v>24.733116959293007</v>
      </c>
      <c r="BB8" s="109">
        <f t="shared" si="26"/>
        <v>24.858800923859249</v>
      </c>
      <c r="BC8" s="109">
        <f t="shared" si="26"/>
        <v>25.009155567548813</v>
      </c>
      <c r="BD8" s="109">
        <f t="shared" si="26"/>
        <v>25.166475315729048</v>
      </c>
      <c r="BE8" s="109">
        <f t="shared" si="26"/>
        <v>25.314125194548836</v>
      </c>
      <c r="BF8" s="109">
        <f t="shared" ref="BF8:BG8" si="29">(BF7/BF4)*100</f>
        <v>25.448109655068535</v>
      </c>
      <c r="BG8" s="109">
        <f t="shared" si="29"/>
        <v>25.451855490675051</v>
      </c>
      <c r="BH8" s="109">
        <f t="shared" ref="BH8" si="30">(BH7/BH4)*100</f>
        <v>25.52523271238903</v>
      </c>
    </row>
    <row r="9" spans="1:60">
      <c r="A9" s="111" t="s">
        <v>246</v>
      </c>
      <c r="B9" s="198">
        <f t="shared" ref="B9:AG9" si="31">SUM(B45:B56)</f>
        <v>11854748</v>
      </c>
      <c r="C9" s="198">
        <f t="shared" si="31"/>
        <v>12935971</v>
      </c>
      <c r="D9" s="198">
        <f t="shared" si="31"/>
        <v>12969606</v>
      </c>
      <c r="E9" s="198">
        <f t="shared" si="31"/>
        <v>12868890</v>
      </c>
      <c r="F9" s="198">
        <f t="shared" si="31"/>
        <v>12666765</v>
      </c>
      <c r="G9" s="198">
        <f t="shared" si="31"/>
        <v>12510946</v>
      </c>
      <c r="H9" s="198">
        <f t="shared" si="31"/>
        <v>12294896</v>
      </c>
      <c r="I9" s="198">
        <f t="shared" si="31"/>
        <v>12097188</v>
      </c>
      <c r="J9" s="198">
        <f t="shared" si="31"/>
        <v>11763817</v>
      </c>
      <c r="K9" s="198">
        <f t="shared" si="31"/>
        <v>11320806</v>
      </c>
      <c r="L9" s="198">
        <f t="shared" si="31"/>
        <v>11031720</v>
      </c>
      <c r="M9" s="198">
        <f t="shared" si="31"/>
        <v>10697668</v>
      </c>
      <c r="N9" s="198">
        <f t="shared" si="31"/>
        <v>10372082</v>
      </c>
      <c r="O9" s="198">
        <f t="shared" si="31"/>
        <v>10139369</v>
      </c>
      <c r="P9" s="198">
        <f t="shared" si="31"/>
        <v>9986078</v>
      </c>
      <c r="Q9" s="198">
        <f t="shared" si="31"/>
        <v>9888916</v>
      </c>
      <c r="R9" s="198">
        <f t="shared" si="31"/>
        <v>9862018</v>
      </c>
      <c r="S9" s="198">
        <f t="shared" si="31"/>
        <v>9870863</v>
      </c>
      <c r="T9" s="198">
        <f t="shared" si="31"/>
        <v>9870056</v>
      </c>
      <c r="U9" s="198">
        <f t="shared" si="31"/>
        <v>9845634</v>
      </c>
      <c r="V9" s="198">
        <f t="shared" si="31"/>
        <v>9848522</v>
      </c>
      <c r="W9" s="198">
        <f t="shared" si="31"/>
        <v>9943761</v>
      </c>
      <c r="X9" s="198">
        <f t="shared" si="31"/>
        <v>10079946</v>
      </c>
      <c r="Y9" s="198">
        <f t="shared" si="31"/>
        <v>10197598</v>
      </c>
      <c r="Z9" s="198">
        <f t="shared" si="31"/>
        <v>10289201</v>
      </c>
      <c r="AA9" s="198">
        <f t="shared" si="31"/>
        <v>10386231</v>
      </c>
      <c r="AB9" s="198">
        <f t="shared" si="31"/>
        <v>10512459</v>
      </c>
      <c r="AC9" s="198">
        <f t="shared" si="31"/>
        <v>10637963</v>
      </c>
      <c r="AD9" s="198">
        <f t="shared" si="31"/>
        <v>10704407</v>
      </c>
      <c r="AE9" s="198">
        <f t="shared" si="31"/>
        <v>10721601</v>
      </c>
      <c r="AF9" s="198">
        <f t="shared" si="31"/>
        <v>10725930</v>
      </c>
      <c r="AG9" s="198">
        <f t="shared" si="31"/>
        <v>10729987</v>
      </c>
      <c r="AH9" s="198">
        <f t="shared" ref="AH9:BE9" si="32">SUM(AH45:AH56)</f>
        <v>10744536</v>
      </c>
      <c r="AI9" s="198">
        <f t="shared" si="32"/>
        <v>10818970</v>
      </c>
      <c r="AJ9" s="198">
        <f t="shared" si="32"/>
        <v>10808977</v>
      </c>
      <c r="AK9" s="198">
        <f t="shared" si="32"/>
        <v>10775409</v>
      </c>
      <c r="AL9" s="198">
        <f t="shared" si="32"/>
        <v>10818815</v>
      </c>
      <c r="AM9" s="198">
        <f t="shared" si="32"/>
        <v>10819248</v>
      </c>
      <c r="AN9" s="198">
        <f t="shared" si="32"/>
        <v>10770212</v>
      </c>
      <c r="AO9" s="198">
        <f t="shared" si="32"/>
        <v>10742973</v>
      </c>
      <c r="AP9" s="198">
        <f t="shared" si="32"/>
        <v>10672171</v>
      </c>
      <c r="AQ9" s="198">
        <f t="shared" si="32"/>
        <v>10609604</v>
      </c>
      <c r="AR9" s="198">
        <f t="shared" ref="AR9:AS9" si="33">SUM(AR45:AR56)</f>
        <v>10573792</v>
      </c>
      <c r="AS9" s="198">
        <f t="shared" si="33"/>
        <v>10559230</v>
      </c>
      <c r="AT9" s="198">
        <f t="shared" ref="AT9:AU9" si="34">SUM(AT45:AT56)</f>
        <v>10572920</v>
      </c>
      <c r="AU9" s="198">
        <f t="shared" si="34"/>
        <v>10560539</v>
      </c>
      <c r="AV9" s="405">
        <f t="shared" si="32"/>
        <v>10580000</v>
      </c>
      <c r="AW9" s="198">
        <f t="shared" si="32"/>
        <v>10577000</v>
      </c>
      <c r="AX9" s="198">
        <f>SUM(AX45:AX56)</f>
        <v>10579000</v>
      </c>
      <c r="AY9" s="198">
        <f t="shared" si="32"/>
        <v>10611000</v>
      </c>
      <c r="AZ9" s="198">
        <f t="shared" si="32"/>
        <v>10652000</v>
      </c>
      <c r="BA9" s="198">
        <f t="shared" si="32"/>
        <v>10688000</v>
      </c>
      <c r="BB9" s="198">
        <f t="shared" si="32"/>
        <v>10729000</v>
      </c>
      <c r="BC9" s="198">
        <f t="shared" si="32"/>
        <v>10758000</v>
      </c>
      <c r="BD9" s="198">
        <f t="shared" si="32"/>
        <v>10788000</v>
      </c>
      <c r="BE9" s="198">
        <f t="shared" si="32"/>
        <v>10830000</v>
      </c>
      <c r="BF9" s="198">
        <f t="shared" ref="BF9" si="35">SUM(BF45:BF56)</f>
        <v>10868000</v>
      </c>
      <c r="BG9" s="198">
        <f>SUM(BG45:BG56)</f>
        <v>10515400</v>
      </c>
      <c r="BH9" s="198">
        <f>SUM(BH45:BH56)</f>
        <v>10553600</v>
      </c>
    </row>
    <row r="10" spans="1:60">
      <c r="A10" s="108" t="s">
        <v>244</v>
      </c>
      <c r="B10" s="109">
        <f t="shared" ref="B10:AG10" si="36">(B9/B4)*100</f>
        <v>28.129478744814385</v>
      </c>
      <c r="C10" s="109">
        <f t="shared" si="36"/>
        <v>28.186652448383185</v>
      </c>
      <c r="D10" s="109">
        <f t="shared" si="36"/>
        <v>28.151144854151909</v>
      </c>
      <c r="E10" s="109">
        <f t="shared" si="36"/>
        <v>28.143233992925925</v>
      </c>
      <c r="F10" s="109">
        <f t="shared" si="36"/>
        <v>27.872866914306364</v>
      </c>
      <c r="G10" s="109">
        <f t="shared" si="36"/>
        <v>27.756802503718319</v>
      </c>
      <c r="H10" s="109">
        <f t="shared" si="36"/>
        <v>27.432129893427447</v>
      </c>
      <c r="I10" s="109">
        <f t="shared" si="36"/>
        <v>27.300664129055548</v>
      </c>
      <c r="J10" s="109">
        <f t="shared" si="36"/>
        <v>26.99524131479885</v>
      </c>
      <c r="K10" s="109">
        <f t="shared" si="36"/>
        <v>26.60533117366068</v>
      </c>
      <c r="L10" s="109">
        <f t="shared" si="36"/>
        <v>26.486269910584003</v>
      </c>
      <c r="M10" s="109">
        <f t="shared" si="36"/>
        <v>26.170076380195738</v>
      </c>
      <c r="N10" s="109">
        <f t="shared" si="36"/>
        <v>25.90165296040043</v>
      </c>
      <c r="O10" s="109">
        <f t="shared" si="36"/>
        <v>25.62672229746995</v>
      </c>
      <c r="P10" s="109">
        <f t="shared" si="36"/>
        <v>25.440740962289404</v>
      </c>
      <c r="Q10" s="109">
        <f t="shared" si="36"/>
        <v>25.221517143891038</v>
      </c>
      <c r="R10" s="109">
        <f t="shared" si="36"/>
        <v>25.016558663837145</v>
      </c>
      <c r="S10" s="109">
        <f t="shared" si="36"/>
        <v>24.830378315471279</v>
      </c>
      <c r="T10" s="109">
        <f t="shared" si="36"/>
        <v>24.670074616929281</v>
      </c>
      <c r="U10" s="109">
        <f t="shared" si="36"/>
        <v>24.498519359551157</v>
      </c>
      <c r="V10" s="109">
        <f t="shared" si="36"/>
        <v>24.29172279986139</v>
      </c>
      <c r="W10" s="109">
        <f t="shared" si="36"/>
        <v>24.125573132607492</v>
      </c>
      <c r="X10" s="109">
        <f t="shared" si="36"/>
        <v>23.973114008607251</v>
      </c>
      <c r="Y10" s="109">
        <f t="shared" si="36"/>
        <v>23.813193150497096</v>
      </c>
      <c r="Z10" s="109">
        <f t="shared" si="36"/>
        <v>23.67242812570948</v>
      </c>
      <c r="AA10" s="109">
        <f t="shared" si="36"/>
        <v>23.545413867527735</v>
      </c>
      <c r="AB10" s="109">
        <f t="shared" si="36"/>
        <v>23.444126301856574</v>
      </c>
      <c r="AC10" s="109">
        <f t="shared" si="36"/>
        <v>23.323216485760927</v>
      </c>
      <c r="AD10" s="109">
        <f t="shared" si="36"/>
        <v>23.206432030318449</v>
      </c>
      <c r="AE10" s="109">
        <f t="shared" si="36"/>
        <v>23.038089791513858</v>
      </c>
      <c r="AF10" s="109">
        <f t="shared" si="36"/>
        <v>22.89070126737758</v>
      </c>
      <c r="AG10" s="109">
        <f t="shared" si="36"/>
        <v>22.731318937760154</v>
      </c>
      <c r="AH10" s="109">
        <f t="shared" ref="AH10:BE10" si="37">(AH9/AH4)*100</f>
        <v>22.538524291159547</v>
      </c>
      <c r="AI10" s="109">
        <f t="shared" si="37"/>
        <v>22.453875204257361</v>
      </c>
      <c r="AJ10" s="109">
        <f t="shared" si="37"/>
        <v>22.268086369209531</v>
      </c>
      <c r="AK10" s="109">
        <f t="shared" si="37"/>
        <v>22.08280831015751</v>
      </c>
      <c r="AL10" s="109">
        <f t="shared" si="37"/>
        <v>22.028280405848534</v>
      </c>
      <c r="AM10" s="109">
        <f t="shared" si="37"/>
        <v>21.938686558367998</v>
      </c>
      <c r="AN10" s="109">
        <f t="shared" si="37"/>
        <v>21.849592677442843</v>
      </c>
      <c r="AO10" s="109">
        <f t="shared" si="37"/>
        <v>21.806248387819387</v>
      </c>
      <c r="AP10" s="109">
        <f t="shared" si="37"/>
        <v>21.620661841776162</v>
      </c>
      <c r="AQ10" s="109">
        <f t="shared" si="37"/>
        <v>21.440395264902939</v>
      </c>
      <c r="AR10" s="109">
        <f t="shared" ref="AR10:AS10" si="38">(AR9/AR4)*100</f>
        <v>21.351849025928427</v>
      </c>
      <c r="AS10" s="109">
        <f t="shared" si="38"/>
        <v>21.215577275157855</v>
      </c>
      <c r="AT10" s="109">
        <f t="shared" ref="AT10:AU10" si="39">(AT9/AT4)*100</f>
        <v>21.12702764949978</v>
      </c>
      <c r="AU10" s="109">
        <f t="shared" si="39"/>
        <v>20.989857387757546</v>
      </c>
      <c r="AV10" s="118">
        <f t="shared" si="37"/>
        <v>21.316033364226136</v>
      </c>
      <c r="AW10" s="109">
        <f t="shared" si="37"/>
        <v>21.226168974513346</v>
      </c>
      <c r="AX10" s="109">
        <f t="shared" si="37"/>
        <v>21.129264200687064</v>
      </c>
      <c r="AY10" s="109">
        <f t="shared" si="37"/>
        <v>21.049812533476164</v>
      </c>
      <c r="AZ10" s="109">
        <f t="shared" si="37"/>
        <v>20.980480983238465</v>
      </c>
      <c r="BA10" s="109">
        <f t="shared" si="37"/>
        <v>20.89703984671333</v>
      </c>
      <c r="BB10" s="109">
        <f t="shared" si="37"/>
        <v>20.823709799507018</v>
      </c>
      <c r="BC10" s="109">
        <f t="shared" si="37"/>
        <v>20.735914882134114</v>
      </c>
      <c r="BD10" s="109">
        <f t="shared" si="37"/>
        <v>20.642939150401837</v>
      </c>
      <c r="BE10" s="109">
        <f t="shared" si="37"/>
        <v>20.555745359298484</v>
      </c>
      <c r="BF10" s="109">
        <f t="shared" ref="BF10:BG10" si="40">(BF9/BF4)*100</f>
        <v>20.462419039011902</v>
      </c>
      <c r="BG10" s="109">
        <f t="shared" si="40"/>
        <v>20.178113288648301</v>
      </c>
      <c r="BH10" s="109">
        <f t="shared" ref="BH10" si="41">(BH9/BH4)*100</f>
        <v>19.942780908324735</v>
      </c>
    </row>
    <row r="11" spans="1:60">
      <c r="A11" s="111" t="s">
        <v>247</v>
      </c>
      <c r="B11" s="198">
        <f t="shared" ref="B11:AG11" si="42">SUM(B58:B66)</f>
        <v>8852090</v>
      </c>
      <c r="C11" s="198">
        <f t="shared" si="42"/>
        <v>9859626</v>
      </c>
      <c r="D11" s="198">
        <f t="shared" si="42"/>
        <v>9971570</v>
      </c>
      <c r="E11" s="198">
        <f t="shared" si="42"/>
        <v>9961918</v>
      </c>
      <c r="F11" s="198">
        <f t="shared" si="42"/>
        <v>9848531</v>
      </c>
      <c r="G11" s="198">
        <f t="shared" si="42"/>
        <v>9755488</v>
      </c>
      <c r="H11" s="198">
        <f t="shared" si="42"/>
        <v>9679178</v>
      </c>
      <c r="I11" s="198">
        <f t="shared" si="42"/>
        <v>9464529</v>
      </c>
      <c r="J11" s="198">
        <f t="shared" si="42"/>
        <v>9156161</v>
      </c>
      <c r="K11" s="198">
        <f t="shared" si="42"/>
        <v>8828161</v>
      </c>
      <c r="L11" s="198">
        <f t="shared" si="42"/>
        <v>8479590</v>
      </c>
      <c r="M11" s="198">
        <f t="shared" si="42"/>
        <v>8214868</v>
      </c>
      <c r="N11" s="198">
        <f t="shared" si="42"/>
        <v>7890815</v>
      </c>
      <c r="O11" s="198">
        <f t="shared" si="42"/>
        <v>7674217</v>
      </c>
      <c r="P11" s="198">
        <f t="shared" si="42"/>
        <v>7512651</v>
      </c>
      <c r="Q11" s="198">
        <f t="shared" si="42"/>
        <v>7395300</v>
      </c>
      <c r="R11" s="198">
        <f t="shared" si="42"/>
        <v>7318330</v>
      </c>
      <c r="S11" s="198">
        <f t="shared" si="42"/>
        <v>7294383</v>
      </c>
      <c r="T11" s="198">
        <f t="shared" si="42"/>
        <v>7251796</v>
      </c>
      <c r="U11" s="198">
        <f t="shared" si="42"/>
        <v>7207646</v>
      </c>
      <c r="V11" s="198">
        <f t="shared" si="42"/>
        <v>7200252</v>
      </c>
      <c r="W11" s="198">
        <f t="shared" si="42"/>
        <v>7281763</v>
      </c>
      <c r="X11" s="198">
        <f t="shared" si="42"/>
        <v>7406610</v>
      </c>
      <c r="Y11" s="198">
        <f t="shared" si="42"/>
        <v>7526339</v>
      </c>
      <c r="Z11" s="198">
        <f t="shared" si="42"/>
        <v>7654012</v>
      </c>
      <c r="AA11" s="198">
        <f t="shared" si="42"/>
        <v>7759851</v>
      </c>
      <c r="AB11" s="198">
        <f t="shared" si="42"/>
        <v>7894190</v>
      </c>
      <c r="AC11" s="198">
        <f t="shared" si="42"/>
        <v>8005812</v>
      </c>
      <c r="AD11" s="198">
        <f t="shared" si="42"/>
        <v>8084933</v>
      </c>
      <c r="AE11" s="198">
        <f t="shared" si="42"/>
        <v>8145237</v>
      </c>
      <c r="AF11" s="198">
        <f t="shared" si="42"/>
        <v>8196215</v>
      </c>
      <c r="AG11" s="198">
        <f t="shared" si="42"/>
        <v>8222127</v>
      </c>
      <c r="AH11" s="198">
        <f t="shared" ref="AH11:BE11" si="43">SUM(AH58:AH66)</f>
        <v>8250440</v>
      </c>
      <c r="AI11" s="198">
        <f t="shared" si="43"/>
        <v>8296621</v>
      </c>
      <c r="AJ11" s="198">
        <f t="shared" si="43"/>
        <v>8292315</v>
      </c>
      <c r="AK11" s="198">
        <f t="shared" si="43"/>
        <v>8271259</v>
      </c>
      <c r="AL11" s="198">
        <f t="shared" si="43"/>
        <v>8240160</v>
      </c>
      <c r="AM11" s="198">
        <f t="shared" si="43"/>
        <v>8257889</v>
      </c>
      <c r="AN11" s="198">
        <f t="shared" si="43"/>
        <v>8122022</v>
      </c>
      <c r="AO11" s="198">
        <f t="shared" si="43"/>
        <v>8052985</v>
      </c>
      <c r="AP11" s="198">
        <f t="shared" si="43"/>
        <v>8092029</v>
      </c>
      <c r="AQ11" s="198">
        <f t="shared" si="43"/>
        <v>8071335</v>
      </c>
      <c r="AR11" s="198">
        <f t="shared" ref="AR11:AS11" si="44">SUM(AR58:AR66)</f>
        <v>7953981</v>
      </c>
      <c r="AS11" s="198">
        <f t="shared" si="44"/>
        <v>7959128</v>
      </c>
      <c r="AT11" s="198">
        <f t="shared" ref="AT11:AU11" si="45">SUM(AT58:AT66)</f>
        <v>7961243</v>
      </c>
      <c r="AU11" s="198">
        <f t="shared" si="45"/>
        <v>7979856</v>
      </c>
      <c r="AV11" s="405">
        <f t="shared" si="43"/>
        <v>8112000</v>
      </c>
      <c r="AW11" s="198">
        <f t="shared" si="43"/>
        <v>8104000</v>
      </c>
      <c r="AX11" s="198">
        <f>SUM(AX58:AX66)</f>
        <v>8105000</v>
      </c>
      <c r="AY11" s="198">
        <f t="shared" si="43"/>
        <v>8115000</v>
      </c>
      <c r="AZ11" s="198">
        <f t="shared" si="43"/>
        <v>8127000</v>
      </c>
      <c r="BA11" s="198">
        <f t="shared" si="43"/>
        <v>8139000</v>
      </c>
      <c r="BB11" s="198">
        <f t="shared" si="43"/>
        <v>8158000</v>
      </c>
      <c r="BC11" s="198">
        <f t="shared" si="43"/>
        <v>8176000</v>
      </c>
      <c r="BD11" s="198">
        <f t="shared" si="43"/>
        <v>8196000</v>
      </c>
      <c r="BE11" s="198">
        <f t="shared" si="43"/>
        <v>8223000</v>
      </c>
      <c r="BF11" s="198">
        <f t="shared" ref="BF11" si="46">SUM(BF58:BF66)</f>
        <v>8248000</v>
      </c>
      <c r="BG11" s="198">
        <f>SUM(BG58:BG66)</f>
        <v>7791100</v>
      </c>
      <c r="BH11" s="198">
        <f>SUM(BH58:BH66)</f>
        <v>7958400</v>
      </c>
    </row>
    <row r="12" spans="1:60">
      <c r="A12" s="108" t="s">
        <v>244</v>
      </c>
      <c r="B12" s="109">
        <f t="shared" ref="B12:AG12" si="47">(B11/B4)*100</f>
        <v>21.004636918657738</v>
      </c>
      <c r="C12" s="109">
        <f t="shared" si="47"/>
        <v>21.483493688494086</v>
      </c>
      <c r="D12" s="109">
        <f t="shared" si="47"/>
        <v>21.643765546410243</v>
      </c>
      <c r="E12" s="109">
        <f t="shared" si="47"/>
        <v>21.78591854405008</v>
      </c>
      <c r="F12" s="109">
        <f t="shared" si="47"/>
        <v>21.671420750635271</v>
      </c>
      <c r="G12" s="109">
        <f t="shared" si="47"/>
        <v>21.643539484815459</v>
      </c>
      <c r="H12" s="109">
        <f t="shared" si="47"/>
        <v>21.595991390053669</v>
      </c>
      <c r="I12" s="109">
        <f t="shared" si="47"/>
        <v>21.359338002245313</v>
      </c>
      <c r="J12" s="109">
        <f t="shared" si="47"/>
        <v>21.011273442297682</v>
      </c>
      <c r="K12" s="109">
        <f t="shared" si="47"/>
        <v>20.747299004982104</v>
      </c>
      <c r="L12" s="109">
        <f t="shared" si="47"/>
        <v>20.358811633280123</v>
      </c>
      <c r="M12" s="109">
        <f t="shared" si="47"/>
        <v>20.096316600330631</v>
      </c>
      <c r="N12" s="109">
        <f t="shared" si="47"/>
        <v>19.705315837719187</v>
      </c>
      <c r="O12" s="109">
        <f t="shared" si="47"/>
        <v>19.396180167574819</v>
      </c>
      <c r="P12" s="109">
        <f t="shared" si="47"/>
        <v>19.139386657212615</v>
      </c>
      <c r="Q12" s="109">
        <f t="shared" si="47"/>
        <v>18.861590667189141</v>
      </c>
      <c r="R12" s="109">
        <f t="shared" si="47"/>
        <v>18.564094262078946</v>
      </c>
      <c r="S12" s="109">
        <f t="shared" si="47"/>
        <v>18.349184814736294</v>
      </c>
      <c r="T12" s="109">
        <f t="shared" si="47"/>
        <v>18.125768326618338</v>
      </c>
      <c r="U12" s="109">
        <f t="shared" si="47"/>
        <v>17.934513416585613</v>
      </c>
      <c r="V12" s="109">
        <f t="shared" si="47"/>
        <v>17.759672534939515</v>
      </c>
      <c r="W12" s="109">
        <f t="shared" si="47"/>
        <v>17.667028178856604</v>
      </c>
      <c r="X12" s="109">
        <f t="shared" si="47"/>
        <v>17.615124718653309</v>
      </c>
      <c r="Y12" s="109">
        <f t="shared" si="47"/>
        <v>17.575331398935234</v>
      </c>
      <c r="Z12" s="109">
        <f t="shared" si="47"/>
        <v>17.609632559740827</v>
      </c>
      <c r="AA12" s="109">
        <f t="shared" si="47"/>
        <v>17.59145385321672</v>
      </c>
      <c r="AB12" s="109">
        <f t="shared" si="47"/>
        <v>17.605052006467105</v>
      </c>
      <c r="AC12" s="109">
        <f t="shared" si="47"/>
        <v>17.552353436489923</v>
      </c>
      <c r="AD12" s="109">
        <f t="shared" si="47"/>
        <v>17.527589163433213</v>
      </c>
      <c r="AE12" s="109">
        <f t="shared" si="47"/>
        <v>17.502115717527726</v>
      </c>
      <c r="AF12" s="109">
        <f t="shared" si="47"/>
        <v>17.491919962949517</v>
      </c>
      <c r="AG12" s="109">
        <f t="shared" si="47"/>
        <v>17.418454578162031</v>
      </c>
      <c r="AH12" s="109">
        <f t="shared" ref="AH12:BE12" si="48">(AH11/AH4)*100</f>
        <v>17.306726167863772</v>
      </c>
      <c r="AI12" s="109">
        <f t="shared" si="48"/>
        <v>17.218948989693189</v>
      </c>
      <c r="AJ12" s="109">
        <f t="shared" si="48"/>
        <v>17.083391575418442</v>
      </c>
      <c r="AK12" s="109">
        <f t="shared" si="48"/>
        <v>16.950876480017151</v>
      </c>
      <c r="AL12" s="109">
        <f t="shared" si="48"/>
        <v>16.777859226639595</v>
      </c>
      <c r="AM12" s="109">
        <f t="shared" si="48"/>
        <v>16.744901161780835</v>
      </c>
      <c r="AN12" s="109">
        <f t="shared" si="48"/>
        <v>16.477193988124807</v>
      </c>
      <c r="AO12" s="109">
        <f t="shared" si="48"/>
        <v>16.346070233387326</v>
      </c>
      <c r="AP12" s="109">
        <f t="shared" si="48"/>
        <v>16.393573774524988</v>
      </c>
      <c r="AQ12" s="109">
        <f t="shared" si="48"/>
        <v>16.310939853687785</v>
      </c>
      <c r="AR12" s="109">
        <f t="shared" ref="AR12:AS12" si="49">(AR11/AR4)*100</f>
        <v>16.061617390157025</v>
      </c>
      <c r="AS12" s="109">
        <f t="shared" si="49"/>
        <v>15.991459143031506</v>
      </c>
      <c r="AT12" s="109">
        <f t="shared" ref="AT12:AU12" si="50">(AT11/AT4)*100</f>
        <v>15.908320595009378</v>
      </c>
      <c r="AU12" s="109">
        <f t="shared" si="50"/>
        <v>15.860557819524304</v>
      </c>
      <c r="AV12" s="118">
        <f t="shared" si="48"/>
        <v>16.343635411210059</v>
      </c>
      <c r="AW12" s="109">
        <f t="shared" si="48"/>
        <v>16.263295203692554</v>
      </c>
      <c r="AX12" s="109">
        <f t="shared" si="48"/>
        <v>16.187984341295838</v>
      </c>
      <c r="AY12" s="109">
        <f t="shared" si="48"/>
        <v>16.098315776944595</v>
      </c>
      <c r="AZ12" s="109">
        <f t="shared" si="48"/>
        <v>16.007169447125328</v>
      </c>
      <c r="BA12" s="109">
        <f t="shared" si="48"/>
        <v>15.913267899738004</v>
      </c>
      <c r="BB12" s="109">
        <f t="shared" si="48"/>
        <v>15.833705335481241</v>
      </c>
      <c r="BC12" s="109">
        <f t="shared" si="48"/>
        <v>15.759141111389527</v>
      </c>
      <c r="BD12" s="109">
        <f t="shared" si="48"/>
        <v>15.683122847301952</v>
      </c>
      <c r="BE12" s="109">
        <f t="shared" si="48"/>
        <v>15.607561781118322</v>
      </c>
      <c r="BF12" s="109">
        <f t="shared" ref="BF12:BG12" si="51">(BF11/BF4)*100</f>
        <v>15.529447205904503</v>
      </c>
      <c r="BG12" s="109">
        <f t="shared" si="51"/>
        <v>14.950424942768489</v>
      </c>
      <c r="BH12" s="109">
        <f t="shared" ref="BH12" si="52">(BH11/BH4)*100</f>
        <v>15.038719259855554</v>
      </c>
    </row>
    <row r="13" spans="1:60">
      <c r="A13" s="108"/>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18"/>
      <c r="AW13" s="109"/>
      <c r="AX13" s="109"/>
      <c r="AY13" s="109"/>
      <c r="AZ13" s="109"/>
      <c r="BA13" s="109"/>
      <c r="BB13" s="109"/>
      <c r="BC13" s="109"/>
      <c r="BD13" s="109"/>
      <c r="BE13" s="109"/>
      <c r="BF13" s="109"/>
    </row>
    <row r="14" spans="1:60">
      <c r="A14" s="106" t="s">
        <v>85</v>
      </c>
      <c r="B14" s="28">
        <v>831701</v>
      </c>
      <c r="C14" s="6">
        <v>805205</v>
      </c>
      <c r="D14" s="6">
        <v>806315</v>
      </c>
      <c r="E14" s="6">
        <v>783383</v>
      </c>
      <c r="F14" s="6">
        <v>770739</v>
      </c>
      <c r="G14" s="6">
        <v>764341</v>
      </c>
      <c r="H14" s="6">
        <v>759346</v>
      </c>
      <c r="I14" s="6">
        <v>752507</v>
      </c>
      <c r="J14" s="6">
        <v>761880</v>
      </c>
      <c r="K14" s="6">
        <v>761666</v>
      </c>
      <c r="L14" s="6">
        <v>754181</v>
      </c>
      <c r="M14" s="6">
        <v>758721</v>
      </c>
      <c r="N14" s="6">
        <v>743448</v>
      </c>
      <c r="O14" s="6">
        <v>724037</v>
      </c>
      <c r="P14" s="28">
        <v>721901</v>
      </c>
      <c r="Q14" s="33">
        <v>712586</v>
      </c>
      <c r="R14" s="33">
        <v>730460</v>
      </c>
      <c r="S14" s="33">
        <v>733735</v>
      </c>
      <c r="T14" s="33">
        <v>729234</v>
      </c>
      <c r="U14" s="33">
        <v>724751</v>
      </c>
      <c r="V14" s="33">
        <v>723743</v>
      </c>
      <c r="W14" s="33">
        <v>721806</v>
      </c>
      <c r="X14" s="33">
        <v>722004</v>
      </c>
      <c r="Y14" s="34">
        <v>731634</v>
      </c>
      <c r="Z14" s="34">
        <v>734288</v>
      </c>
      <c r="AA14" s="23">
        <v>736531</v>
      </c>
      <c r="AB14" s="23">
        <v>746149</v>
      </c>
      <c r="AC14" s="23">
        <v>747932</v>
      </c>
      <c r="AD14" s="23">
        <v>749207</v>
      </c>
      <c r="AE14" s="23">
        <v>747980</v>
      </c>
      <c r="AF14" s="24">
        <v>740732</v>
      </c>
      <c r="AG14" s="24">
        <v>739992</v>
      </c>
      <c r="AH14" s="173">
        <v>737190</v>
      </c>
      <c r="AI14" s="26">
        <v>739366</v>
      </c>
      <c r="AJ14" s="26">
        <v>731220</v>
      </c>
      <c r="AK14" s="26">
        <v>730140</v>
      </c>
      <c r="AL14" s="26">
        <v>741761</v>
      </c>
      <c r="AM14" s="26">
        <v>743632</v>
      </c>
      <c r="AN14" s="26">
        <v>744865</v>
      </c>
      <c r="AO14" s="173">
        <v>745668</v>
      </c>
      <c r="AP14" s="173">
        <v>748889</v>
      </c>
      <c r="AQ14" s="173">
        <v>755552</v>
      </c>
      <c r="AR14" s="173">
        <v>744621</v>
      </c>
      <c r="AS14" s="1">
        <v>744637</v>
      </c>
      <c r="AT14" s="1">
        <v>746204</v>
      </c>
      <c r="AU14" s="1">
        <v>744164</v>
      </c>
      <c r="AV14" s="406">
        <v>755000</v>
      </c>
      <c r="AW14" s="173">
        <v>754000</v>
      </c>
      <c r="AX14" s="173">
        <v>756000</v>
      </c>
      <c r="AY14" s="173">
        <v>756000</v>
      </c>
      <c r="AZ14" s="173">
        <v>756000</v>
      </c>
      <c r="BA14" s="173">
        <v>756000</v>
      </c>
      <c r="BB14" s="173">
        <v>755000</v>
      </c>
      <c r="BC14" s="173">
        <v>753000</v>
      </c>
      <c r="BD14" s="173">
        <v>751000</v>
      </c>
      <c r="BE14" s="173">
        <v>751000</v>
      </c>
      <c r="BF14" s="173">
        <v>751000</v>
      </c>
      <c r="BG14" s="70">
        <v>712800</v>
      </c>
      <c r="BH14" s="70">
        <v>723900</v>
      </c>
    </row>
    <row r="15" spans="1:60">
      <c r="A15" s="106" t="s">
        <v>86</v>
      </c>
      <c r="B15" s="28">
        <v>451231</v>
      </c>
      <c r="C15" s="6">
        <v>463320</v>
      </c>
      <c r="D15" s="6">
        <v>461260</v>
      </c>
      <c r="E15" s="6">
        <v>461431</v>
      </c>
      <c r="F15" s="6">
        <v>450114</v>
      </c>
      <c r="G15" s="6">
        <v>454406</v>
      </c>
      <c r="H15" s="6">
        <v>456703</v>
      </c>
      <c r="I15" s="6">
        <v>460593</v>
      </c>
      <c r="J15" s="6">
        <v>458778</v>
      </c>
      <c r="K15" s="6">
        <v>456698</v>
      </c>
      <c r="L15" s="6">
        <v>453125</v>
      </c>
      <c r="M15" s="6">
        <v>447700</v>
      </c>
      <c r="N15" s="6">
        <v>437121</v>
      </c>
      <c r="O15" s="6">
        <v>432565</v>
      </c>
      <c r="P15" s="28">
        <v>432120</v>
      </c>
      <c r="Q15" s="33">
        <v>432668</v>
      </c>
      <c r="R15" s="33">
        <v>433410</v>
      </c>
      <c r="S15" s="33">
        <v>437438</v>
      </c>
      <c r="T15" s="33">
        <v>437036</v>
      </c>
      <c r="U15" s="33">
        <v>436387</v>
      </c>
      <c r="V15" s="33">
        <v>434960</v>
      </c>
      <c r="W15" s="33">
        <v>436286</v>
      </c>
      <c r="X15" s="33">
        <v>438518</v>
      </c>
      <c r="Y15" s="34">
        <v>441490</v>
      </c>
      <c r="Z15" s="34">
        <v>444271</v>
      </c>
      <c r="AA15" s="23">
        <v>447565</v>
      </c>
      <c r="AB15" s="23">
        <v>453257</v>
      </c>
      <c r="AC15" s="23">
        <v>457349</v>
      </c>
      <c r="AD15" s="23">
        <v>456497</v>
      </c>
      <c r="AE15" s="23">
        <v>452256</v>
      </c>
      <c r="AF15" s="24">
        <v>451034</v>
      </c>
      <c r="AG15" s="24">
        <v>449959</v>
      </c>
      <c r="AH15" s="173">
        <v>449805</v>
      </c>
      <c r="AI15" s="26">
        <v>450985</v>
      </c>
      <c r="AJ15" s="26">
        <v>454523</v>
      </c>
      <c r="AK15" s="26">
        <v>463115</v>
      </c>
      <c r="AL15" s="26">
        <v>474206</v>
      </c>
      <c r="AM15" s="26">
        <v>476409</v>
      </c>
      <c r="AN15" s="26">
        <v>479016</v>
      </c>
      <c r="AO15" s="173">
        <v>478965</v>
      </c>
      <c r="AP15" s="173">
        <v>480559</v>
      </c>
      <c r="AQ15" s="173">
        <v>482114</v>
      </c>
      <c r="AR15" s="173">
        <v>483114</v>
      </c>
      <c r="AS15" s="1">
        <v>486157</v>
      </c>
      <c r="AT15" s="1">
        <v>489979</v>
      </c>
      <c r="AU15" s="1">
        <v>490917</v>
      </c>
      <c r="AV15" s="406">
        <v>483000</v>
      </c>
      <c r="AW15" s="173">
        <v>485000</v>
      </c>
      <c r="AX15" s="173">
        <v>487000</v>
      </c>
      <c r="AY15" s="173">
        <v>488000</v>
      </c>
      <c r="AZ15" s="173">
        <v>489000</v>
      </c>
      <c r="BA15" s="173">
        <v>490000</v>
      </c>
      <c r="BB15" s="173">
        <v>491000</v>
      </c>
      <c r="BC15" s="173">
        <v>492000</v>
      </c>
      <c r="BD15" s="173">
        <v>492000</v>
      </c>
      <c r="BE15" s="173">
        <v>493000</v>
      </c>
      <c r="BF15" s="173">
        <v>494000</v>
      </c>
      <c r="BG15" s="70">
        <v>488600</v>
      </c>
      <c r="BH15" s="70">
        <v>482800</v>
      </c>
    </row>
    <row r="16" spans="1:60">
      <c r="A16" s="106" t="s">
        <v>106</v>
      </c>
      <c r="B16" s="28">
        <v>108357</v>
      </c>
      <c r="C16" s="6">
        <v>132745</v>
      </c>
      <c r="D16" s="6">
        <v>135013</v>
      </c>
      <c r="E16" s="6">
        <v>134317</v>
      </c>
      <c r="F16" s="6">
        <v>132940</v>
      </c>
      <c r="G16" s="6">
        <v>130616</v>
      </c>
      <c r="H16" s="6">
        <v>127476</v>
      </c>
      <c r="I16" s="6">
        <v>122273</v>
      </c>
      <c r="J16" s="6">
        <v>118000</v>
      </c>
      <c r="K16" s="6">
        <v>111034</v>
      </c>
      <c r="L16" s="6">
        <v>104035</v>
      </c>
      <c r="M16" s="6">
        <v>99403</v>
      </c>
      <c r="N16" s="6">
        <v>95072</v>
      </c>
      <c r="O16" s="6">
        <v>92646</v>
      </c>
      <c r="P16" s="28">
        <v>91406</v>
      </c>
      <c r="Q16" s="33">
        <v>91767</v>
      </c>
      <c r="R16" s="33">
        <v>92901</v>
      </c>
      <c r="S16" s="33">
        <v>94410</v>
      </c>
      <c r="T16" s="33">
        <v>95659</v>
      </c>
      <c r="U16" s="33">
        <v>96678</v>
      </c>
      <c r="V16" s="33">
        <v>97808</v>
      </c>
      <c r="W16" s="33">
        <v>99658</v>
      </c>
      <c r="X16" s="33">
        <v>102196</v>
      </c>
      <c r="Y16" s="34">
        <v>104321</v>
      </c>
      <c r="Z16" s="34">
        <v>105547</v>
      </c>
      <c r="AA16" s="23">
        <v>106813</v>
      </c>
      <c r="AB16" s="23">
        <v>108461</v>
      </c>
      <c r="AC16" s="23">
        <v>110549</v>
      </c>
      <c r="AD16" s="23">
        <v>111960</v>
      </c>
      <c r="AE16" s="23">
        <v>113262</v>
      </c>
      <c r="AF16" s="24">
        <v>112836</v>
      </c>
      <c r="AG16" s="24">
        <v>114676</v>
      </c>
      <c r="AH16" s="173">
        <v>115555</v>
      </c>
      <c r="AI16" s="26">
        <v>116342</v>
      </c>
      <c r="AJ16" s="26">
        <v>117668</v>
      </c>
      <c r="AK16" s="26">
        <v>119091</v>
      </c>
      <c r="AL16" s="26">
        <v>120937</v>
      </c>
      <c r="AM16" s="26">
        <v>122254</v>
      </c>
      <c r="AN16" s="26">
        <v>122574</v>
      </c>
      <c r="AO16" s="173">
        <v>125430</v>
      </c>
      <c r="AP16" s="173">
        <v>126801</v>
      </c>
      <c r="AQ16" s="173">
        <v>129403</v>
      </c>
      <c r="AR16" s="173">
        <v>128946</v>
      </c>
      <c r="AS16" s="1">
        <v>129026</v>
      </c>
      <c r="AT16" s="1">
        <v>131687</v>
      </c>
      <c r="AU16" s="1">
        <v>134042</v>
      </c>
      <c r="AV16" s="406">
        <v>130000</v>
      </c>
      <c r="AW16" s="173">
        <v>131000</v>
      </c>
      <c r="AX16" s="173">
        <v>132000</v>
      </c>
      <c r="AY16" s="173">
        <v>134000</v>
      </c>
      <c r="AZ16" s="173">
        <v>135000</v>
      </c>
      <c r="BA16" s="173">
        <v>137000</v>
      </c>
      <c r="BB16" s="173">
        <v>138000</v>
      </c>
      <c r="BC16" s="173">
        <v>140000</v>
      </c>
      <c r="BD16" s="173">
        <v>141000</v>
      </c>
      <c r="BE16" s="173">
        <v>142000</v>
      </c>
      <c r="BF16" s="173">
        <v>143000</v>
      </c>
      <c r="BG16" s="70">
        <v>140100</v>
      </c>
      <c r="BH16" s="70">
        <v>138300</v>
      </c>
    </row>
    <row r="17" spans="1:60">
      <c r="A17" s="106" t="s">
        <v>87</v>
      </c>
      <c r="B17" s="28">
        <v>1220581</v>
      </c>
      <c r="C17" s="6">
        <v>1427896</v>
      </c>
      <c r="D17" s="6">
        <v>1478504</v>
      </c>
      <c r="E17" s="6">
        <v>1514359</v>
      </c>
      <c r="F17" s="6">
        <v>1537952</v>
      </c>
      <c r="G17" s="6">
        <v>1557054</v>
      </c>
      <c r="H17" s="6">
        <v>1551373</v>
      </c>
      <c r="I17" s="6">
        <v>1537336</v>
      </c>
      <c r="J17" s="6">
        <v>1535570</v>
      </c>
      <c r="K17" s="6">
        <v>1513819</v>
      </c>
      <c r="L17" s="6">
        <v>1508337</v>
      </c>
      <c r="M17" s="6">
        <v>1510225</v>
      </c>
      <c r="N17" s="6">
        <v>1487721</v>
      </c>
      <c r="O17" s="6">
        <v>1484734</v>
      </c>
      <c r="P17" s="28">
        <v>1495543</v>
      </c>
      <c r="Q17" s="33">
        <v>1524107</v>
      </c>
      <c r="R17" s="33">
        <v>1562283</v>
      </c>
      <c r="S17" s="33">
        <v>1607320</v>
      </c>
      <c r="T17" s="33">
        <v>1664774</v>
      </c>
      <c r="U17" s="33">
        <v>1720930</v>
      </c>
      <c r="V17" s="33">
        <v>1789925</v>
      </c>
      <c r="W17" s="33">
        <v>1861592</v>
      </c>
      <c r="X17" s="33">
        <v>1932131</v>
      </c>
      <c r="Y17" s="34">
        <v>1981407</v>
      </c>
      <c r="Z17" s="34">
        <v>2040763</v>
      </c>
      <c r="AA17" s="23">
        <v>2111188</v>
      </c>
      <c r="AB17" s="23">
        <v>2176222</v>
      </c>
      <c r="AC17" s="23">
        <v>2242212</v>
      </c>
      <c r="AD17" s="23">
        <v>2294077</v>
      </c>
      <c r="AE17" s="23">
        <v>2337633</v>
      </c>
      <c r="AF17" s="24">
        <v>2381396</v>
      </c>
      <c r="AG17" s="24">
        <v>2434821</v>
      </c>
      <c r="AH17" s="173">
        <v>2500478</v>
      </c>
      <c r="AI17" s="26">
        <v>2539929</v>
      </c>
      <c r="AJ17" s="26">
        <v>2587628</v>
      </c>
      <c r="AK17" s="26">
        <v>2639336</v>
      </c>
      <c r="AL17" s="26">
        <v>2675024</v>
      </c>
      <c r="AM17" s="26">
        <v>2671513</v>
      </c>
      <c r="AN17" s="26">
        <v>2666811</v>
      </c>
      <c r="AO17" s="173">
        <v>2631020</v>
      </c>
      <c r="AP17" s="173">
        <v>2634522</v>
      </c>
      <c r="AQ17" s="173">
        <v>2643347</v>
      </c>
      <c r="AR17" s="173">
        <v>2668156</v>
      </c>
      <c r="AS17" s="1">
        <v>2692162</v>
      </c>
      <c r="AT17" s="1">
        <v>2720744</v>
      </c>
      <c r="AU17" s="1">
        <v>2756944</v>
      </c>
      <c r="AV17" s="406">
        <v>2648000</v>
      </c>
      <c r="AW17" s="173">
        <v>2664000</v>
      </c>
      <c r="AX17" s="173">
        <v>2678000</v>
      </c>
      <c r="AY17" s="173">
        <v>2700000</v>
      </c>
      <c r="AZ17" s="173">
        <v>2723000</v>
      </c>
      <c r="BA17" s="173">
        <v>2751000</v>
      </c>
      <c r="BB17" s="173">
        <v>2780000</v>
      </c>
      <c r="BC17" s="173">
        <v>2812000</v>
      </c>
      <c r="BD17" s="173">
        <v>2847000</v>
      </c>
      <c r="BE17" s="173">
        <v>2889000</v>
      </c>
      <c r="BF17" s="173">
        <v>2936000</v>
      </c>
      <c r="BG17" s="70">
        <v>3032800</v>
      </c>
      <c r="BH17" s="70">
        <v>3040900</v>
      </c>
    </row>
    <row r="18" spans="1:60">
      <c r="A18" s="106" t="s">
        <v>88</v>
      </c>
      <c r="B18" s="28">
        <v>1055086</v>
      </c>
      <c r="C18" s="6">
        <v>1098901</v>
      </c>
      <c r="D18" s="6">
        <v>1093407</v>
      </c>
      <c r="E18" s="6">
        <v>1090280</v>
      </c>
      <c r="F18" s="6">
        <v>1085881</v>
      </c>
      <c r="G18" s="6">
        <v>1081485</v>
      </c>
      <c r="H18" s="6">
        <v>1090292</v>
      </c>
      <c r="I18" s="6">
        <v>1095142</v>
      </c>
      <c r="J18" s="6">
        <v>1089625</v>
      </c>
      <c r="K18" s="6">
        <v>1093256</v>
      </c>
      <c r="L18" s="6">
        <v>1078462</v>
      </c>
      <c r="M18" s="6">
        <v>1068737</v>
      </c>
      <c r="N18" s="6">
        <v>1056117</v>
      </c>
      <c r="O18" s="6">
        <v>1053689</v>
      </c>
      <c r="P18" s="28">
        <v>1050859</v>
      </c>
      <c r="Q18" s="33">
        <v>1062315</v>
      </c>
      <c r="R18" s="33">
        <v>1079594</v>
      </c>
      <c r="S18" s="33">
        <v>1096425</v>
      </c>
      <c r="T18" s="33">
        <v>1110947</v>
      </c>
      <c r="U18" s="33">
        <v>1107994</v>
      </c>
      <c r="V18" s="33">
        <v>1126535</v>
      </c>
      <c r="W18" s="33">
        <v>1151687</v>
      </c>
      <c r="X18" s="33">
        <v>1177569</v>
      </c>
      <c r="Y18" s="34">
        <v>1207186</v>
      </c>
      <c r="Z18" s="34">
        <v>1235304</v>
      </c>
      <c r="AA18" s="23">
        <v>1270948</v>
      </c>
      <c r="AB18" s="23">
        <v>1311126</v>
      </c>
      <c r="AC18" s="23">
        <v>1346761</v>
      </c>
      <c r="AD18" s="23">
        <v>1375980</v>
      </c>
      <c r="AE18" s="23">
        <v>1401291</v>
      </c>
      <c r="AF18" s="24">
        <v>1422762</v>
      </c>
      <c r="AG18" s="24">
        <v>1444937</v>
      </c>
      <c r="AH18" s="173">
        <v>1470634</v>
      </c>
      <c r="AI18" s="26">
        <v>1496012</v>
      </c>
      <c r="AJ18" s="26">
        <v>1522611</v>
      </c>
      <c r="AK18" s="26">
        <v>1553437</v>
      </c>
      <c r="AL18" s="26">
        <v>1598461</v>
      </c>
      <c r="AM18" s="26">
        <v>1629157</v>
      </c>
      <c r="AN18" s="26">
        <v>1649589</v>
      </c>
      <c r="AO18" s="173">
        <v>1655792</v>
      </c>
      <c r="AP18" s="173">
        <v>1667685</v>
      </c>
      <c r="AQ18" s="173">
        <v>1677067</v>
      </c>
      <c r="AR18" s="173">
        <v>1685016</v>
      </c>
      <c r="AS18" s="1">
        <v>1703332</v>
      </c>
      <c r="AT18" s="1">
        <v>1723909</v>
      </c>
      <c r="AU18" s="1">
        <v>1744437</v>
      </c>
      <c r="AV18" s="406">
        <v>1684000</v>
      </c>
      <c r="AW18" s="173">
        <v>1697000</v>
      </c>
      <c r="AX18" s="173">
        <v>1710000</v>
      </c>
      <c r="AY18" s="173">
        <v>1723000</v>
      </c>
      <c r="AZ18" s="173">
        <v>1739000</v>
      </c>
      <c r="BA18" s="173">
        <v>1751000</v>
      </c>
      <c r="BB18" s="173">
        <v>1764000</v>
      </c>
      <c r="BC18" s="173">
        <v>1777000</v>
      </c>
      <c r="BD18" s="173">
        <v>1791000</v>
      </c>
      <c r="BE18" s="173">
        <v>1808000</v>
      </c>
      <c r="BF18" s="173">
        <v>1828000</v>
      </c>
      <c r="BG18" s="70">
        <v>1809700</v>
      </c>
      <c r="BH18" s="70">
        <v>1858300</v>
      </c>
    </row>
    <row r="19" spans="1:60">
      <c r="A19" s="106" t="s">
        <v>89</v>
      </c>
      <c r="B19" s="28">
        <v>665046</v>
      </c>
      <c r="C19" s="6">
        <v>717205</v>
      </c>
      <c r="D19" s="6">
        <v>720309</v>
      </c>
      <c r="E19" s="6">
        <v>714632</v>
      </c>
      <c r="F19" s="6">
        <v>709764</v>
      </c>
      <c r="G19" s="6">
        <v>701373</v>
      </c>
      <c r="H19" s="6">
        <v>691612</v>
      </c>
      <c r="I19" s="6">
        <v>694000</v>
      </c>
      <c r="J19" s="6">
        <v>697000</v>
      </c>
      <c r="K19" s="6">
        <v>692999</v>
      </c>
      <c r="L19" s="6">
        <v>677123</v>
      </c>
      <c r="M19" s="6">
        <v>669798</v>
      </c>
      <c r="N19" s="6">
        <v>658350</v>
      </c>
      <c r="O19" s="6">
        <v>651084</v>
      </c>
      <c r="P19" s="28">
        <v>647414</v>
      </c>
      <c r="Q19" s="33">
        <v>644421</v>
      </c>
      <c r="R19" s="33">
        <v>643833</v>
      </c>
      <c r="S19" s="33">
        <v>642778</v>
      </c>
      <c r="T19" s="33">
        <v>642696</v>
      </c>
      <c r="U19" s="33">
        <v>637627</v>
      </c>
      <c r="V19" s="33">
        <v>630688</v>
      </c>
      <c r="W19" s="33">
        <v>636401</v>
      </c>
      <c r="X19" s="33">
        <v>646024</v>
      </c>
      <c r="Y19" s="34">
        <v>655041</v>
      </c>
      <c r="Z19" s="34">
        <v>655265</v>
      </c>
      <c r="AA19" s="23">
        <v>657642</v>
      </c>
      <c r="AB19" s="23">
        <v>659821</v>
      </c>
      <c r="AC19" s="23">
        <v>656089</v>
      </c>
      <c r="AD19" s="23">
        <v>669322</v>
      </c>
      <c r="AE19" s="23">
        <v>655687</v>
      </c>
      <c r="AF19" s="24">
        <v>648180</v>
      </c>
      <c r="AG19" s="24">
        <v>665850</v>
      </c>
      <c r="AH19" s="173">
        <v>654363</v>
      </c>
      <c r="AI19" s="26">
        <v>660782</v>
      </c>
      <c r="AJ19" s="72">
        <v>663369</v>
      </c>
      <c r="AK19" s="26">
        <v>674796</v>
      </c>
      <c r="AL19" s="26">
        <v>679878</v>
      </c>
      <c r="AM19" s="26">
        <v>683152</v>
      </c>
      <c r="AN19" s="26">
        <v>666225</v>
      </c>
      <c r="AO19" s="173">
        <v>670030</v>
      </c>
      <c r="AP19" s="173">
        <v>680089</v>
      </c>
      <c r="AQ19" s="173">
        <v>673128</v>
      </c>
      <c r="AR19" s="173">
        <v>681987</v>
      </c>
      <c r="AS19" s="1">
        <v>685167</v>
      </c>
      <c r="AT19" s="1">
        <v>677389</v>
      </c>
      <c r="AU19" s="1">
        <v>688640</v>
      </c>
      <c r="AV19" s="406">
        <v>670000</v>
      </c>
      <c r="AW19" s="173">
        <v>669000</v>
      </c>
      <c r="AX19" s="173">
        <v>668000</v>
      </c>
      <c r="AY19" s="173">
        <v>669000</v>
      </c>
      <c r="AZ19" s="173">
        <v>669000</v>
      </c>
      <c r="BA19" s="173">
        <v>669000</v>
      </c>
      <c r="BB19" s="173">
        <v>667000</v>
      </c>
      <c r="BC19" s="173">
        <v>665000</v>
      </c>
      <c r="BD19" s="173">
        <v>663000</v>
      </c>
      <c r="BE19" s="173">
        <v>662000</v>
      </c>
      <c r="BF19" s="173">
        <v>660000</v>
      </c>
      <c r="BG19" s="70">
        <v>668500</v>
      </c>
      <c r="BH19" s="70">
        <v>689200</v>
      </c>
    </row>
    <row r="20" spans="1:60">
      <c r="A20" s="106" t="s">
        <v>90</v>
      </c>
      <c r="B20" s="28">
        <v>802592</v>
      </c>
      <c r="C20" s="6">
        <v>842365</v>
      </c>
      <c r="D20" s="6">
        <v>851074</v>
      </c>
      <c r="E20" s="6">
        <v>845841</v>
      </c>
      <c r="F20" s="6">
        <v>842152</v>
      </c>
      <c r="G20" s="6">
        <v>840742</v>
      </c>
      <c r="H20" s="6">
        <v>847202</v>
      </c>
      <c r="I20" s="6">
        <v>839499</v>
      </c>
      <c r="J20" s="6">
        <v>839000</v>
      </c>
      <c r="K20" s="6">
        <v>816669</v>
      </c>
      <c r="L20" s="6">
        <v>800435</v>
      </c>
      <c r="M20" s="6">
        <v>777560</v>
      </c>
      <c r="N20" s="6">
        <v>782053</v>
      </c>
      <c r="O20" s="6">
        <v>784027</v>
      </c>
      <c r="P20" s="28">
        <v>800193</v>
      </c>
      <c r="Q20" s="33">
        <v>800941</v>
      </c>
      <c r="R20" s="33">
        <v>788349</v>
      </c>
      <c r="S20" s="33">
        <v>795188</v>
      </c>
      <c r="T20" s="33">
        <v>793093</v>
      </c>
      <c r="U20" s="33">
        <v>786683</v>
      </c>
      <c r="V20" s="33">
        <v>783025</v>
      </c>
      <c r="W20" s="33">
        <v>784757</v>
      </c>
      <c r="X20" s="33">
        <v>794128</v>
      </c>
      <c r="Y20" s="34">
        <v>797985</v>
      </c>
      <c r="Z20" s="34">
        <v>800560</v>
      </c>
      <c r="AA20" s="23">
        <v>797933</v>
      </c>
      <c r="AB20" s="23">
        <v>797366</v>
      </c>
      <c r="AC20" s="23">
        <v>793296</v>
      </c>
      <c r="AD20" s="23">
        <v>776813</v>
      </c>
      <c r="AE20" s="23">
        <v>768734</v>
      </c>
      <c r="AF20" s="24">
        <v>756579</v>
      </c>
      <c r="AG20" s="24">
        <v>743089</v>
      </c>
      <c r="AH20" s="173">
        <v>731328</v>
      </c>
      <c r="AI20" s="26">
        <v>730464</v>
      </c>
      <c r="AJ20" s="26">
        <v>727709</v>
      </c>
      <c r="AK20" s="26">
        <v>724281</v>
      </c>
      <c r="AL20" s="26">
        <v>654526</v>
      </c>
      <c r="AM20" s="26">
        <v>675851</v>
      </c>
      <c r="AN20" s="26">
        <v>681038</v>
      </c>
      <c r="AO20" s="173">
        <v>684873</v>
      </c>
      <c r="AP20" s="173">
        <v>690915</v>
      </c>
      <c r="AQ20" s="173">
        <v>696558</v>
      </c>
      <c r="AR20" s="173">
        <v>703390</v>
      </c>
      <c r="AS20" s="1">
        <v>710903</v>
      </c>
      <c r="AT20" s="1">
        <v>711491</v>
      </c>
      <c r="AU20" s="1">
        <v>716800</v>
      </c>
      <c r="AV20" s="406">
        <v>697000</v>
      </c>
      <c r="AW20" s="173">
        <v>699000</v>
      </c>
      <c r="AX20" s="173">
        <v>700000</v>
      </c>
      <c r="AY20" s="173">
        <v>700000</v>
      </c>
      <c r="AZ20" s="173">
        <v>701000</v>
      </c>
      <c r="BA20" s="173">
        <v>701000</v>
      </c>
      <c r="BB20" s="173">
        <v>699000</v>
      </c>
      <c r="BC20" s="173">
        <v>695000</v>
      </c>
      <c r="BD20" s="173">
        <v>692000</v>
      </c>
      <c r="BE20" s="173">
        <v>688000</v>
      </c>
      <c r="BF20" s="173">
        <v>685000</v>
      </c>
      <c r="BG20" s="70">
        <v>686300</v>
      </c>
      <c r="BH20" s="70">
        <v>707400</v>
      </c>
    </row>
    <row r="21" spans="1:60">
      <c r="A21" s="106" t="s">
        <v>91</v>
      </c>
      <c r="B21" s="28">
        <v>762647</v>
      </c>
      <c r="C21" s="6">
        <v>916244</v>
      </c>
      <c r="D21" s="6">
        <v>922051</v>
      </c>
      <c r="E21" s="6">
        <v>920896</v>
      </c>
      <c r="F21" s="6">
        <v>911097</v>
      </c>
      <c r="G21" s="6">
        <v>894209</v>
      </c>
      <c r="H21" s="6">
        <v>880927</v>
      </c>
      <c r="I21" s="6">
        <v>860929</v>
      </c>
      <c r="J21" s="6">
        <v>836912</v>
      </c>
      <c r="K21" s="6">
        <v>809933</v>
      </c>
      <c r="L21" s="6">
        <v>777725</v>
      </c>
      <c r="M21" s="6">
        <v>750665</v>
      </c>
      <c r="N21" s="6">
        <v>721841</v>
      </c>
      <c r="O21" s="6">
        <v>699201</v>
      </c>
      <c r="P21" s="28">
        <v>683491</v>
      </c>
      <c r="Q21" s="33">
        <v>673840</v>
      </c>
      <c r="R21" s="33">
        <v>671560</v>
      </c>
      <c r="S21" s="33">
        <v>675747</v>
      </c>
      <c r="T21" s="33">
        <v>683797</v>
      </c>
      <c r="U21" s="33">
        <v>688947</v>
      </c>
      <c r="V21" s="33">
        <v>698806</v>
      </c>
      <c r="W21" s="33">
        <v>715176</v>
      </c>
      <c r="X21" s="33">
        <v>736238</v>
      </c>
      <c r="Y21" s="34">
        <v>751850</v>
      </c>
      <c r="Z21" s="34">
        <v>772638</v>
      </c>
      <c r="AA21" s="23">
        <v>790938</v>
      </c>
      <c r="AB21" s="23">
        <v>805544</v>
      </c>
      <c r="AC21" s="23">
        <v>818583</v>
      </c>
      <c r="AD21" s="23">
        <v>830744</v>
      </c>
      <c r="AE21" s="23">
        <v>841671</v>
      </c>
      <c r="AF21" s="24">
        <v>846582</v>
      </c>
      <c r="AG21" s="24">
        <v>852920</v>
      </c>
      <c r="AH21" s="173">
        <v>860640</v>
      </c>
      <c r="AI21" s="26">
        <v>866743</v>
      </c>
      <c r="AJ21" s="26">
        <v>869113</v>
      </c>
      <c r="AK21" s="26">
        <v>865561</v>
      </c>
      <c r="AL21" s="26">
        <v>860020</v>
      </c>
      <c r="AM21" s="26">
        <v>851640</v>
      </c>
      <c r="AN21" s="26">
        <v>845700</v>
      </c>
      <c r="AO21" s="173">
        <v>843861</v>
      </c>
      <c r="AP21" s="173">
        <v>848412</v>
      </c>
      <c r="AQ21" s="173">
        <v>852211</v>
      </c>
      <c r="AR21" s="173">
        <v>854086</v>
      </c>
      <c r="AS21" s="1">
        <v>859638</v>
      </c>
      <c r="AT21" s="1">
        <v>866169</v>
      </c>
      <c r="AU21" s="1">
        <v>874514</v>
      </c>
      <c r="AV21" s="406">
        <v>855000</v>
      </c>
      <c r="AW21" s="173">
        <v>860000</v>
      </c>
      <c r="AX21" s="173">
        <v>866000</v>
      </c>
      <c r="AY21" s="173">
        <v>875000</v>
      </c>
      <c r="AZ21" s="173">
        <v>886000</v>
      </c>
      <c r="BA21" s="173">
        <v>898000</v>
      </c>
      <c r="BB21" s="173">
        <v>913000</v>
      </c>
      <c r="BC21" s="173">
        <v>927000</v>
      </c>
      <c r="BD21" s="173">
        <v>943000</v>
      </c>
      <c r="BE21" s="173">
        <v>957000</v>
      </c>
      <c r="BF21" s="173">
        <v>972000</v>
      </c>
      <c r="BG21" s="70">
        <v>969000</v>
      </c>
      <c r="BH21" s="70">
        <v>989800</v>
      </c>
    </row>
    <row r="22" spans="1:60">
      <c r="A22" s="106" t="s">
        <v>92</v>
      </c>
      <c r="B22" s="28">
        <v>584629</v>
      </c>
      <c r="C22" s="6">
        <v>534395</v>
      </c>
      <c r="D22" s="6">
        <v>529366</v>
      </c>
      <c r="E22" s="6">
        <v>526366</v>
      </c>
      <c r="F22" s="6">
        <v>519786</v>
      </c>
      <c r="G22" s="6">
        <v>513476</v>
      </c>
      <c r="H22" s="6">
        <v>512407</v>
      </c>
      <c r="I22" s="6">
        <v>510209</v>
      </c>
      <c r="J22" s="6">
        <v>502025</v>
      </c>
      <c r="K22" s="6">
        <v>493710</v>
      </c>
      <c r="L22" s="6">
        <v>482039</v>
      </c>
      <c r="M22" s="6">
        <v>477059</v>
      </c>
      <c r="N22" s="6">
        <v>471615</v>
      </c>
      <c r="O22" s="6">
        <v>468294</v>
      </c>
      <c r="P22" s="28">
        <v>467744</v>
      </c>
      <c r="Q22" s="33">
        <v>466058</v>
      </c>
      <c r="R22" s="33">
        <v>471195</v>
      </c>
      <c r="S22" s="33">
        <v>498639</v>
      </c>
      <c r="T22" s="33">
        <v>505550</v>
      </c>
      <c r="U22" s="33">
        <v>503326</v>
      </c>
      <c r="V22" s="33">
        <v>502020</v>
      </c>
      <c r="W22" s="33">
        <v>502417</v>
      </c>
      <c r="X22" s="33">
        <v>504127</v>
      </c>
      <c r="Y22" s="34">
        <v>506668</v>
      </c>
      <c r="Z22" s="34">
        <v>505907</v>
      </c>
      <c r="AA22" s="23">
        <v>505962</v>
      </c>
      <c r="AB22" s="23">
        <v>506272</v>
      </c>
      <c r="AC22" s="23">
        <v>503967</v>
      </c>
      <c r="AD22" s="23">
        <v>504792</v>
      </c>
      <c r="AE22" s="23">
        <v>502379</v>
      </c>
      <c r="AF22" s="24">
        <v>500716</v>
      </c>
      <c r="AG22" s="24">
        <v>497871</v>
      </c>
      <c r="AH22" s="173">
        <v>493507</v>
      </c>
      <c r="AI22" s="26">
        <v>492645</v>
      </c>
      <c r="AJ22" s="26">
        <v>493540</v>
      </c>
      <c r="AK22" s="26">
        <v>495376</v>
      </c>
      <c r="AL22" s="26">
        <v>494954</v>
      </c>
      <c r="AM22" s="26">
        <v>495026</v>
      </c>
      <c r="AN22" s="26">
        <v>494122</v>
      </c>
      <c r="AO22" s="173">
        <v>491962</v>
      </c>
      <c r="AP22" s="173">
        <v>492481</v>
      </c>
      <c r="AQ22" s="173">
        <v>490526</v>
      </c>
      <c r="AR22" s="173">
        <v>490619</v>
      </c>
      <c r="AS22" s="1">
        <v>493650</v>
      </c>
      <c r="AT22" s="1">
        <v>492586</v>
      </c>
      <c r="AU22" s="1">
        <v>490917</v>
      </c>
      <c r="AV22" s="406">
        <v>486000</v>
      </c>
      <c r="AW22" s="173">
        <v>485000</v>
      </c>
      <c r="AX22" s="173">
        <v>483000</v>
      </c>
      <c r="AY22" s="173">
        <v>482000</v>
      </c>
      <c r="AZ22" s="173">
        <v>480000</v>
      </c>
      <c r="BA22" s="173">
        <v>479000</v>
      </c>
      <c r="BB22" s="173">
        <v>477000</v>
      </c>
      <c r="BC22" s="173">
        <v>473000</v>
      </c>
      <c r="BD22" s="173">
        <v>470000</v>
      </c>
      <c r="BE22" s="173">
        <v>467000</v>
      </c>
      <c r="BF22" s="173">
        <v>465000</v>
      </c>
      <c r="BG22" s="70">
        <v>458600</v>
      </c>
      <c r="BH22" s="70">
        <v>478900</v>
      </c>
    </row>
    <row r="23" spans="1:60">
      <c r="A23" s="106" t="s">
        <v>93</v>
      </c>
      <c r="B23" s="28">
        <v>1181558</v>
      </c>
      <c r="C23" s="6">
        <v>1192187</v>
      </c>
      <c r="D23" s="6">
        <v>1176308</v>
      </c>
      <c r="E23" s="6">
        <v>1161326</v>
      </c>
      <c r="F23" s="6">
        <v>1173415</v>
      </c>
      <c r="G23" s="6">
        <v>1177860</v>
      </c>
      <c r="H23" s="6">
        <v>1184996</v>
      </c>
      <c r="I23" s="6">
        <v>1191316</v>
      </c>
      <c r="J23" s="6">
        <v>1181831</v>
      </c>
      <c r="K23" s="6">
        <v>1162810</v>
      </c>
      <c r="L23" s="6">
        <v>1150053</v>
      </c>
      <c r="M23" s="6">
        <v>1129376</v>
      </c>
      <c r="N23" s="6">
        <v>1108960</v>
      </c>
      <c r="O23" s="6">
        <v>1096815</v>
      </c>
      <c r="P23" s="28">
        <v>1089606</v>
      </c>
      <c r="Q23" s="33">
        <v>1088724</v>
      </c>
      <c r="R23" s="33">
        <v>1086165</v>
      </c>
      <c r="S23" s="33">
        <v>1085248</v>
      </c>
      <c r="T23" s="33">
        <v>1085976</v>
      </c>
      <c r="U23" s="33">
        <v>1083156</v>
      </c>
      <c r="V23" s="33">
        <v>1080744</v>
      </c>
      <c r="W23" s="33">
        <v>1086871</v>
      </c>
      <c r="X23" s="33">
        <v>1097598</v>
      </c>
      <c r="Y23" s="34">
        <v>1114083</v>
      </c>
      <c r="Z23" s="34">
        <v>1133231</v>
      </c>
      <c r="AA23" s="23">
        <v>1156767</v>
      </c>
      <c r="AB23" s="23">
        <v>1183090</v>
      </c>
      <c r="AC23" s="23">
        <v>1210108</v>
      </c>
      <c r="AD23" s="23">
        <v>1236083</v>
      </c>
      <c r="AE23" s="23">
        <v>1254821</v>
      </c>
      <c r="AF23" s="24">
        <v>1275925</v>
      </c>
      <c r="AG23" s="24">
        <v>1293638</v>
      </c>
      <c r="AH23" s="173">
        <v>1315363</v>
      </c>
      <c r="AI23" s="26">
        <v>1335954</v>
      </c>
      <c r="AJ23" s="26">
        <v>1360209</v>
      </c>
      <c r="AK23" s="26">
        <v>1385754</v>
      </c>
      <c r="AL23" s="26">
        <v>1416436</v>
      </c>
      <c r="AM23" s="26">
        <v>1444481</v>
      </c>
      <c r="AN23" s="26">
        <v>1489492</v>
      </c>
      <c r="AO23" s="173">
        <v>1488645</v>
      </c>
      <c r="AP23" s="173">
        <v>1483397</v>
      </c>
      <c r="AQ23" s="173">
        <v>1490605</v>
      </c>
      <c r="AR23" s="173">
        <v>1507864</v>
      </c>
      <c r="AS23" s="1">
        <v>1518465</v>
      </c>
      <c r="AT23" s="1">
        <v>1530857</v>
      </c>
      <c r="AU23" s="1">
        <v>1548895</v>
      </c>
      <c r="AV23" s="406">
        <v>1490000</v>
      </c>
      <c r="AW23" s="173">
        <v>1492000</v>
      </c>
      <c r="AX23" s="173">
        <v>1496000</v>
      </c>
      <c r="AY23" s="173">
        <v>1503000</v>
      </c>
      <c r="AZ23" s="173">
        <v>1511000</v>
      </c>
      <c r="BA23" s="173">
        <v>1517000</v>
      </c>
      <c r="BB23" s="173">
        <v>1523000</v>
      </c>
      <c r="BC23" s="173">
        <v>1527000</v>
      </c>
      <c r="BD23" s="173">
        <v>1532000</v>
      </c>
      <c r="BE23" s="173">
        <v>1542000</v>
      </c>
      <c r="BF23" s="173">
        <v>1555000</v>
      </c>
      <c r="BG23" s="70">
        <v>1672300</v>
      </c>
      <c r="BH23" s="70">
        <v>1717900</v>
      </c>
    </row>
    <row r="24" spans="1:60">
      <c r="A24" s="106" t="s">
        <v>94</v>
      </c>
      <c r="B24" s="28">
        <v>584106</v>
      </c>
      <c r="C24" s="6">
        <v>626956</v>
      </c>
      <c r="D24" s="6">
        <v>625740</v>
      </c>
      <c r="E24" s="6">
        <v>607084</v>
      </c>
      <c r="F24" s="6">
        <v>600948</v>
      </c>
      <c r="G24" s="6">
        <v>596380</v>
      </c>
      <c r="H24" s="6">
        <v>594816</v>
      </c>
      <c r="I24" s="6">
        <v>597665</v>
      </c>
      <c r="J24" s="6">
        <v>594468</v>
      </c>
      <c r="K24" s="6">
        <v>588870</v>
      </c>
      <c r="L24" s="6">
        <v>583458</v>
      </c>
      <c r="M24" s="6">
        <v>577807</v>
      </c>
      <c r="N24" s="6">
        <v>582572</v>
      </c>
      <c r="O24" s="6">
        <v>593825</v>
      </c>
      <c r="P24" s="28">
        <v>591389</v>
      </c>
      <c r="Q24" s="33">
        <v>589690</v>
      </c>
      <c r="R24" s="33">
        <v>592327</v>
      </c>
      <c r="S24" s="33">
        <v>593183</v>
      </c>
      <c r="T24" s="33">
        <v>584212</v>
      </c>
      <c r="U24" s="33">
        <v>580426</v>
      </c>
      <c r="V24" s="33">
        <v>578580</v>
      </c>
      <c r="W24" s="33">
        <v>579087</v>
      </c>
      <c r="X24" s="33">
        <v>588263</v>
      </c>
      <c r="Y24" s="34">
        <v>597096</v>
      </c>
      <c r="Z24" s="34">
        <v>604076</v>
      </c>
      <c r="AA24" s="23">
        <v>609718</v>
      </c>
      <c r="AB24" s="23">
        <v>616393</v>
      </c>
      <c r="AC24" s="23">
        <v>620695</v>
      </c>
      <c r="AD24" s="23">
        <v>623681</v>
      </c>
      <c r="AE24" s="23">
        <v>628492</v>
      </c>
      <c r="AF24" s="24">
        <v>627032</v>
      </c>
      <c r="AG24" s="24">
        <v>623110</v>
      </c>
      <c r="AH24" s="173">
        <v>622139</v>
      </c>
      <c r="AI24" s="26">
        <v>624548</v>
      </c>
      <c r="AJ24" s="26">
        <v>626160</v>
      </c>
      <c r="AK24" s="26">
        <v>629476</v>
      </c>
      <c r="AL24" s="26">
        <v>634739</v>
      </c>
      <c r="AM24" s="26">
        <v>639391</v>
      </c>
      <c r="AN24" s="26">
        <v>642065</v>
      </c>
      <c r="AO24" s="173">
        <v>645108</v>
      </c>
      <c r="AP24" s="173">
        <v>654802</v>
      </c>
      <c r="AQ24" s="173">
        <v>659911</v>
      </c>
      <c r="AR24" s="173">
        <v>666120</v>
      </c>
      <c r="AS24" s="1">
        <v>673483</v>
      </c>
      <c r="AT24" s="1">
        <v>681848</v>
      </c>
      <c r="AU24" s="1">
        <v>688511</v>
      </c>
      <c r="AV24" s="406">
        <v>662000</v>
      </c>
      <c r="AW24" s="173">
        <v>667000</v>
      </c>
      <c r="AX24" s="173">
        <v>671000</v>
      </c>
      <c r="AY24" s="173">
        <v>677000</v>
      </c>
      <c r="AZ24" s="173">
        <v>681000</v>
      </c>
      <c r="BA24" s="173">
        <v>684000</v>
      </c>
      <c r="BB24" s="173">
        <v>687000</v>
      </c>
      <c r="BC24" s="173">
        <v>689000</v>
      </c>
      <c r="BD24" s="173">
        <v>690000</v>
      </c>
      <c r="BE24" s="173">
        <v>692000</v>
      </c>
      <c r="BF24" s="173">
        <v>692000</v>
      </c>
      <c r="BG24" s="70">
        <v>690300</v>
      </c>
      <c r="BH24" s="70">
        <v>711500</v>
      </c>
    </row>
    <row r="25" spans="1:60">
      <c r="A25" s="106" t="s">
        <v>95</v>
      </c>
      <c r="B25" s="28">
        <v>637990</v>
      </c>
      <c r="C25" s="6">
        <v>637800</v>
      </c>
      <c r="D25" s="6">
        <v>648643</v>
      </c>
      <c r="E25" s="6">
        <v>623778</v>
      </c>
      <c r="F25" s="6">
        <v>626914</v>
      </c>
      <c r="G25" s="6">
        <v>627205</v>
      </c>
      <c r="H25" s="6">
        <v>629729</v>
      </c>
      <c r="I25" s="6">
        <v>620711</v>
      </c>
      <c r="J25" s="6">
        <v>620723</v>
      </c>
      <c r="K25" s="6">
        <v>624931</v>
      </c>
      <c r="L25" s="6">
        <v>624795</v>
      </c>
      <c r="M25" s="6">
        <v>619223</v>
      </c>
      <c r="N25" s="6">
        <v>609158</v>
      </c>
      <c r="O25" s="6">
        <v>608518</v>
      </c>
      <c r="P25" s="28">
        <v>604553</v>
      </c>
      <c r="Q25" s="33">
        <v>602718</v>
      </c>
      <c r="R25" s="33">
        <v>606643</v>
      </c>
      <c r="S25" s="33">
        <v>611629</v>
      </c>
      <c r="T25" s="33">
        <v>614921</v>
      </c>
      <c r="U25" s="33">
        <v>615774</v>
      </c>
      <c r="V25" s="33">
        <v>616177</v>
      </c>
      <c r="W25" s="33">
        <v>622112</v>
      </c>
      <c r="X25" s="33">
        <v>627470</v>
      </c>
      <c r="Y25" s="34">
        <v>640464</v>
      </c>
      <c r="Z25" s="34">
        <v>643696</v>
      </c>
      <c r="AA25" s="23">
        <v>648725</v>
      </c>
      <c r="AB25" s="23">
        <v>645586</v>
      </c>
      <c r="AC25" s="23">
        <v>652816</v>
      </c>
      <c r="AD25" s="23">
        <v>659273</v>
      </c>
      <c r="AE25" s="23">
        <v>664600</v>
      </c>
      <c r="AF25" s="24">
        <v>666780</v>
      </c>
      <c r="AG25" s="24">
        <v>677411</v>
      </c>
      <c r="AH25" s="173">
        <v>676198</v>
      </c>
      <c r="AI25" s="26">
        <v>694389</v>
      </c>
      <c r="AJ25" s="26">
        <v>699198</v>
      </c>
      <c r="AK25" s="26">
        <v>703736</v>
      </c>
      <c r="AL25" s="26">
        <v>701544</v>
      </c>
      <c r="AM25" s="26">
        <v>708021</v>
      </c>
      <c r="AN25" s="26">
        <v>712317</v>
      </c>
      <c r="AO25" s="173">
        <v>718113</v>
      </c>
      <c r="AP25" s="173">
        <v>723143</v>
      </c>
      <c r="AQ25" s="173">
        <v>725838</v>
      </c>
      <c r="AR25" s="173">
        <v>727186</v>
      </c>
      <c r="AS25" s="1">
        <v>735998</v>
      </c>
      <c r="AT25" s="1">
        <v>745657</v>
      </c>
      <c r="AU25" s="1">
        <v>756523</v>
      </c>
      <c r="AV25" s="406">
        <v>729000</v>
      </c>
      <c r="AW25" s="173">
        <v>732000</v>
      </c>
      <c r="AX25" s="173">
        <v>737000</v>
      </c>
      <c r="AY25" s="173">
        <v>743000</v>
      </c>
      <c r="AZ25" s="173">
        <v>748000</v>
      </c>
      <c r="BA25" s="173">
        <v>752000</v>
      </c>
      <c r="BB25" s="173">
        <v>756000</v>
      </c>
      <c r="BC25" s="173">
        <v>758000</v>
      </c>
      <c r="BD25" s="173">
        <v>760000</v>
      </c>
      <c r="BE25" s="173">
        <v>764000</v>
      </c>
      <c r="BF25" s="173">
        <v>768000</v>
      </c>
      <c r="BG25" s="70">
        <v>770600</v>
      </c>
      <c r="BH25" s="70">
        <v>805400</v>
      </c>
    </row>
    <row r="26" spans="1:60">
      <c r="A26" s="106" t="s">
        <v>96</v>
      </c>
      <c r="B26" s="28">
        <v>871998</v>
      </c>
      <c r="C26" s="6">
        <v>899893</v>
      </c>
      <c r="D26" s="6">
        <v>897598</v>
      </c>
      <c r="E26" s="6">
        <v>891775</v>
      </c>
      <c r="F26" s="6">
        <v>902704</v>
      </c>
      <c r="G26" s="6">
        <v>872819</v>
      </c>
      <c r="H26" s="6">
        <v>876926</v>
      </c>
      <c r="I26" s="6">
        <v>841974</v>
      </c>
      <c r="J26" s="6">
        <v>878424</v>
      </c>
      <c r="K26" s="6">
        <v>873036</v>
      </c>
      <c r="L26" s="6">
        <v>866117</v>
      </c>
      <c r="M26" s="6">
        <v>853569</v>
      </c>
      <c r="N26" s="6">
        <v>838297</v>
      </c>
      <c r="O26" s="6">
        <v>828264</v>
      </c>
      <c r="P26" s="28">
        <v>822057</v>
      </c>
      <c r="Q26" s="33">
        <v>817212</v>
      </c>
      <c r="R26" s="33">
        <v>813753</v>
      </c>
      <c r="S26" s="33">
        <v>818073</v>
      </c>
      <c r="T26" s="33">
        <v>823783</v>
      </c>
      <c r="U26" s="33">
        <v>821580</v>
      </c>
      <c r="V26" s="33">
        <v>819660</v>
      </c>
      <c r="W26" s="33">
        <v>824595</v>
      </c>
      <c r="X26" s="33">
        <v>833651</v>
      </c>
      <c r="Y26" s="34">
        <v>855231</v>
      </c>
      <c r="Z26" s="34">
        <v>866557</v>
      </c>
      <c r="AA26" s="23">
        <v>881425</v>
      </c>
      <c r="AB26" s="23">
        <v>893770</v>
      </c>
      <c r="AC26" s="23">
        <v>904818</v>
      </c>
      <c r="AD26" s="23">
        <v>893044</v>
      </c>
      <c r="AE26" s="23">
        <v>905454</v>
      </c>
      <c r="AF26" s="24">
        <v>916202</v>
      </c>
      <c r="AG26" s="24">
        <v>909161</v>
      </c>
      <c r="AH26" s="173">
        <v>924899</v>
      </c>
      <c r="AI26" s="26">
        <v>927608</v>
      </c>
      <c r="AJ26" s="72">
        <v>936682</v>
      </c>
      <c r="AK26" s="26">
        <v>941091</v>
      </c>
      <c r="AL26" s="26">
        <v>953928</v>
      </c>
      <c r="AM26" s="26">
        <v>978368</v>
      </c>
      <c r="AN26" s="26">
        <v>964259</v>
      </c>
      <c r="AO26" s="173">
        <v>971950</v>
      </c>
      <c r="AP26" s="173">
        <v>972549</v>
      </c>
      <c r="AQ26" s="173">
        <v>987422</v>
      </c>
      <c r="AR26" s="173">
        <v>999693</v>
      </c>
      <c r="AS26" s="1">
        <v>993496</v>
      </c>
      <c r="AT26" s="1">
        <v>993556</v>
      </c>
      <c r="AU26" s="1">
        <v>995475</v>
      </c>
      <c r="AV26" s="406">
        <v>986000</v>
      </c>
      <c r="AW26" s="173">
        <v>988000</v>
      </c>
      <c r="AX26" s="173">
        <v>993000</v>
      </c>
      <c r="AY26" s="173">
        <v>999000</v>
      </c>
      <c r="AZ26" s="173">
        <v>1006000</v>
      </c>
      <c r="BA26" s="173">
        <v>1012000</v>
      </c>
      <c r="BB26" s="173">
        <v>1018000</v>
      </c>
      <c r="BC26" s="173">
        <v>1023000</v>
      </c>
      <c r="BD26" s="173">
        <v>1030000</v>
      </c>
      <c r="BE26" s="173">
        <v>1037000</v>
      </c>
      <c r="BF26" s="173">
        <v>1046000</v>
      </c>
      <c r="BG26" s="70">
        <v>1081100</v>
      </c>
      <c r="BH26" s="70">
        <v>1071900</v>
      </c>
    </row>
    <row r="27" spans="1:60">
      <c r="A27" s="106" t="s">
        <v>97</v>
      </c>
      <c r="B27" s="28">
        <v>2517342</v>
      </c>
      <c r="C27" s="6">
        <v>2839900</v>
      </c>
      <c r="D27" s="6">
        <v>2811700</v>
      </c>
      <c r="E27" s="6">
        <v>2738131</v>
      </c>
      <c r="F27" s="6">
        <v>2782151</v>
      </c>
      <c r="G27" s="6">
        <v>2785296</v>
      </c>
      <c r="H27" s="6">
        <v>2812888</v>
      </c>
      <c r="I27" s="6">
        <v>2822754</v>
      </c>
      <c r="J27" s="6">
        <v>2842842</v>
      </c>
      <c r="K27" s="6">
        <v>2867254</v>
      </c>
      <c r="L27" s="6">
        <v>2872719</v>
      </c>
      <c r="M27" s="6">
        <v>2900073</v>
      </c>
      <c r="N27" s="6">
        <v>2935547</v>
      </c>
      <c r="O27" s="6">
        <v>2985659</v>
      </c>
      <c r="P27" s="28">
        <v>2989796</v>
      </c>
      <c r="Q27" s="33">
        <v>3040305</v>
      </c>
      <c r="R27" s="33">
        <v>3131705</v>
      </c>
      <c r="S27" s="33">
        <v>3209515</v>
      </c>
      <c r="T27" s="33">
        <v>3236787</v>
      </c>
      <c r="U27" s="33">
        <v>3283707</v>
      </c>
      <c r="V27" s="33">
        <v>3328514</v>
      </c>
      <c r="W27" s="33">
        <v>3382887</v>
      </c>
      <c r="X27" s="33">
        <v>3464371</v>
      </c>
      <c r="Y27" s="34">
        <v>3541769</v>
      </c>
      <c r="Z27" s="34">
        <v>3608262</v>
      </c>
      <c r="AA27" s="23">
        <v>3677171</v>
      </c>
      <c r="AB27" s="23">
        <v>3748167</v>
      </c>
      <c r="AC27" s="23">
        <v>3828975</v>
      </c>
      <c r="AD27" s="23">
        <v>3891877</v>
      </c>
      <c r="AE27" s="23">
        <v>3945367</v>
      </c>
      <c r="AF27" s="24">
        <v>3991783</v>
      </c>
      <c r="AG27" s="24">
        <v>4059619</v>
      </c>
      <c r="AH27" s="173">
        <v>4163447</v>
      </c>
      <c r="AI27" s="26">
        <v>4259823</v>
      </c>
      <c r="AJ27" s="26">
        <v>4331751</v>
      </c>
      <c r="AK27" s="26">
        <v>4405215</v>
      </c>
      <c r="AL27" s="26">
        <v>4525394</v>
      </c>
      <c r="AM27" s="26">
        <v>4599509</v>
      </c>
      <c r="AN27" s="26">
        <v>4674832</v>
      </c>
      <c r="AO27" s="173">
        <v>4752148</v>
      </c>
      <c r="AP27" s="173">
        <v>4850210</v>
      </c>
      <c r="AQ27" s="173">
        <v>4935715</v>
      </c>
      <c r="AR27" s="173">
        <v>5000470</v>
      </c>
      <c r="AS27" s="1">
        <v>5077659</v>
      </c>
      <c r="AT27" s="1">
        <v>5153702</v>
      </c>
      <c r="AU27" s="1">
        <v>5233765</v>
      </c>
      <c r="AV27" s="406">
        <v>5013000</v>
      </c>
      <c r="AW27" s="173">
        <v>5094000</v>
      </c>
      <c r="AX27" s="173">
        <v>5174000</v>
      </c>
      <c r="AY27" s="173">
        <v>5259000</v>
      </c>
      <c r="AZ27" s="173">
        <v>5342000</v>
      </c>
      <c r="BA27" s="173">
        <v>5423000</v>
      </c>
      <c r="BB27" s="173">
        <v>5500000</v>
      </c>
      <c r="BC27" s="173">
        <v>5571000</v>
      </c>
      <c r="BD27" s="173">
        <v>5641000</v>
      </c>
      <c r="BE27" s="173">
        <v>5712000</v>
      </c>
      <c r="BF27" s="173">
        <v>5782000</v>
      </c>
      <c r="BG27" s="70">
        <v>5669000</v>
      </c>
      <c r="BH27" s="70">
        <v>5766300</v>
      </c>
    </row>
    <row r="28" spans="1:60">
      <c r="A28" s="106" t="s">
        <v>98</v>
      </c>
      <c r="B28" s="28">
        <v>986123</v>
      </c>
      <c r="C28" s="6">
        <v>1078754</v>
      </c>
      <c r="D28" s="6">
        <v>1074073</v>
      </c>
      <c r="E28" s="6">
        <v>1069345</v>
      </c>
      <c r="F28" s="6">
        <v>1085295</v>
      </c>
      <c r="G28" s="6">
        <v>1093309</v>
      </c>
      <c r="H28" s="6">
        <v>1103669</v>
      </c>
      <c r="I28" s="6">
        <v>1100723</v>
      </c>
      <c r="J28" s="6">
        <v>1082184</v>
      </c>
      <c r="K28" s="6">
        <v>1055238</v>
      </c>
      <c r="L28" s="6">
        <v>1031403</v>
      </c>
      <c r="M28" s="6">
        <v>1010371</v>
      </c>
      <c r="N28" s="6">
        <v>989548</v>
      </c>
      <c r="O28" s="6">
        <v>975727</v>
      </c>
      <c r="P28" s="28">
        <v>966110</v>
      </c>
      <c r="Q28" s="33">
        <v>965222</v>
      </c>
      <c r="R28" s="33">
        <v>968104</v>
      </c>
      <c r="S28" s="33">
        <v>975135</v>
      </c>
      <c r="T28" s="33">
        <v>979417</v>
      </c>
      <c r="U28" s="33">
        <v>982393</v>
      </c>
      <c r="V28" s="33">
        <v>985346</v>
      </c>
      <c r="W28" s="33">
        <v>998601</v>
      </c>
      <c r="X28" s="33">
        <v>1016204</v>
      </c>
      <c r="Y28" s="34">
        <v>1031925</v>
      </c>
      <c r="Z28" s="34">
        <v>1045471</v>
      </c>
      <c r="AA28" s="23">
        <v>1060809</v>
      </c>
      <c r="AB28" s="23">
        <v>1079854</v>
      </c>
      <c r="AC28" s="23">
        <v>1096093</v>
      </c>
      <c r="AD28" s="23">
        <v>1110815</v>
      </c>
      <c r="AE28" s="23">
        <v>1124022</v>
      </c>
      <c r="AF28" s="24">
        <v>1133994</v>
      </c>
      <c r="AG28" s="24">
        <v>1144915</v>
      </c>
      <c r="AH28" s="173">
        <v>1163091</v>
      </c>
      <c r="AI28" s="26">
        <v>1177229</v>
      </c>
      <c r="AJ28" s="26">
        <v>1192092</v>
      </c>
      <c r="AK28" s="26">
        <v>1204739</v>
      </c>
      <c r="AL28" s="26">
        <v>1213616</v>
      </c>
      <c r="AM28" s="26">
        <v>1220440</v>
      </c>
      <c r="AN28" s="26">
        <v>1230857</v>
      </c>
      <c r="AO28" s="173">
        <v>1235795</v>
      </c>
      <c r="AP28" s="173">
        <v>1245340</v>
      </c>
      <c r="AQ28" s="173">
        <v>1251440</v>
      </c>
      <c r="AR28" s="173">
        <v>1257883</v>
      </c>
      <c r="AS28" s="1">
        <v>1265419</v>
      </c>
      <c r="AT28" s="1">
        <v>1273825</v>
      </c>
      <c r="AU28" s="1">
        <v>1280381</v>
      </c>
      <c r="AV28" s="406">
        <v>1256000</v>
      </c>
      <c r="AW28" s="173">
        <v>1263000</v>
      </c>
      <c r="AX28" s="173">
        <v>1271000</v>
      </c>
      <c r="AY28" s="173">
        <v>1284000</v>
      </c>
      <c r="AZ28" s="173">
        <v>1297000</v>
      </c>
      <c r="BA28" s="173">
        <v>1311000</v>
      </c>
      <c r="BB28" s="173">
        <v>1325000</v>
      </c>
      <c r="BC28" s="173">
        <v>1339000</v>
      </c>
      <c r="BD28" s="173">
        <v>1353000</v>
      </c>
      <c r="BE28" s="173">
        <v>1369000</v>
      </c>
      <c r="BF28" s="173">
        <v>1384000</v>
      </c>
      <c r="BG28" s="70">
        <v>1370300</v>
      </c>
      <c r="BH28" s="70">
        <v>1388100</v>
      </c>
    </row>
    <row r="29" spans="1:60">
      <c r="A29" s="110" t="s">
        <v>99</v>
      </c>
      <c r="B29" s="30">
        <v>428543</v>
      </c>
      <c r="C29" s="12">
        <v>399531</v>
      </c>
      <c r="D29" s="12">
        <v>403377</v>
      </c>
      <c r="E29" s="12">
        <v>409989</v>
      </c>
      <c r="F29" s="12">
        <v>409184</v>
      </c>
      <c r="G29" s="12">
        <v>404441</v>
      </c>
      <c r="H29" s="12">
        <v>404119</v>
      </c>
      <c r="I29" s="12">
        <v>404771</v>
      </c>
      <c r="J29" s="12">
        <v>401369</v>
      </c>
      <c r="K29" s="12">
        <v>395722</v>
      </c>
      <c r="L29" s="12">
        <v>387966</v>
      </c>
      <c r="M29" s="12">
        <v>383503</v>
      </c>
      <c r="N29" s="12">
        <v>377772</v>
      </c>
      <c r="O29" s="12">
        <v>375115</v>
      </c>
      <c r="P29" s="30">
        <v>371251</v>
      </c>
      <c r="Q29" s="31">
        <v>362941</v>
      </c>
      <c r="R29" s="31">
        <v>357923</v>
      </c>
      <c r="S29" s="31">
        <v>351837</v>
      </c>
      <c r="T29" s="31">
        <v>344236</v>
      </c>
      <c r="U29" s="31">
        <v>335912</v>
      </c>
      <c r="V29" s="31">
        <v>327540</v>
      </c>
      <c r="W29" s="31">
        <v>322389</v>
      </c>
      <c r="X29" s="31">
        <v>320249</v>
      </c>
      <c r="Y29" s="35">
        <v>318296</v>
      </c>
      <c r="Z29" s="35">
        <v>314383</v>
      </c>
      <c r="AA29" s="25">
        <v>310511</v>
      </c>
      <c r="AB29" s="25">
        <v>307112</v>
      </c>
      <c r="AC29" s="25">
        <v>304052</v>
      </c>
      <c r="AD29" s="25">
        <v>301419</v>
      </c>
      <c r="AE29" s="25">
        <v>297530</v>
      </c>
      <c r="AF29" s="25">
        <v>291811</v>
      </c>
      <c r="AG29" s="25">
        <v>286367</v>
      </c>
      <c r="AH29" s="388">
        <v>282885</v>
      </c>
      <c r="AI29" s="50">
        <v>282455</v>
      </c>
      <c r="AJ29" s="50">
        <v>281215</v>
      </c>
      <c r="AK29" s="50">
        <v>280129</v>
      </c>
      <c r="AL29" s="50">
        <v>280866</v>
      </c>
      <c r="AM29" s="50">
        <v>281939</v>
      </c>
      <c r="AN29" s="50">
        <v>282535</v>
      </c>
      <c r="AO29" s="388">
        <v>282729</v>
      </c>
      <c r="AP29" s="388">
        <v>282662</v>
      </c>
      <c r="AQ29" s="388">
        <v>282879</v>
      </c>
      <c r="AR29" s="388">
        <v>282870</v>
      </c>
      <c r="AS29" s="464">
        <v>283044</v>
      </c>
      <c r="AT29" s="14">
        <v>280958</v>
      </c>
      <c r="AU29" s="14">
        <v>280310</v>
      </c>
      <c r="AV29" s="409">
        <v>281000</v>
      </c>
      <c r="AW29" s="388">
        <v>280000</v>
      </c>
      <c r="AX29" s="388">
        <v>278000</v>
      </c>
      <c r="AY29" s="388">
        <v>277000</v>
      </c>
      <c r="AZ29" s="388">
        <v>275000</v>
      </c>
      <c r="BA29" s="388">
        <v>273000</v>
      </c>
      <c r="BB29" s="388">
        <v>271000</v>
      </c>
      <c r="BC29" s="388">
        <v>268000</v>
      </c>
      <c r="BD29" s="388">
        <v>266000</v>
      </c>
      <c r="BE29" s="388">
        <v>262000</v>
      </c>
      <c r="BF29" s="388">
        <v>259000</v>
      </c>
      <c r="BG29" s="59">
        <v>253100</v>
      </c>
      <c r="BH29" s="59">
        <v>250700</v>
      </c>
    </row>
    <row r="30" spans="1:60">
      <c r="A30" s="106"/>
      <c r="B30" s="386"/>
      <c r="C30" s="13"/>
      <c r="D30" s="13"/>
      <c r="E30" s="13"/>
      <c r="F30" s="13"/>
      <c r="G30" s="13"/>
      <c r="H30" s="13"/>
      <c r="I30" s="13"/>
      <c r="J30" s="13"/>
      <c r="K30" s="13"/>
      <c r="L30" s="13"/>
      <c r="M30" s="13"/>
      <c r="N30" s="13"/>
      <c r="O30" s="13"/>
      <c r="P30" s="386"/>
      <c r="Q30" s="29"/>
      <c r="R30" s="29"/>
      <c r="S30" s="29"/>
      <c r="T30" s="29"/>
      <c r="U30" s="29"/>
      <c r="V30" s="29"/>
      <c r="W30" s="29"/>
      <c r="X30" s="29"/>
      <c r="Y30" s="297"/>
      <c r="Z30" s="297"/>
      <c r="AA30" s="24"/>
      <c r="AB30" s="24"/>
      <c r="AC30" s="24"/>
      <c r="AD30" s="24"/>
      <c r="AE30" s="24"/>
      <c r="AF30" s="24"/>
      <c r="AG30" s="24"/>
      <c r="AH30" s="173"/>
      <c r="AI30" s="26"/>
      <c r="AJ30" s="26"/>
      <c r="AK30" s="26"/>
      <c r="AL30" s="26"/>
      <c r="AM30" s="26"/>
      <c r="AN30" s="26"/>
      <c r="AO30" s="173"/>
      <c r="AP30" s="173" t="s">
        <v>169</v>
      </c>
      <c r="AQ30" s="173"/>
      <c r="AR30" s="173"/>
      <c r="AS30" s="1"/>
      <c r="AT30" s="1"/>
      <c r="AU30" s="1"/>
      <c r="AV30" s="406"/>
      <c r="AW30" s="173"/>
      <c r="AX30" s="173"/>
      <c r="AY30" s="173"/>
      <c r="AZ30" s="173"/>
      <c r="BA30" s="173"/>
      <c r="BB30" s="173"/>
      <c r="BC30" s="173"/>
      <c r="BD30" s="173"/>
      <c r="BE30" s="173"/>
      <c r="BF30" s="173"/>
    </row>
    <row r="31" spans="1:60">
      <c r="A31" s="113" t="s">
        <v>129</v>
      </c>
      <c r="B31" s="1">
        <v>59727</v>
      </c>
      <c r="C31" s="32">
        <v>79845</v>
      </c>
      <c r="D31" s="33">
        <v>84381</v>
      </c>
      <c r="E31" s="33">
        <v>85332</v>
      </c>
      <c r="F31" s="33">
        <v>82505</v>
      </c>
      <c r="G31" s="33">
        <v>86576</v>
      </c>
      <c r="H31" s="33">
        <v>89295</v>
      </c>
      <c r="I31" s="33">
        <v>91190</v>
      </c>
      <c r="J31" s="33">
        <v>90344</v>
      </c>
      <c r="K31" s="33">
        <v>90728</v>
      </c>
      <c r="L31" s="33">
        <v>88573</v>
      </c>
      <c r="M31" s="33">
        <v>86514</v>
      </c>
      <c r="N31" s="33">
        <v>90858</v>
      </c>
      <c r="O31" s="33">
        <v>89413</v>
      </c>
      <c r="P31" s="32">
        <v>98206</v>
      </c>
      <c r="Q31" s="33">
        <v>104599</v>
      </c>
      <c r="R31" s="33">
        <v>107345</v>
      </c>
      <c r="S31" s="33">
        <v>107848</v>
      </c>
      <c r="T31" s="33">
        <v>106869</v>
      </c>
      <c r="U31" s="33">
        <v>106481</v>
      </c>
      <c r="V31" s="33">
        <v>109280</v>
      </c>
      <c r="W31" s="33">
        <v>113903</v>
      </c>
      <c r="X31" s="29">
        <v>118680</v>
      </c>
      <c r="Y31" s="32">
        <v>122487</v>
      </c>
      <c r="Z31" s="29">
        <v>125948</v>
      </c>
      <c r="AA31" s="29">
        <v>127057</v>
      </c>
      <c r="AB31" s="29">
        <v>127618</v>
      </c>
      <c r="AC31" s="29">
        <v>129919</v>
      </c>
      <c r="AD31" s="29">
        <v>132123</v>
      </c>
      <c r="AE31" s="32">
        <v>135373</v>
      </c>
      <c r="AF31" s="29">
        <v>134391</v>
      </c>
      <c r="AG31" s="29">
        <v>133356</v>
      </c>
      <c r="AH31" s="173">
        <v>134349</v>
      </c>
      <c r="AI31" s="33">
        <v>134364</v>
      </c>
      <c r="AJ31" s="33">
        <v>133933</v>
      </c>
      <c r="AK31" s="33">
        <v>132970</v>
      </c>
      <c r="AL31" s="33">
        <v>133288</v>
      </c>
      <c r="AM31" s="33">
        <v>132608</v>
      </c>
      <c r="AN31" s="33">
        <v>131029</v>
      </c>
      <c r="AO31" s="173">
        <v>130662</v>
      </c>
      <c r="AP31" s="173">
        <v>131661</v>
      </c>
      <c r="AQ31" s="173">
        <v>132104</v>
      </c>
      <c r="AR31" s="173">
        <v>131167</v>
      </c>
      <c r="AS31" s="1">
        <v>131489</v>
      </c>
      <c r="AT31" s="1">
        <v>130944</v>
      </c>
      <c r="AU31" s="1">
        <v>131176</v>
      </c>
      <c r="AV31" s="406">
        <v>133000</v>
      </c>
      <c r="AW31" s="173">
        <v>134000</v>
      </c>
      <c r="AX31" s="173">
        <v>136000</v>
      </c>
      <c r="AY31" s="173">
        <v>139000</v>
      </c>
      <c r="AZ31" s="173">
        <v>142000</v>
      </c>
      <c r="BA31" s="173">
        <v>145000</v>
      </c>
      <c r="BB31" s="173">
        <v>148000</v>
      </c>
      <c r="BC31" s="173">
        <v>151000</v>
      </c>
      <c r="BD31" s="173">
        <v>154000</v>
      </c>
      <c r="BE31" s="173">
        <v>158000</v>
      </c>
      <c r="BF31" s="173">
        <v>161000</v>
      </c>
      <c r="BG31" s="359">
        <v>155200</v>
      </c>
      <c r="BH31" s="70">
        <v>153800</v>
      </c>
    </row>
    <row r="32" spans="1:60">
      <c r="A32" s="113" t="s">
        <v>130</v>
      </c>
      <c r="B32" s="1">
        <v>373659</v>
      </c>
      <c r="C32" s="32">
        <v>439524</v>
      </c>
      <c r="D32" s="33">
        <v>464478</v>
      </c>
      <c r="E32" s="33">
        <v>485088</v>
      </c>
      <c r="F32" s="33">
        <v>521240</v>
      </c>
      <c r="G32" s="33">
        <v>487040</v>
      </c>
      <c r="H32" s="33">
        <v>492995</v>
      </c>
      <c r="I32" s="33">
        <v>502817</v>
      </c>
      <c r="J32" s="33">
        <v>513817</v>
      </c>
      <c r="K32" s="33">
        <v>509830</v>
      </c>
      <c r="L32" s="33">
        <v>509252</v>
      </c>
      <c r="M32" s="33">
        <v>513790</v>
      </c>
      <c r="N32" s="33">
        <v>507199</v>
      </c>
      <c r="O32" s="33">
        <v>510296</v>
      </c>
      <c r="P32" s="32">
        <v>506682</v>
      </c>
      <c r="Q32" s="33">
        <v>530062</v>
      </c>
      <c r="R32" s="33">
        <v>548252</v>
      </c>
      <c r="S32" s="33">
        <v>534538</v>
      </c>
      <c r="T32" s="33">
        <v>572421</v>
      </c>
      <c r="U32" s="33">
        <v>574890</v>
      </c>
      <c r="V32" s="33">
        <v>607615</v>
      </c>
      <c r="W32" s="33">
        <v>639853</v>
      </c>
      <c r="X32" s="29">
        <v>656980</v>
      </c>
      <c r="Y32" s="32">
        <v>673477</v>
      </c>
      <c r="Z32" s="29">
        <v>709453</v>
      </c>
      <c r="AA32" s="29">
        <v>737424</v>
      </c>
      <c r="AB32" s="29">
        <v>743566</v>
      </c>
      <c r="AC32" s="29">
        <v>799250</v>
      </c>
      <c r="AD32" s="29">
        <v>814113</v>
      </c>
      <c r="AE32" s="32">
        <v>848262</v>
      </c>
      <c r="AF32" s="29">
        <v>852612</v>
      </c>
      <c r="AG32" s="29">
        <v>877696</v>
      </c>
      <c r="AH32" s="173">
        <v>922180</v>
      </c>
      <c r="AI32" s="33">
        <v>937755</v>
      </c>
      <c r="AJ32" s="33">
        <v>1012068</v>
      </c>
      <c r="AK32" s="33">
        <v>1043298</v>
      </c>
      <c r="AL32" s="33">
        <v>1094454</v>
      </c>
      <c r="AM32" s="33">
        <v>1068249</v>
      </c>
      <c r="AN32" s="33">
        <v>1087447</v>
      </c>
      <c r="AO32" s="173">
        <v>1087817</v>
      </c>
      <c r="AP32" s="173">
        <v>1077831</v>
      </c>
      <c r="AQ32" s="173">
        <v>1071751</v>
      </c>
      <c r="AR32" s="173">
        <v>1080319</v>
      </c>
      <c r="AS32" s="1">
        <v>1089384</v>
      </c>
      <c r="AT32" s="1">
        <v>1102445</v>
      </c>
      <c r="AU32" s="1">
        <v>1111695</v>
      </c>
      <c r="AV32" s="406">
        <v>1076000</v>
      </c>
      <c r="AW32" s="173">
        <v>1085000</v>
      </c>
      <c r="AX32" s="173">
        <v>1099000</v>
      </c>
      <c r="AY32" s="173">
        <v>1118000</v>
      </c>
      <c r="AZ32" s="173">
        <v>1140000</v>
      </c>
      <c r="BA32" s="173">
        <v>1164000</v>
      </c>
      <c r="BB32" s="173">
        <v>1187000</v>
      </c>
      <c r="BC32" s="173">
        <v>1210000</v>
      </c>
      <c r="BD32" s="173">
        <v>1235000</v>
      </c>
      <c r="BE32" s="173">
        <v>1261000</v>
      </c>
      <c r="BF32" s="173">
        <v>1288000</v>
      </c>
      <c r="BG32" s="359">
        <v>1295500</v>
      </c>
      <c r="BH32" s="70">
        <v>1320000</v>
      </c>
    </row>
    <row r="33" spans="1:60">
      <c r="A33" s="113" t="s">
        <v>131</v>
      </c>
      <c r="B33" s="1">
        <v>4262000</v>
      </c>
      <c r="C33" s="32">
        <v>4633198</v>
      </c>
      <c r="D33" s="33">
        <v>4601550</v>
      </c>
      <c r="E33" s="33">
        <v>4500978</v>
      </c>
      <c r="F33" s="33">
        <v>4459328</v>
      </c>
      <c r="G33" s="33">
        <v>4427443</v>
      </c>
      <c r="H33" s="33">
        <v>4419571</v>
      </c>
      <c r="I33" s="33">
        <v>4380400</v>
      </c>
      <c r="J33" s="33">
        <v>4303665</v>
      </c>
      <c r="K33" s="33">
        <v>4187967</v>
      </c>
      <c r="L33" s="33">
        <v>4119511</v>
      </c>
      <c r="M33" s="33">
        <v>4076421</v>
      </c>
      <c r="N33" s="33">
        <v>4046156</v>
      </c>
      <c r="O33" s="33">
        <v>4065486</v>
      </c>
      <c r="P33" s="32">
        <v>4089017</v>
      </c>
      <c r="Q33" s="33">
        <v>4151110</v>
      </c>
      <c r="R33" s="33">
        <v>4255554</v>
      </c>
      <c r="S33" s="33">
        <v>4377989</v>
      </c>
      <c r="T33" s="33">
        <v>4488398</v>
      </c>
      <c r="U33" s="33">
        <v>4618120</v>
      </c>
      <c r="V33" s="33">
        <v>4771978</v>
      </c>
      <c r="W33" s="33">
        <v>4950474</v>
      </c>
      <c r="X33" s="29">
        <v>5107145</v>
      </c>
      <c r="Y33" s="32">
        <v>5254844</v>
      </c>
      <c r="Z33" s="29">
        <v>5327231</v>
      </c>
      <c r="AA33" s="29">
        <v>5407475</v>
      </c>
      <c r="AB33" s="29">
        <v>5536406</v>
      </c>
      <c r="AC33" s="29">
        <v>5686198</v>
      </c>
      <c r="AD33" s="29">
        <v>5803887</v>
      </c>
      <c r="AE33" s="32">
        <v>5926037</v>
      </c>
      <c r="AF33" s="29">
        <v>6038590</v>
      </c>
      <c r="AG33" s="29">
        <v>6140814</v>
      </c>
      <c r="AH33" s="173">
        <v>6247726</v>
      </c>
      <c r="AI33" s="33">
        <v>6353667</v>
      </c>
      <c r="AJ33" s="72">
        <v>6413867</v>
      </c>
      <c r="AK33" s="33">
        <v>6441557</v>
      </c>
      <c r="AL33" s="33">
        <v>6437202</v>
      </c>
      <c r="AM33" s="33">
        <v>6406750</v>
      </c>
      <c r="AN33" s="33">
        <v>6343471</v>
      </c>
      <c r="AO33" s="173">
        <v>6322528</v>
      </c>
      <c r="AP33" s="173">
        <v>6263438</v>
      </c>
      <c r="AQ33" s="173">
        <v>6289578</v>
      </c>
      <c r="AR33" s="173">
        <v>6287834</v>
      </c>
      <c r="AS33" s="1">
        <v>6299451</v>
      </c>
      <c r="AT33" s="1">
        <v>6312623</v>
      </c>
      <c r="AU33" s="1">
        <v>6312161</v>
      </c>
      <c r="AV33" s="406">
        <v>6320000</v>
      </c>
      <c r="AW33" s="173">
        <v>6347000</v>
      </c>
      <c r="AX33" s="173">
        <v>6385000</v>
      </c>
      <c r="AY33" s="173">
        <v>6443000</v>
      </c>
      <c r="AZ33" s="173">
        <v>6505000</v>
      </c>
      <c r="BA33" s="173">
        <v>6584000</v>
      </c>
      <c r="BB33" s="173">
        <v>6665000</v>
      </c>
      <c r="BC33" s="173">
        <v>6748000</v>
      </c>
      <c r="BD33" s="173">
        <v>6838000</v>
      </c>
      <c r="BE33" s="173">
        <v>6929000</v>
      </c>
      <c r="BF33" s="173">
        <v>7013000</v>
      </c>
      <c r="BG33" s="359">
        <v>6742400</v>
      </c>
      <c r="BH33" s="70">
        <v>6833200</v>
      </c>
    </row>
    <row r="34" spans="1:60">
      <c r="A34" s="113" t="s">
        <v>132</v>
      </c>
      <c r="B34" s="1">
        <v>486784</v>
      </c>
      <c r="C34" s="32">
        <v>550060</v>
      </c>
      <c r="D34" s="33">
        <v>564502</v>
      </c>
      <c r="E34" s="33">
        <v>574248</v>
      </c>
      <c r="F34" s="33">
        <v>573154</v>
      </c>
      <c r="G34" s="33">
        <v>568060</v>
      </c>
      <c r="H34" s="33">
        <v>568851</v>
      </c>
      <c r="I34" s="33">
        <v>564087</v>
      </c>
      <c r="J34" s="33">
        <v>561807</v>
      </c>
      <c r="K34" s="33">
        <v>558285</v>
      </c>
      <c r="L34" s="33">
        <v>550527</v>
      </c>
      <c r="M34" s="33">
        <v>546033</v>
      </c>
      <c r="N34" s="33">
        <v>544174</v>
      </c>
      <c r="O34" s="33">
        <v>545209</v>
      </c>
      <c r="P34" s="32">
        <v>542196</v>
      </c>
      <c r="Q34" s="33">
        <v>545427</v>
      </c>
      <c r="R34" s="33">
        <v>550642</v>
      </c>
      <c r="S34" s="33">
        <v>558415</v>
      </c>
      <c r="T34" s="33">
        <v>560236</v>
      </c>
      <c r="U34" s="33">
        <v>560081</v>
      </c>
      <c r="V34" s="33">
        <v>562755</v>
      </c>
      <c r="W34" s="33">
        <v>574213</v>
      </c>
      <c r="X34" s="29">
        <v>593030</v>
      </c>
      <c r="Y34" s="32">
        <v>612635</v>
      </c>
      <c r="Z34" s="29">
        <v>625062</v>
      </c>
      <c r="AA34" s="29">
        <v>640521</v>
      </c>
      <c r="AB34" s="29">
        <v>656279</v>
      </c>
      <c r="AC34" s="29">
        <v>673438</v>
      </c>
      <c r="AD34" s="29">
        <v>687167</v>
      </c>
      <c r="AE34" s="32">
        <v>699135</v>
      </c>
      <c r="AF34" s="29">
        <v>708109</v>
      </c>
      <c r="AG34" s="29">
        <v>724508</v>
      </c>
      <c r="AH34" s="173">
        <v>742145</v>
      </c>
      <c r="AI34" s="33">
        <v>751862</v>
      </c>
      <c r="AJ34" s="33">
        <v>757693</v>
      </c>
      <c r="AK34" s="33">
        <v>765976</v>
      </c>
      <c r="AL34" s="33">
        <v>779826</v>
      </c>
      <c r="AM34" s="33">
        <v>794026</v>
      </c>
      <c r="AN34" s="33">
        <v>801867</v>
      </c>
      <c r="AO34" s="173">
        <v>818443</v>
      </c>
      <c r="AP34" s="173">
        <v>832368</v>
      </c>
      <c r="AQ34" s="173">
        <v>843316</v>
      </c>
      <c r="AR34" s="173">
        <v>854265</v>
      </c>
      <c r="AS34" s="1">
        <v>863561</v>
      </c>
      <c r="AT34" s="1">
        <v>876999</v>
      </c>
      <c r="AU34" s="1">
        <v>889006</v>
      </c>
      <c r="AV34" s="406">
        <v>852000</v>
      </c>
      <c r="AW34" s="173">
        <v>861000</v>
      </c>
      <c r="AX34" s="173">
        <v>871000</v>
      </c>
      <c r="AY34" s="173">
        <v>883000</v>
      </c>
      <c r="AZ34" s="173">
        <v>895000</v>
      </c>
      <c r="BA34" s="173">
        <v>906000</v>
      </c>
      <c r="BB34" s="173">
        <v>917000</v>
      </c>
      <c r="BC34" s="173">
        <v>927000</v>
      </c>
      <c r="BD34" s="173">
        <v>936000</v>
      </c>
      <c r="BE34" s="173">
        <v>946000</v>
      </c>
      <c r="BF34" s="173">
        <v>954000</v>
      </c>
      <c r="BG34" s="359">
        <v>954000</v>
      </c>
      <c r="BH34" s="70">
        <v>961200</v>
      </c>
    </row>
    <row r="35" spans="1:60">
      <c r="A35" s="113" t="s">
        <v>134</v>
      </c>
      <c r="B35" s="1">
        <v>162200</v>
      </c>
      <c r="C35" s="32">
        <v>180641</v>
      </c>
      <c r="D35" s="33">
        <v>183654</v>
      </c>
      <c r="E35" s="33">
        <v>181979</v>
      </c>
      <c r="F35" s="33">
        <v>178511</v>
      </c>
      <c r="G35" s="33">
        <v>177030</v>
      </c>
      <c r="H35" s="33">
        <v>176430</v>
      </c>
      <c r="I35" s="33">
        <v>174943</v>
      </c>
      <c r="J35" s="33">
        <v>172356</v>
      </c>
      <c r="K35" s="33">
        <v>170761</v>
      </c>
      <c r="L35" s="33">
        <v>168660</v>
      </c>
      <c r="M35" s="33">
        <v>165068</v>
      </c>
      <c r="N35" s="33">
        <v>162805</v>
      </c>
      <c r="O35" s="33">
        <v>162024</v>
      </c>
      <c r="P35" s="32">
        <v>162241</v>
      </c>
      <c r="Q35" s="33">
        <v>163860</v>
      </c>
      <c r="R35" s="33">
        <v>164169</v>
      </c>
      <c r="S35" s="33">
        <v>164640</v>
      </c>
      <c r="T35" s="33">
        <v>166160</v>
      </c>
      <c r="U35" s="33">
        <v>167488</v>
      </c>
      <c r="V35" s="33">
        <v>169493</v>
      </c>
      <c r="W35" s="33">
        <v>171708</v>
      </c>
      <c r="X35" s="29">
        <v>174747</v>
      </c>
      <c r="Y35" s="32">
        <v>177448</v>
      </c>
      <c r="Z35" s="29">
        <v>180410</v>
      </c>
      <c r="AA35" s="29">
        <v>183795</v>
      </c>
      <c r="AB35" s="29">
        <v>187180</v>
      </c>
      <c r="AC35" s="29">
        <v>187653</v>
      </c>
      <c r="AD35" s="29">
        <v>189887</v>
      </c>
      <c r="AE35" s="32">
        <v>188069</v>
      </c>
      <c r="AF35" s="29">
        <v>185860</v>
      </c>
      <c r="AG35" s="29">
        <v>184360</v>
      </c>
      <c r="AH35" s="173">
        <v>184546</v>
      </c>
      <c r="AI35" s="33">
        <v>183829</v>
      </c>
      <c r="AJ35" s="33">
        <v>183609</v>
      </c>
      <c r="AK35" s="33">
        <v>183185</v>
      </c>
      <c r="AL35" s="33">
        <v>182818</v>
      </c>
      <c r="AM35" s="33">
        <v>180728</v>
      </c>
      <c r="AN35" s="33">
        <v>179897</v>
      </c>
      <c r="AO35" s="173">
        <v>179478</v>
      </c>
      <c r="AP35" s="173">
        <v>180196</v>
      </c>
      <c r="AQ35" s="173">
        <v>179601</v>
      </c>
      <c r="AR35" s="173">
        <v>182706</v>
      </c>
      <c r="AS35" s="1">
        <v>184760</v>
      </c>
      <c r="AT35" s="1">
        <v>186825</v>
      </c>
      <c r="AU35" s="1">
        <v>182384</v>
      </c>
      <c r="AV35" s="406">
        <v>179000</v>
      </c>
      <c r="AW35" s="173">
        <v>179000</v>
      </c>
      <c r="AX35" s="173">
        <v>180000</v>
      </c>
      <c r="AY35" s="173">
        <v>180000</v>
      </c>
      <c r="AZ35" s="173">
        <v>181000</v>
      </c>
      <c r="BA35" s="173">
        <v>182000</v>
      </c>
      <c r="BB35" s="173">
        <v>182000</v>
      </c>
      <c r="BC35" s="173">
        <v>183000</v>
      </c>
      <c r="BD35" s="173">
        <v>184000</v>
      </c>
      <c r="BE35" s="173">
        <v>184000</v>
      </c>
      <c r="BF35" s="173">
        <v>184000</v>
      </c>
      <c r="BG35" s="359">
        <v>178000</v>
      </c>
      <c r="BH35" s="70">
        <v>189300</v>
      </c>
    </row>
    <row r="36" spans="1:60">
      <c r="A36" s="113" t="s">
        <v>135</v>
      </c>
      <c r="B36" s="1">
        <v>173696</v>
      </c>
      <c r="C36" s="32">
        <v>182333</v>
      </c>
      <c r="D36" s="33">
        <v>185114</v>
      </c>
      <c r="E36" s="33">
        <v>184663</v>
      </c>
      <c r="F36" s="33">
        <v>189133</v>
      </c>
      <c r="G36" s="33">
        <v>187552</v>
      </c>
      <c r="H36" s="33">
        <v>196616</v>
      </c>
      <c r="I36" s="33">
        <v>200005</v>
      </c>
      <c r="J36" s="33">
        <v>201433</v>
      </c>
      <c r="K36" s="33">
        <v>203022</v>
      </c>
      <c r="L36" s="33">
        <v>202758</v>
      </c>
      <c r="M36" s="33">
        <v>203247</v>
      </c>
      <c r="N36" s="33">
        <v>204524</v>
      </c>
      <c r="O36" s="33">
        <v>202973</v>
      </c>
      <c r="P36" s="32">
        <v>206352</v>
      </c>
      <c r="Q36" s="33">
        <v>208080</v>
      </c>
      <c r="R36" s="33">
        <v>208669</v>
      </c>
      <c r="S36" s="33">
        <v>208391</v>
      </c>
      <c r="T36" s="33">
        <v>212444</v>
      </c>
      <c r="U36" s="33">
        <v>214615</v>
      </c>
      <c r="V36" s="33">
        <v>214932</v>
      </c>
      <c r="W36" s="33">
        <v>220840</v>
      </c>
      <c r="X36" s="29">
        <v>225680</v>
      </c>
      <c r="Y36" s="32">
        <v>231668</v>
      </c>
      <c r="Z36" s="37">
        <v>236774</v>
      </c>
      <c r="AA36" s="37">
        <v>240448</v>
      </c>
      <c r="AB36" s="37">
        <v>243097</v>
      </c>
      <c r="AC36" s="37">
        <v>245252</v>
      </c>
      <c r="AD36" s="37">
        <v>244403</v>
      </c>
      <c r="AE36" s="32">
        <v>244722</v>
      </c>
      <c r="AF36" s="29">
        <v>245136</v>
      </c>
      <c r="AG36" s="29">
        <v>245117</v>
      </c>
      <c r="AH36" s="173">
        <v>246521</v>
      </c>
      <c r="AI36" s="33">
        <v>248604</v>
      </c>
      <c r="AJ36" s="33">
        <v>252120</v>
      </c>
      <c r="AK36" s="33">
        <v>256084</v>
      </c>
      <c r="AL36" s="33">
        <v>261982</v>
      </c>
      <c r="AM36" s="33">
        <v>267380</v>
      </c>
      <c r="AN36" s="33">
        <v>272119</v>
      </c>
      <c r="AO36" s="173">
        <v>275051</v>
      </c>
      <c r="AP36" s="173">
        <v>276299</v>
      </c>
      <c r="AQ36" s="173">
        <v>275859</v>
      </c>
      <c r="AR36" s="173">
        <v>279873</v>
      </c>
      <c r="AS36" s="1">
        <v>284834</v>
      </c>
      <c r="AT36" s="1">
        <v>296476</v>
      </c>
      <c r="AU36" s="1">
        <v>290885</v>
      </c>
      <c r="AV36" s="406">
        <v>277000</v>
      </c>
      <c r="AW36" s="173">
        <v>279000</v>
      </c>
      <c r="AX36" s="173">
        <v>282000</v>
      </c>
      <c r="AY36" s="173">
        <v>285000</v>
      </c>
      <c r="AZ36" s="173">
        <v>288000</v>
      </c>
      <c r="BA36" s="173">
        <v>291000</v>
      </c>
      <c r="BB36" s="173">
        <v>294000</v>
      </c>
      <c r="BC36" s="173">
        <v>296000</v>
      </c>
      <c r="BD36" s="173">
        <v>299000</v>
      </c>
      <c r="BE36" s="173">
        <v>302000</v>
      </c>
      <c r="BF36" s="173">
        <v>305000</v>
      </c>
      <c r="BG36" s="359">
        <v>314000</v>
      </c>
      <c r="BH36" s="70">
        <v>313000</v>
      </c>
    </row>
    <row r="37" spans="1:60">
      <c r="A37" s="113" t="s">
        <v>145</v>
      </c>
      <c r="B37" s="1">
        <v>166765</v>
      </c>
      <c r="C37" s="32">
        <v>176712</v>
      </c>
      <c r="D37" s="33">
        <v>178367</v>
      </c>
      <c r="E37" s="33">
        <v>179877</v>
      </c>
      <c r="F37" s="33">
        <v>173559</v>
      </c>
      <c r="G37" s="33">
        <v>172158</v>
      </c>
      <c r="H37" s="33">
        <v>171788</v>
      </c>
      <c r="I37" s="33">
        <v>170552</v>
      </c>
      <c r="J37" s="33">
        <v>168732</v>
      </c>
      <c r="K37" s="33">
        <v>164326</v>
      </c>
      <c r="L37" s="33">
        <v>158208</v>
      </c>
      <c r="M37" s="33">
        <v>155193</v>
      </c>
      <c r="N37" s="33">
        <v>153435</v>
      </c>
      <c r="O37" s="33">
        <v>152335</v>
      </c>
      <c r="P37" s="33">
        <v>153646</v>
      </c>
      <c r="Q37" s="33">
        <v>154412</v>
      </c>
      <c r="R37" s="33">
        <v>153869</v>
      </c>
      <c r="S37" s="33">
        <v>153327</v>
      </c>
      <c r="T37" s="33">
        <v>152207</v>
      </c>
      <c r="U37" s="33">
        <v>152191</v>
      </c>
      <c r="V37" s="33">
        <v>151265</v>
      </c>
      <c r="W37" s="33">
        <v>152974</v>
      </c>
      <c r="X37" s="29">
        <v>155779</v>
      </c>
      <c r="Y37" s="32">
        <v>160011</v>
      </c>
      <c r="Z37" s="29">
        <v>163009</v>
      </c>
      <c r="AA37" s="29">
        <v>164341</v>
      </c>
      <c r="AB37" s="29">
        <v>165547</v>
      </c>
      <c r="AC37" s="29">
        <v>164627</v>
      </c>
      <c r="AD37" s="29">
        <v>162335</v>
      </c>
      <c r="AE37" s="32">
        <v>159988</v>
      </c>
      <c r="AF37" s="29">
        <v>157556</v>
      </c>
      <c r="AG37" s="29">
        <v>154875</v>
      </c>
      <c r="AH37" s="173">
        <v>151947</v>
      </c>
      <c r="AI37" s="33">
        <v>149995</v>
      </c>
      <c r="AJ37" s="33">
        <v>148356</v>
      </c>
      <c r="AK37" s="33">
        <v>146705</v>
      </c>
      <c r="AL37" s="33">
        <v>145416</v>
      </c>
      <c r="AM37" s="33">
        <v>144418</v>
      </c>
      <c r="AN37" s="33">
        <v>142823</v>
      </c>
      <c r="AO37" s="173">
        <v>141899</v>
      </c>
      <c r="AP37" s="173">
        <v>141807</v>
      </c>
      <c r="AQ37" s="173">
        <v>141693</v>
      </c>
      <c r="AR37" s="173">
        <v>142349</v>
      </c>
      <c r="AS37" s="1">
        <v>142908</v>
      </c>
      <c r="AT37" s="1">
        <v>144129</v>
      </c>
      <c r="AU37" s="1">
        <v>144532</v>
      </c>
      <c r="AV37" s="406">
        <v>142000</v>
      </c>
      <c r="AW37" s="173">
        <v>142000</v>
      </c>
      <c r="AX37" s="173">
        <v>143000</v>
      </c>
      <c r="AY37" s="173">
        <v>144000</v>
      </c>
      <c r="AZ37" s="173">
        <v>145000</v>
      </c>
      <c r="BA37" s="173">
        <v>146000</v>
      </c>
      <c r="BB37" s="173">
        <v>147000</v>
      </c>
      <c r="BC37" s="173">
        <v>148000</v>
      </c>
      <c r="BD37" s="173">
        <v>149000</v>
      </c>
      <c r="BE37" s="173">
        <v>149000</v>
      </c>
      <c r="BF37" s="173">
        <v>150000</v>
      </c>
      <c r="BG37" s="359">
        <v>146800</v>
      </c>
      <c r="BH37" s="70">
        <v>154100</v>
      </c>
    </row>
    <row r="38" spans="1:60">
      <c r="A38" s="113" t="s">
        <v>147</v>
      </c>
      <c r="B38" s="1">
        <v>105952</v>
      </c>
      <c r="C38" s="32">
        <v>127550</v>
      </c>
      <c r="D38" s="33">
        <v>130186</v>
      </c>
      <c r="E38" s="33">
        <v>131660</v>
      </c>
      <c r="F38" s="33">
        <v>135406</v>
      </c>
      <c r="G38" s="33">
        <v>137051</v>
      </c>
      <c r="H38" s="33">
        <v>139745</v>
      </c>
      <c r="I38" s="33">
        <v>141791</v>
      </c>
      <c r="J38" s="33">
        <v>143444</v>
      </c>
      <c r="K38" s="33">
        <v>146281</v>
      </c>
      <c r="L38" s="33">
        <v>147734</v>
      </c>
      <c r="M38" s="33">
        <v>149481</v>
      </c>
      <c r="N38" s="33">
        <v>151339</v>
      </c>
      <c r="O38" s="33">
        <v>151104</v>
      </c>
      <c r="P38" s="33">
        <v>150442</v>
      </c>
      <c r="Q38" s="33">
        <v>151633</v>
      </c>
      <c r="R38" s="33">
        <v>154948</v>
      </c>
      <c r="S38" s="33">
        <v>161239</v>
      </c>
      <c r="T38" s="33">
        <v>168353</v>
      </c>
      <c r="U38" s="33">
        <v>176474</v>
      </c>
      <c r="V38" s="33">
        <v>186834</v>
      </c>
      <c r="W38" s="33">
        <v>201316</v>
      </c>
      <c r="X38" s="33">
        <v>211810</v>
      </c>
      <c r="Y38" s="33">
        <v>222974</v>
      </c>
      <c r="Z38" s="33">
        <v>235800</v>
      </c>
      <c r="AA38" s="33">
        <v>250747</v>
      </c>
      <c r="AB38" s="33">
        <v>265041</v>
      </c>
      <c r="AC38" s="33">
        <v>282131</v>
      </c>
      <c r="AD38" s="33">
        <v>296621</v>
      </c>
      <c r="AE38" s="32">
        <v>311061</v>
      </c>
      <c r="AF38" s="29">
        <v>325610</v>
      </c>
      <c r="AG38" s="29">
        <v>340706</v>
      </c>
      <c r="AH38" s="173">
        <v>356814</v>
      </c>
      <c r="AI38" s="29">
        <v>369498</v>
      </c>
      <c r="AJ38" s="29">
        <v>385401</v>
      </c>
      <c r="AK38" s="29">
        <v>400083</v>
      </c>
      <c r="AL38" s="29">
        <v>412395</v>
      </c>
      <c r="AM38" s="29">
        <v>424766</v>
      </c>
      <c r="AN38" s="29">
        <v>429362</v>
      </c>
      <c r="AO38" s="173">
        <v>433371</v>
      </c>
      <c r="AP38" s="173">
        <v>428947</v>
      </c>
      <c r="AQ38" s="173">
        <v>437149</v>
      </c>
      <c r="AR38" s="173">
        <v>439634</v>
      </c>
      <c r="AS38" s="1">
        <v>445707</v>
      </c>
      <c r="AT38" s="1">
        <v>451831</v>
      </c>
      <c r="AU38" s="1">
        <v>459189</v>
      </c>
      <c r="AV38" s="406">
        <v>440000</v>
      </c>
      <c r="AW38" s="173">
        <v>444000</v>
      </c>
      <c r="AX38" s="173">
        <v>449000</v>
      </c>
      <c r="AY38" s="173">
        <v>456000</v>
      </c>
      <c r="AZ38" s="173">
        <v>464000</v>
      </c>
      <c r="BA38" s="173">
        <v>472000</v>
      </c>
      <c r="BB38" s="173">
        <v>481000</v>
      </c>
      <c r="BC38" s="173">
        <v>491000</v>
      </c>
      <c r="BD38" s="173">
        <v>502000</v>
      </c>
      <c r="BE38" s="173">
        <v>514000</v>
      </c>
      <c r="BF38" s="173">
        <v>528000</v>
      </c>
      <c r="BG38" s="359">
        <v>534700</v>
      </c>
      <c r="BH38" s="70">
        <v>560900</v>
      </c>
    </row>
    <row r="39" spans="1:60">
      <c r="A39" s="113" t="s">
        <v>150</v>
      </c>
      <c r="B39" s="3">
        <v>267700</v>
      </c>
      <c r="C39" s="33">
        <v>281372</v>
      </c>
      <c r="D39" s="33">
        <v>284948</v>
      </c>
      <c r="E39" s="33">
        <v>285094</v>
      </c>
      <c r="F39" s="33">
        <v>283550</v>
      </c>
      <c r="G39" s="33">
        <v>282382</v>
      </c>
      <c r="H39" s="33">
        <v>274612</v>
      </c>
      <c r="I39" s="33">
        <v>284719</v>
      </c>
      <c r="J39" s="33">
        <v>281896</v>
      </c>
      <c r="K39" s="33">
        <v>279249</v>
      </c>
      <c r="L39" s="33">
        <v>275572</v>
      </c>
      <c r="M39" s="33">
        <v>271198</v>
      </c>
      <c r="N39" s="33">
        <v>268091</v>
      </c>
      <c r="O39" s="33">
        <v>268632</v>
      </c>
      <c r="P39" s="33">
        <v>269711</v>
      </c>
      <c r="Q39" s="33">
        <v>272478</v>
      </c>
      <c r="R39" s="33">
        <v>277551</v>
      </c>
      <c r="S39" s="33">
        <v>281943</v>
      </c>
      <c r="T39" s="33">
        <v>287229</v>
      </c>
      <c r="U39" s="33">
        <v>292425</v>
      </c>
      <c r="V39" s="33">
        <v>296057</v>
      </c>
      <c r="W39" s="33">
        <v>301881</v>
      </c>
      <c r="X39" s="33">
        <v>308667</v>
      </c>
      <c r="Y39" s="33">
        <v>315668</v>
      </c>
      <c r="Z39" s="33">
        <v>322292</v>
      </c>
      <c r="AA39" s="33">
        <v>327248</v>
      </c>
      <c r="AB39" s="33">
        <v>329640</v>
      </c>
      <c r="AC39" s="33">
        <v>332632</v>
      </c>
      <c r="AD39" s="33">
        <v>331673</v>
      </c>
      <c r="AE39" s="32">
        <v>328753</v>
      </c>
      <c r="AF39" s="29">
        <v>324495</v>
      </c>
      <c r="AG39" s="29">
        <v>320306</v>
      </c>
      <c r="AH39" s="173">
        <v>320260</v>
      </c>
      <c r="AI39" s="29">
        <v>320234</v>
      </c>
      <c r="AJ39" s="29">
        <v>323066</v>
      </c>
      <c r="AK39" s="29">
        <v>326102</v>
      </c>
      <c r="AL39" s="29">
        <v>326758</v>
      </c>
      <c r="AM39" s="29">
        <v>328220</v>
      </c>
      <c r="AN39" s="29">
        <v>329040</v>
      </c>
      <c r="AO39" s="173">
        <v>330245</v>
      </c>
      <c r="AP39" s="173">
        <v>334419</v>
      </c>
      <c r="AQ39" s="173">
        <v>338122</v>
      </c>
      <c r="AR39" s="173">
        <v>337225</v>
      </c>
      <c r="AS39" s="1">
        <v>338220</v>
      </c>
      <c r="AT39" s="1">
        <v>339244</v>
      </c>
      <c r="AU39" s="1">
        <v>340365</v>
      </c>
      <c r="AV39" s="406">
        <v>340000</v>
      </c>
      <c r="AW39" s="173">
        <v>344000</v>
      </c>
      <c r="AX39" s="173">
        <v>347000</v>
      </c>
      <c r="AY39" s="173">
        <v>351000</v>
      </c>
      <c r="AZ39" s="173">
        <v>355000</v>
      </c>
      <c r="BA39" s="173">
        <v>359000</v>
      </c>
      <c r="BB39" s="173">
        <v>361000</v>
      </c>
      <c r="BC39" s="173">
        <v>364000</v>
      </c>
      <c r="BD39" s="173">
        <v>366000</v>
      </c>
      <c r="BE39" s="173">
        <v>367000</v>
      </c>
      <c r="BF39" s="173">
        <v>368000</v>
      </c>
      <c r="BG39" s="359">
        <v>339600</v>
      </c>
      <c r="BH39" s="70">
        <v>340800</v>
      </c>
    </row>
    <row r="40" spans="1:60">
      <c r="A40" s="113" t="s">
        <v>154</v>
      </c>
      <c r="B40" s="3">
        <v>448527</v>
      </c>
      <c r="C40" s="33">
        <v>479527</v>
      </c>
      <c r="D40" s="33">
        <v>478502</v>
      </c>
      <c r="E40" s="33">
        <v>471395</v>
      </c>
      <c r="F40" s="33">
        <v>476518</v>
      </c>
      <c r="G40" s="33">
        <v>476583</v>
      </c>
      <c r="H40" s="33">
        <v>477559</v>
      </c>
      <c r="I40" s="33">
        <v>474707</v>
      </c>
      <c r="J40" s="33">
        <v>473279</v>
      </c>
      <c r="K40" s="33">
        <v>471374</v>
      </c>
      <c r="L40" s="33">
        <v>467128</v>
      </c>
      <c r="M40" s="33">
        <v>464599</v>
      </c>
      <c r="N40" s="33">
        <v>457165</v>
      </c>
      <c r="O40" s="33">
        <v>448184</v>
      </c>
      <c r="P40" s="33">
        <v>447109</v>
      </c>
      <c r="Q40" s="33">
        <v>446884</v>
      </c>
      <c r="R40" s="33">
        <v>447527</v>
      </c>
      <c r="S40" s="33">
        <v>449307</v>
      </c>
      <c r="T40" s="33">
        <v>455895</v>
      </c>
      <c r="U40" s="33">
        <v>461752</v>
      </c>
      <c r="V40" s="33">
        <v>472394</v>
      </c>
      <c r="W40" s="33">
        <v>472394</v>
      </c>
      <c r="X40" s="33">
        <v>498614</v>
      </c>
      <c r="Y40" s="33">
        <v>510122</v>
      </c>
      <c r="Z40" s="33">
        <v>516611</v>
      </c>
      <c r="AA40" s="33">
        <v>521945</v>
      </c>
      <c r="AB40" s="33">
        <v>527914</v>
      </c>
      <c r="AC40" s="33">
        <v>537854</v>
      </c>
      <c r="AD40" s="33">
        <v>541346</v>
      </c>
      <c r="AE40" s="33">
        <v>542809</v>
      </c>
      <c r="AF40" s="29">
        <v>545033</v>
      </c>
      <c r="AG40" s="29">
        <v>546231</v>
      </c>
      <c r="AH40" s="173">
        <v>551480</v>
      </c>
      <c r="AI40" s="29">
        <v>554071</v>
      </c>
      <c r="AJ40" s="29">
        <v>551273</v>
      </c>
      <c r="AK40" s="29">
        <v>552505</v>
      </c>
      <c r="AL40" s="29">
        <v>552194</v>
      </c>
      <c r="AM40" s="29">
        <v>562574</v>
      </c>
      <c r="AN40" s="29">
        <v>565586</v>
      </c>
      <c r="AO40" s="173">
        <v>575393</v>
      </c>
      <c r="AP40" s="173">
        <v>582839</v>
      </c>
      <c r="AQ40" s="173">
        <v>570720</v>
      </c>
      <c r="AR40" s="173">
        <v>568208</v>
      </c>
      <c r="AS40" s="1">
        <v>587564</v>
      </c>
      <c r="AT40" s="1">
        <v>593000</v>
      </c>
      <c r="AU40" s="1">
        <v>601318</v>
      </c>
      <c r="AV40" s="406">
        <v>574000</v>
      </c>
      <c r="AW40" s="173">
        <v>577000</v>
      </c>
      <c r="AX40" s="173">
        <v>581000</v>
      </c>
      <c r="AY40" s="173">
        <v>587000</v>
      </c>
      <c r="AZ40" s="173">
        <v>593000</v>
      </c>
      <c r="BA40" s="173">
        <v>600000</v>
      </c>
      <c r="BB40" s="173">
        <v>606000</v>
      </c>
      <c r="BC40" s="173">
        <v>614000</v>
      </c>
      <c r="BD40" s="173">
        <v>622000</v>
      </c>
      <c r="BE40" s="173">
        <v>632000</v>
      </c>
      <c r="BF40" s="173">
        <v>641000</v>
      </c>
      <c r="BG40" s="359">
        <v>626600</v>
      </c>
      <c r="BH40" s="70">
        <v>649900</v>
      </c>
    </row>
    <row r="41" spans="1:60">
      <c r="A41" s="113" t="s">
        <v>158</v>
      </c>
      <c r="B41" s="3">
        <v>286404</v>
      </c>
      <c r="C41" s="33">
        <v>304002</v>
      </c>
      <c r="D41" s="33">
        <v>305740</v>
      </c>
      <c r="E41" s="33">
        <v>305916</v>
      </c>
      <c r="F41" s="33">
        <v>305800</v>
      </c>
      <c r="G41" s="33">
        <v>306388</v>
      </c>
      <c r="H41" s="33">
        <v>309708</v>
      </c>
      <c r="I41" s="33">
        <v>314471</v>
      </c>
      <c r="J41" s="33">
        <v>317332</v>
      </c>
      <c r="K41" s="33">
        <v>325026</v>
      </c>
      <c r="L41" s="33">
        <v>333049</v>
      </c>
      <c r="M41" s="33">
        <v>343618</v>
      </c>
      <c r="N41" s="33">
        <v>355554</v>
      </c>
      <c r="O41" s="33">
        <v>370183</v>
      </c>
      <c r="P41" s="33">
        <v>378208</v>
      </c>
      <c r="Q41" s="33">
        <v>390141</v>
      </c>
      <c r="R41" s="33">
        <v>403305</v>
      </c>
      <c r="S41" s="33">
        <v>415994</v>
      </c>
      <c r="T41" s="33">
        <v>423386</v>
      </c>
      <c r="U41" s="33">
        <v>431119</v>
      </c>
      <c r="V41" s="33">
        <v>438554</v>
      </c>
      <c r="W41" s="33">
        <v>446652</v>
      </c>
      <c r="X41" s="33">
        <v>456430</v>
      </c>
      <c r="Y41" s="33">
        <v>463870</v>
      </c>
      <c r="Z41" s="33">
        <v>471365</v>
      </c>
      <c r="AA41" s="33">
        <v>474675</v>
      </c>
      <c r="AB41" s="33">
        <v>477121</v>
      </c>
      <c r="AC41" s="33">
        <v>481812</v>
      </c>
      <c r="AD41" s="33">
        <v>482957</v>
      </c>
      <c r="AE41" s="33">
        <v>481176</v>
      </c>
      <c r="AF41" s="29">
        <v>480255</v>
      </c>
      <c r="AG41" s="29">
        <v>481485</v>
      </c>
      <c r="AH41" s="173">
        <v>484684</v>
      </c>
      <c r="AI41" s="29">
        <v>489262</v>
      </c>
      <c r="AJ41" s="29">
        <v>495981</v>
      </c>
      <c r="AK41" s="29">
        <v>503607</v>
      </c>
      <c r="AL41" s="29">
        <v>508430</v>
      </c>
      <c r="AM41" s="29">
        <v>523386</v>
      </c>
      <c r="AN41" s="29">
        <v>576244</v>
      </c>
      <c r="AO41" s="173">
        <v>559778</v>
      </c>
      <c r="AP41" s="173">
        <v>571586</v>
      </c>
      <c r="AQ41" s="173">
        <v>585552</v>
      </c>
      <c r="AR41" s="173">
        <v>598832</v>
      </c>
      <c r="AS41" s="1">
        <v>613279</v>
      </c>
      <c r="AT41" s="1">
        <v>625461</v>
      </c>
      <c r="AU41" s="1">
        <v>635577</v>
      </c>
      <c r="AV41" s="406">
        <v>576000</v>
      </c>
      <c r="AW41" s="173">
        <v>580000</v>
      </c>
      <c r="AX41" s="173">
        <v>583000</v>
      </c>
      <c r="AY41" s="173">
        <v>587000</v>
      </c>
      <c r="AZ41" s="173">
        <v>590000</v>
      </c>
      <c r="BA41" s="173">
        <v>593000</v>
      </c>
      <c r="BB41" s="173">
        <v>595000</v>
      </c>
      <c r="BC41" s="173">
        <v>599000</v>
      </c>
      <c r="BD41" s="173">
        <v>603000</v>
      </c>
      <c r="BE41" s="173">
        <v>609000</v>
      </c>
      <c r="BF41" s="173">
        <v>616000</v>
      </c>
      <c r="BG41" s="359">
        <v>704600</v>
      </c>
      <c r="BH41" s="70">
        <v>719400</v>
      </c>
    </row>
    <row r="42" spans="1:60">
      <c r="A42" s="113" t="s">
        <v>160</v>
      </c>
      <c r="B42" s="3">
        <v>723398</v>
      </c>
      <c r="C42" s="33">
        <v>817712</v>
      </c>
      <c r="D42" s="33">
        <v>805049</v>
      </c>
      <c r="E42" s="33">
        <v>790502</v>
      </c>
      <c r="F42" s="33">
        <v>788324</v>
      </c>
      <c r="G42" s="33">
        <v>785457</v>
      </c>
      <c r="H42" s="33">
        <v>785449</v>
      </c>
      <c r="I42" s="33">
        <v>780730</v>
      </c>
      <c r="J42" s="33">
        <v>776463</v>
      </c>
      <c r="K42" s="33">
        <v>769246</v>
      </c>
      <c r="L42" s="33">
        <v>764879</v>
      </c>
      <c r="M42" s="33">
        <v>757639</v>
      </c>
      <c r="N42" s="33">
        <v>750188</v>
      </c>
      <c r="O42" s="33">
        <v>739215</v>
      </c>
      <c r="P42" s="33">
        <v>736239</v>
      </c>
      <c r="Q42" s="33">
        <v>741177</v>
      </c>
      <c r="R42" s="33">
        <v>749706</v>
      </c>
      <c r="S42" s="33">
        <v>761428</v>
      </c>
      <c r="T42" s="33">
        <v>775755</v>
      </c>
      <c r="U42" s="33">
        <v>790918</v>
      </c>
      <c r="V42" s="33">
        <v>810232</v>
      </c>
      <c r="W42" s="33">
        <v>839709</v>
      </c>
      <c r="X42" s="33">
        <v>869327</v>
      </c>
      <c r="Y42" s="33">
        <v>896475</v>
      </c>
      <c r="Z42" s="33">
        <v>915952</v>
      </c>
      <c r="AA42" s="33">
        <v>938314</v>
      </c>
      <c r="AB42" s="33">
        <v>956572</v>
      </c>
      <c r="AC42" s="33">
        <v>974504</v>
      </c>
      <c r="AD42" s="33">
        <v>991235</v>
      </c>
      <c r="AE42" s="33">
        <v>998053</v>
      </c>
      <c r="AF42" s="29">
        <v>1003714</v>
      </c>
      <c r="AG42" s="29">
        <v>1004770</v>
      </c>
      <c r="AH42" s="173">
        <v>1009200</v>
      </c>
      <c r="AI42" s="29">
        <v>1014798</v>
      </c>
      <c r="AJ42" s="29">
        <v>1021349</v>
      </c>
      <c r="AK42" s="29">
        <v>1020005</v>
      </c>
      <c r="AL42" s="29">
        <v>1031985</v>
      </c>
      <c r="AM42" s="29">
        <v>1026774</v>
      </c>
      <c r="AN42" s="29">
        <v>1030247</v>
      </c>
      <c r="AO42" s="173">
        <v>1037018</v>
      </c>
      <c r="AP42" s="173">
        <v>1035347</v>
      </c>
      <c r="AQ42" s="173">
        <v>1043788</v>
      </c>
      <c r="AR42" s="173">
        <v>1045453</v>
      </c>
      <c r="AS42" s="1">
        <v>1051694</v>
      </c>
      <c r="AT42" s="1">
        <v>1058936</v>
      </c>
      <c r="AU42" s="1">
        <v>1073638</v>
      </c>
      <c r="AV42" s="406">
        <v>1049000</v>
      </c>
      <c r="AW42" s="173">
        <v>1058000</v>
      </c>
      <c r="AX42" s="173">
        <v>1069000</v>
      </c>
      <c r="AY42" s="173">
        <v>1083000</v>
      </c>
      <c r="AZ42" s="173">
        <v>1098000</v>
      </c>
      <c r="BA42" s="173">
        <v>1114000</v>
      </c>
      <c r="BB42" s="173">
        <v>1131000</v>
      </c>
      <c r="BC42" s="173">
        <v>1150000</v>
      </c>
      <c r="BD42" s="173">
        <v>1170000</v>
      </c>
      <c r="BE42" s="173">
        <v>1192000</v>
      </c>
      <c r="BF42" s="173">
        <v>1215000</v>
      </c>
      <c r="BG42" s="359">
        <v>1177400</v>
      </c>
      <c r="BH42" s="70">
        <v>1216900</v>
      </c>
    </row>
    <row r="43" spans="1:60">
      <c r="A43" s="114" t="s">
        <v>162</v>
      </c>
      <c r="B43" s="10">
        <v>86308</v>
      </c>
      <c r="C43" s="31">
        <v>86886</v>
      </c>
      <c r="D43" s="31">
        <v>86430</v>
      </c>
      <c r="E43" s="31">
        <v>86017</v>
      </c>
      <c r="F43" s="31">
        <v>85391</v>
      </c>
      <c r="G43" s="31">
        <v>86584</v>
      </c>
      <c r="H43" s="31">
        <v>88184</v>
      </c>
      <c r="I43" s="31">
        <v>90587</v>
      </c>
      <c r="J43" s="31">
        <v>92321</v>
      </c>
      <c r="K43" s="31">
        <v>94328</v>
      </c>
      <c r="L43" s="31">
        <v>95422</v>
      </c>
      <c r="M43" s="31">
        <v>98305</v>
      </c>
      <c r="N43" s="31">
        <v>99541</v>
      </c>
      <c r="O43" s="31">
        <v>101665</v>
      </c>
      <c r="P43" s="31">
        <v>99254</v>
      </c>
      <c r="Q43" s="31">
        <v>101261</v>
      </c>
      <c r="R43" s="31">
        <v>102779</v>
      </c>
      <c r="S43" s="31">
        <v>100955</v>
      </c>
      <c r="T43" s="31">
        <v>98455</v>
      </c>
      <c r="U43" s="31">
        <v>97793</v>
      </c>
      <c r="V43" s="31">
        <v>97172</v>
      </c>
      <c r="W43" s="31">
        <v>98226</v>
      </c>
      <c r="X43" s="31">
        <v>102074</v>
      </c>
      <c r="Y43" s="31">
        <v>100313</v>
      </c>
      <c r="Z43" s="31">
        <v>100899</v>
      </c>
      <c r="AA43" s="31">
        <v>100314</v>
      </c>
      <c r="AB43" s="31">
        <v>99859</v>
      </c>
      <c r="AC43" s="31">
        <v>99058</v>
      </c>
      <c r="AD43" s="31">
        <v>97115</v>
      </c>
      <c r="AE43" s="31">
        <v>95241</v>
      </c>
      <c r="AF43" s="31">
        <v>92105</v>
      </c>
      <c r="AG43" s="31">
        <v>89940</v>
      </c>
      <c r="AH43" s="388">
        <v>88128</v>
      </c>
      <c r="AI43" s="31">
        <v>88116</v>
      </c>
      <c r="AJ43" s="31">
        <v>87462</v>
      </c>
      <c r="AK43" s="31">
        <v>84733</v>
      </c>
      <c r="AL43" s="31">
        <v>84409</v>
      </c>
      <c r="AM43" s="31">
        <v>85193</v>
      </c>
      <c r="AN43" s="31">
        <v>86422</v>
      </c>
      <c r="AO43" s="388">
        <v>87161</v>
      </c>
      <c r="AP43" s="388">
        <v>88155</v>
      </c>
      <c r="AQ43" s="388">
        <v>89009</v>
      </c>
      <c r="AR43" s="388">
        <v>90099</v>
      </c>
      <c r="AS43" s="464">
        <v>91533</v>
      </c>
      <c r="AT43" s="14">
        <v>92732</v>
      </c>
      <c r="AU43" s="14">
        <v>94067</v>
      </c>
      <c r="AV43" s="409">
        <v>90000</v>
      </c>
      <c r="AW43" s="388">
        <v>91000</v>
      </c>
      <c r="AX43" s="388">
        <v>92000</v>
      </c>
      <c r="AY43" s="388">
        <v>92000</v>
      </c>
      <c r="AZ43" s="388">
        <v>93000</v>
      </c>
      <c r="BA43" s="388">
        <v>94000</v>
      </c>
      <c r="BB43" s="388">
        <v>94000</v>
      </c>
      <c r="BC43" s="388">
        <v>94000</v>
      </c>
      <c r="BD43" s="388">
        <v>94000</v>
      </c>
      <c r="BE43" s="388">
        <v>94000</v>
      </c>
      <c r="BF43" s="388">
        <v>93000</v>
      </c>
      <c r="BG43" s="365">
        <v>94900</v>
      </c>
      <c r="BH43" s="59">
        <v>95300</v>
      </c>
    </row>
    <row r="44" spans="1:60">
      <c r="A44" s="113"/>
      <c r="B44" s="4"/>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173"/>
      <c r="AI44" s="29"/>
      <c r="AJ44" s="29"/>
      <c r="AK44" s="29"/>
      <c r="AL44" s="29"/>
      <c r="AM44" s="29"/>
      <c r="AN44" s="29"/>
      <c r="AO44" s="173"/>
      <c r="AP44" s="173"/>
      <c r="AQ44" s="173"/>
      <c r="AR44" s="173"/>
      <c r="AS44" s="1"/>
      <c r="AT44" s="1"/>
      <c r="AU44" s="1"/>
      <c r="AV44" s="406"/>
      <c r="AW44" s="173"/>
      <c r="AX44" s="173"/>
      <c r="AY44" s="173"/>
      <c r="AZ44" s="173"/>
      <c r="BA44" s="173"/>
      <c r="BB44" s="173"/>
      <c r="BC44" s="173"/>
      <c r="BD44" s="173"/>
      <c r="BE44" s="173"/>
      <c r="BF44" s="173"/>
    </row>
    <row r="45" spans="1:60">
      <c r="A45" s="113" t="s">
        <v>136</v>
      </c>
      <c r="B45" s="1">
        <v>2087689</v>
      </c>
      <c r="C45" s="32">
        <v>2356636</v>
      </c>
      <c r="D45" s="33">
        <v>2379646</v>
      </c>
      <c r="E45" s="33">
        <v>2354562</v>
      </c>
      <c r="F45" s="33">
        <v>2320672</v>
      </c>
      <c r="G45" s="33">
        <v>2296241</v>
      </c>
      <c r="H45" s="33">
        <v>2269892</v>
      </c>
      <c r="I45" s="33">
        <v>2238129</v>
      </c>
      <c r="J45" s="33">
        <v>2173352</v>
      </c>
      <c r="K45" s="33">
        <v>2039430</v>
      </c>
      <c r="L45" s="33">
        <v>2043239</v>
      </c>
      <c r="M45" s="33">
        <v>1983463</v>
      </c>
      <c r="N45" s="33">
        <v>1924084</v>
      </c>
      <c r="O45" s="33">
        <v>1880289</v>
      </c>
      <c r="P45" s="32">
        <v>1853316</v>
      </c>
      <c r="Q45" s="33">
        <v>1834355</v>
      </c>
      <c r="R45" s="33">
        <v>1826478</v>
      </c>
      <c r="S45" s="33">
        <v>1825185</v>
      </c>
      <c r="T45" s="33">
        <v>1811446</v>
      </c>
      <c r="U45" s="33">
        <v>1794916</v>
      </c>
      <c r="V45" s="33">
        <v>1797355</v>
      </c>
      <c r="W45" s="33">
        <v>1821407</v>
      </c>
      <c r="X45" s="29">
        <v>1848166</v>
      </c>
      <c r="Y45" s="32">
        <v>1873567</v>
      </c>
      <c r="Z45" s="29">
        <v>1893078</v>
      </c>
      <c r="AA45" s="29">
        <v>1916172</v>
      </c>
      <c r="AB45" s="29">
        <v>1943623</v>
      </c>
      <c r="AC45" s="29">
        <v>1973040</v>
      </c>
      <c r="AD45" s="29">
        <v>1998289</v>
      </c>
      <c r="AE45" s="32">
        <v>2011530</v>
      </c>
      <c r="AF45" s="32">
        <v>2027600</v>
      </c>
      <c r="AG45" s="32">
        <v>2048792</v>
      </c>
      <c r="AH45" s="173">
        <v>2071391</v>
      </c>
      <c r="AI45" s="33">
        <v>2084187</v>
      </c>
      <c r="AJ45" s="33">
        <v>2100961</v>
      </c>
      <c r="AK45" s="33">
        <v>2097503</v>
      </c>
      <c r="AL45" s="33">
        <v>2111706</v>
      </c>
      <c r="AM45" s="33">
        <v>2118276</v>
      </c>
      <c r="AN45" s="33">
        <v>2112805</v>
      </c>
      <c r="AO45" s="173">
        <v>2119707</v>
      </c>
      <c r="AP45" s="173">
        <v>2104175</v>
      </c>
      <c r="AQ45" s="173">
        <v>2091654</v>
      </c>
      <c r="AR45" s="173">
        <v>2083097</v>
      </c>
      <c r="AS45" s="1">
        <v>2072880</v>
      </c>
      <c r="AT45" s="1">
        <v>2066990</v>
      </c>
      <c r="AU45" s="1">
        <v>2050239</v>
      </c>
      <c r="AV45" s="406">
        <v>2089000</v>
      </c>
      <c r="AW45" s="173">
        <v>2084000</v>
      </c>
      <c r="AX45" s="173">
        <v>2080000</v>
      </c>
      <c r="AY45" s="173">
        <v>2083000</v>
      </c>
      <c r="AZ45" s="173">
        <v>2088000</v>
      </c>
      <c r="BA45" s="173">
        <v>2092000</v>
      </c>
      <c r="BB45" s="173">
        <v>2098000</v>
      </c>
      <c r="BC45" s="173">
        <v>2100000</v>
      </c>
      <c r="BD45" s="173">
        <v>2102000</v>
      </c>
      <c r="BE45" s="173">
        <v>2106000</v>
      </c>
      <c r="BF45" s="173">
        <v>2109000</v>
      </c>
      <c r="BG45" s="70">
        <v>2053000</v>
      </c>
      <c r="BH45" s="70">
        <v>2037000</v>
      </c>
    </row>
    <row r="46" spans="1:60">
      <c r="A46" s="113" t="s">
        <v>137</v>
      </c>
      <c r="B46" s="1">
        <v>1124724</v>
      </c>
      <c r="C46" s="32">
        <v>1231458</v>
      </c>
      <c r="D46" s="33">
        <v>1230796</v>
      </c>
      <c r="E46" s="33">
        <v>1220543</v>
      </c>
      <c r="F46" s="33">
        <v>1207420</v>
      </c>
      <c r="G46" s="33">
        <v>1186800</v>
      </c>
      <c r="H46" s="33">
        <v>1173863</v>
      </c>
      <c r="I46" s="33">
        <v>1163179</v>
      </c>
      <c r="J46" s="33">
        <v>1143722</v>
      </c>
      <c r="K46" s="33">
        <v>1113331</v>
      </c>
      <c r="L46" s="33">
        <v>1083826</v>
      </c>
      <c r="M46" s="33">
        <v>1055589</v>
      </c>
      <c r="N46" s="33">
        <v>1025172</v>
      </c>
      <c r="O46" s="33">
        <v>999542</v>
      </c>
      <c r="P46" s="32">
        <v>984384</v>
      </c>
      <c r="Q46" s="33">
        <v>972659</v>
      </c>
      <c r="R46" s="33">
        <v>966106</v>
      </c>
      <c r="S46" s="33">
        <v>966780</v>
      </c>
      <c r="T46" s="33">
        <v>964129</v>
      </c>
      <c r="U46" s="33">
        <v>960994</v>
      </c>
      <c r="V46" s="33">
        <v>954165</v>
      </c>
      <c r="W46" s="33">
        <v>954525</v>
      </c>
      <c r="X46" s="29">
        <v>956988</v>
      </c>
      <c r="Y46" s="32">
        <v>960630</v>
      </c>
      <c r="Z46" s="29">
        <v>965633</v>
      </c>
      <c r="AA46" s="29">
        <v>969022</v>
      </c>
      <c r="AB46" s="29">
        <v>977263</v>
      </c>
      <c r="AC46" s="29">
        <v>982876</v>
      </c>
      <c r="AD46" s="29">
        <v>986836</v>
      </c>
      <c r="AE46" s="32">
        <v>989001</v>
      </c>
      <c r="AF46" s="32">
        <v>988702</v>
      </c>
      <c r="AG46" s="32">
        <v>989267</v>
      </c>
      <c r="AH46" s="173">
        <v>996133</v>
      </c>
      <c r="AI46" s="33">
        <v>1003875</v>
      </c>
      <c r="AJ46" s="33">
        <v>1011130</v>
      </c>
      <c r="AK46" s="33">
        <v>1021348</v>
      </c>
      <c r="AL46" s="33">
        <v>1035074</v>
      </c>
      <c r="AM46" s="33">
        <v>1045940</v>
      </c>
      <c r="AN46" s="33">
        <v>1046766</v>
      </c>
      <c r="AO46" s="173">
        <v>1046147</v>
      </c>
      <c r="AP46" s="173">
        <v>1046661</v>
      </c>
      <c r="AQ46" s="173">
        <v>1047232</v>
      </c>
      <c r="AR46" s="173">
        <v>1040765</v>
      </c>
      <c r="AS46" s="1">
        <v>1041369</v>
      </c>
      <c r="AT46" s="1">
        <v>1047385</v>
      </c>
      <c r="AU46" s="1">
        <v>1046269</v>
      </c>
      <c r="AV46" s="406">
        <v>1047000</v>
      </c>
      <c r="AW46" s="173">
        <v>1049000</v>
      </c>
      <c r="AX46" s="173">
        <v>1050000</v>
      </c>
      <c r="AY46" s="173">
        <v>1052000</v>
      </c>
      <c r="AZ46" s="173">
        <v>1056000</v>
      </c>
      <c r="BA46" s="173">
        <v>1060000</v>
      </c>
      <c r="BB46" s="173">
        <v>1063000</v>
      </c>
      <c r="BC46" s="173">
        <v>1066000</v>
      </c>
      <c r="BD46" s="173">
        <v>1067000</v>
      </c>
      <c r="BE46" s="173">
        <v>1072000</v>
      </c>
      <c r="BF46" s="173">
        <v>1077000</v>
      </c>
      <c r="BG46" s="70">
        <v>1009500</v>
      </c>
      <c r="BH46" s="70">
        <v>1029800</v>
      </c>
    </row>
    <row r="47" spans="1:60">
      <c r="A47" s="113" t="s">
        <v>138</v>
      </c>
      <c r="B47" s="1">
        <v>625358</v>
      </c>
      <c r="C47" s="32">
        <v>660104</v>
      </c>
      <c r="D47" s="33">
        <v>652958</v>
      </c>
      <c r="E47" s="33">
        <v>646408</v>
      </c>
      <c r="F47" s="33">
        <v>631132</v>
      </c>
      <c r="G47" s="33">
        <v>617485</v>
      </c>
      <c r="H47" s="33">
        <v>612111</v>
      </c>
      <c r="I47" s="33">
        <v>605127</v>
      </c>
      <c r="J47" s="33">
        <v>588760</v>
      </c>
      <c r="K47" s="33">
        <v>568540</v>
      </c>
      <c r="L47" s="33">
        <v>548317</v>
      </c>
      <c r="M47" s="33">
        <v>533857</v>
      </c>
      <c r="N47" s="33">
        <v>516216</v>
      </c>
      <c r="O47" s="33">
        <v>504983</v>
      </c>
      <c r="P47" s="32">
        <v>497287</v>
      </c>
      <c r="Q47" s="33">
        <v>491011</v>
      </c>
      <c r="R47" s="33">
        <v>485332</v>
      </c>
      <c r="S47" s="33">
        <v>481286</v>
      </c>
      <c r="T47" s="33">
        <v>480826</v>
      </c>
      <c r="U47" s="33">
        <v>478200</v>
      </c>
      <c r="V47" s="33">
        <v>478486</v>
      </c>
      <c r="W47" s="33">
        <v>483652</v>
      </c>
      <c r="X47" s="29">
        <v>491363</v>
      </c>
      <c r="Y47" s="32">
        <v>494839</v>
      </c>
      <c r="Z47" s="29">
        <v>498519</v>
      </c>
      <c r="AA47" s="29">
        <v>500440</v>
      </c>
      <c r="AB47" s="29">
        <v>502343</v>
      </c>
      <c r="AC47" s="29">
        <v>502941</v>
      </c>
      <c r="AD47" s="29">
        <v>501054</v>
      </c>
      <c r="AE47" s="32">
        <v>498214</v>
      </c>
      <c r="AF47" s="32">
        <v>497301</v>
      </c>
      <c r="AG47" s="32">
        <v>495080</v>
      </c>
      <c r="AH47" s="173">
        <v>485932</v>
      </c>
      <c r="AI47" s="33">
        <v>482210</v>
      </c>
      <c r="AJ47" s="33">
        <v>481226</v>
      </c>
      <c r="AK47" s="33">
        <v>478319</v>
      </c>
      <c r="AL47" s="33">
        <v>483482</v>
      </c>
      <c r="AM47" s="33">
        <v>483122</v>
      </c>
      <c r="AN47" s="33">
        <v>485115</v>
      </c>
      <c r="AO47" s="173">
        <v>487559</v>
      </c>
      <c r="AP47" s="173">
        <v>491842</v>
      </c>
      <c r="AQ47" s="173">
        <v>495775</v>
      </c>
      <c r="AR47" s="173">
        <v>495870</v>
      </c>
      <c r="AS47" s="1">
        <v>499825</v>
      </c>
      <c r="AT47" s="1">
        <v>502964</v>
      </c>
      <c r="AU47" s="1">
        <v>505311</v>
      </c>
      <c r="AV47" s="406">
        <v>495000</v>
      </c>
      <c r="AW47" s="173">
        <v>495000</v>
      </c>
      <c r="AX47" s="173">
        <v>497000</v>
      </c>
      <c r="AY47" s="173">
        <v>498000</v>
      </c>
      <c r="AZ47" s="173">
        <v>499000</v>
      </c>
      <c r="BA47" s="173">
        <v>500000</v>
      </c>
      <c r="BB47" s="173">
        <v>501000</v>
      </c>
      <c r="BC47" s="173">
        <v>501000</v>
      </c>
      <c r="BD47" s="173">
        <v>501000</v>
      </c>
      <c r="BE47" s="173">
        <v>501000</v>
      </c>
      <c r="BF47" s="173">
        <v>500000</v>
      </c>
      <c r="BG47" s="70">
        <v>501500</v>
      </c>
      <c r="BH47" s="70">
        <v>506400</v>
      </c>
    </row>
    <row r="48" spans="1:60">
      <c r="A48" s="113" t="s">
        <v>139</v>
      </c>
      <c r="B48" s="1">
        <v>506958</v>
      </c>
      <c r="C48" s="32">
        <v>513394</v>
      </c>
      <c r="D48" s="33">
        <v>505267</v>
      </c>
      <c r="E48" s="33">
        <v>491765</v>
      </c>
      <c r="F48" s="33">
        <v>479344</v>
      </c>
      <c r="G48" s="33">
        <v>471460</v>
      </c>
      <c r="H48" s="33">
        <v>465355</v>
      </c>
      <c r="I48" s="33">
        <v>458330</v>
      </c>
      <c r="J48" s="33">
        <v>446592</v>
      </c>
      <c r="K48" s="33">
        <v>433538</v>
      </c>
      <c r="L48" s="33">
        <v>422924</v>
      </c>
      <c r="M48" s="33">
        <v>415291</v>
      </c>
      <c r="N48" s="33">
        <v>409909</v>
      </c>
      <c r="O48" s="33">
        <v>407074</v>
      </c>
      <c r="P48" s="32">
        <v>405222</v>
      </c>
      <c r="Q48" s="33">
        <v>405347</v>
      </c>
      <c r="R48" s="33">
        <v>410229</v>
      </c>
      <c r="S48" s="33">
        <v>416091</v>
      </c>
      <c r="T48" s="33">
        <v>421112</v>
      </c>
      <c r="U48" s="33">
        <v>426596</v>
      </c>
      <c r="V48" s="33">
        <v>430864</v>
      </c>
      <c r="W48" s="33">
        <v>437034</v>
      </c>
      <c r="X48" s="29">
        <v>445390</v>
      </c>
      <c r="Y48" s="32">
        <v>451536</v>
      </c>
      <c r="Z48" s="29">
        <v>457614</v>
      </c>
      <c r="AA48" s="29">
        <v>460838</v>
      </c>
      <c r="AB48" s="29">
        <v>463008</v>
      </c>
      <c r="AC48" s="29">
        <v>466293</v>
      </c>
      <c r="AD48" s="29">
        <v>468687</v>
      </c>
      <c r="AE48" s="32">
        <v>472353</v>
      </c>
      <c r="AF48" s="32">
        <v>472188</v>
      </c>
      <c r="AG48" s="32">
        <v>470610</v>
      </c>
      <c r="AH48" s="173">
        <v>470205</v>
      </c>
      <c r="AI48" s="33">
        <v>470957</v>
      </c>
      <c r="AJ48" s="33">
        <v>470490</v>
      </c>
      <c r="AK48" s="33">
        <v>469136</v>
      </c>
      <c r="AL48" s="33">
        <v>467525</v>
      </c>
      <c r="AM48" s="33">
        <v>469506</v>
      </c>
      <c r="AN48" s="33">
        <v>468295</v>
      </c>
      <c r="AO48" s="173">
        <v>471060</v>
      </c>
      <c r="AP48" s="173">
        <v>474489</v>
      </c>
      <c r="AQ48" s="173">
        <v>483701</v>
      </c>
      <c r="AR48" s="173">
        <v>486108</v>
      </c>
      <c r="AS48" s="1">
        <v>489043</v>
      </c>
      <c r="AT48" s="1">
        <v>496440</v>
      </c>
      <c r="AU48" s="1">
        <v>497275</v>
      </c>
      <c r="AV48" s="406">
        <v>484000</v>
      </c>
      <c r="AW48" s="173">
        <v>487000</v>
      </c>
      <c r="AX48" s="173">
        <v>490000</v>
      </c>
      <c r="AY48" s="173">
        <v>494000</v>
      </c>
      <c r="AZ48" s="173">
        <v>499000</v>
      </c>
      <c r="BA48" s="173">
        <v>502000</v>
      </c>
      <c r="BB48" s="173">
        <v>505000</v>
      </c>
      <c r="BC48" s="173">
        <v>507000</v>
      </c>
      <c r="BD48" s="173">
        <v>509000</v>
      </c>
      <c r="BE48" s="173">
        <v>511000</v>
      </c>
      <c r="BF48" s="173">
        <v>512000</v>
      </c>
      <c r="BG48" s="70">
        <v>499300</v>
      </c>
      <c r="BH48" s="70">
        <v>499800</v>
      </c>
    </row>
    <row r="49" spans="1:60">
      <c r="A49" s="113" t="s">
        <v>142</v>
      </c>
      <c r="B49" s="1">
        <v>1975000</v>
      </c>
      <c r="C49" s="32">
        <v>2152256</v>
      </c>
      <c r="D49" s="33">
        <v>2182885</v>
      </c>
      <c r="E49" s="33">
        <v>2164949</v>
      </c>
      <c r="F49" s="33">
        <v>2123611</v>
      </c>
      <c r="G49" s="33">
        <v>2137612</v>
      </c>
      <c r="H49" s="33">
        <v>2073288</v>
      </c>
      <c r="I49" s="33">
        <v>2035703</v>
      </c>
      <c r="J49" s="33">
        <v>1968975</v>
      </c>
      <c r="K49" s="33">
        <v>1911345</v>
      </c>
      <c r="L49" s="33">
        <v>1860498</v>
      </c>
      <c r="M49" s="33">
        <v>1797052</v>
      </c>
      <c r="N49" s="33">
        <v>1724787</v>
      </c>
      <c r="O49" s="33">
        <v>1674697</v>
      </c>
      <c r="P49" s="32">
        <v>1635963</v>
      </c>
      <c r="Q49" s="33">
        <v>1609448</v>
      </c>
      <c r="R49" s="33">
        <v>1602747</v>
      </c>
      <c r="S49" s="33">
        <v>1597154</v>
      </c>
      <c r="T49" s="33">
        <v>1589287</v>
      </c>
      <c r="U49" s="33">
        <v>1582785</v>
      </c>
      <c r="V49" s="33">
        <v>1576785</v>
      </c>
      <c r="W49" s="33">
        <v>1584431</v>
      </c>
      <c r="X49" s="29">
        <v>1593561</v>
      </c>
      <c r="Y49" s="32">
        <v>1603610</v>
      </c>
      <c r="Z49" s="29">
        <v>1599377</v>
      </c>
      <c r="AA49" s="29">
        <v>1614784</v>
      </c>
      <c r="AB49" s="29">
        <v>1641456</v>
      </c>
      <c r="AC49" s="29">
        <v>1685714</v>
      </c>
      <c r="AD49" s="29">
        <v>1702717</v>
      </c>
      <c r="AE49" s="32">
        <v>1720287</v>
      </c>
      <c r="AF49" s="29">
        <v>1725639</v>
      </c>
      <c r="AG49" s="29">
        <v>1720626</v>
      </c>
      <c r="AH49" s="173">
        <v>1730669</v>
      </c>
      <c r="AI49" s="33">
        <v>1785160</v>
      </c>
      <c r="AJ49" s="33">
        <v>1757604</v>
      </c>
      <c r="AK49" s="33">
        <v>1751290</v>
      </c>
      <c r="AL49" s="33">
        <v>1742282</v>
      </c>
      <c r="AM49" s="33">
        <v>1722656</v>
      </c>
      <c r="AN49" s="33">
        <v>1692739</v>
      </c>
      <c r="AO49" s="173">
        <v>1659921</v>
      </c>
      <c r="AP49" s="173">
        <v>1649082</v>
      </c>
      <c r="AQ49" s="173">
        <v>1587067</v>
      </c>
      <c r="AR49" s="173">
        <v>1573537</v>
      </c>
      <c r="AS49" s="1">
        <v>1555370</v>
      </c>
      <c r="AT49" s="1">
        <v>1548841</v>
      </c>
      <c r="AU49" s="1">
        <v>1537922</v>
      </c>
      <c r="AV49" s="406">
        <v>1569000</v>
      </c>
      <c r="AW49" s="173">
        <v>1557000</v>
      </c>
      <c r="AX49" s="173">
        <v>1545000</v>
      </c>
      <c r="AY49" s="173">
        <v>1543000</v>
      </c>
      <c r="AZ49" s="173">
        <v>1540000</v>
      </c>
      <c r="BA49" s="173">
        <v>1539000</v>
      </c>
      <c r="BB49" s="173">
        <v>1539000</v>
      </c>
      <c r="BC49" s="173">
        <v>1539000</v>
      </c>
      <c r="BD49" s="173">
        <v>1541000</v>
      </c>
      <c r="BE49" s="173">
        <v>1545000</v>
      </c>
      <c r="BF49" s="173">
        <v>1551000</v>
      </c>
      <c r="BG49" s="70">
        <v>1473300</v>
      </c>
      <c r="BH49" s="70">
        <v>1474600</v>
      </c>
    </row>
    <row r="50" spans="1:60">
      <c r="A50" s="113" t="s">
        <v>143</v>
      </c>
      <c r="B50" s="1">
        <v>808207</v>
      </c>
      <c r="C50" s="32">
        <v>920839</v>
      </c>
      <c r="D50" s="33">
        <v>913955</v>
      </c>
      <c r="E50" s="33">
        <v>909653</v>
      </c>
      <c r="F50" s="33">
        <v>900377</v>
      </c>
      <c r="G50" s="33">
        <v>889535</v>
      </c>
      <c r="H50" s="33">
        <v>879944</v>
      </c>
      <c r="I50" s="33">
        <v>862591</v>
      </c>
      <c r="J50" s="33">
        <v>836420</v>
      </c>
      <c r="K50" s="33">
        <v>807716</v>
      </c>
      <c r="L50" s="33">
        <v>778056</v>
      </c>
      <c r="M50" s="33">
        <v>754318</v>
      </c>
      <c r="N50" s="33">
        <v>733741</v>
      </c>
      <c r="O50" s="33">
        <v>715190</v>
      </c>
      <c r="P50" s="32">
        <v>705236</v>
      </c>
      <c r="Q50" s="33">
        <v>701697</v>
      </c>
      <c r="R50" s="33">
        <v>705140</v>
      </c>
      <c r="S50" s="33">
        <v>711134</v>
      </c>
      <c r="T50" s="33">
        <v>721481</v>
      </c>
      <c r="U50" s="33">
        <v>726950</v>
      </c>
      <c r="V50" s="33">
        <v>739553</v>
      </c>
      <c r="W50" s="33">
        <v>756374</v>
      </c>
      <c r="X50" s="29">
        <v>773571</v>
      </c>
      <c r="Y50" s="32">
        <v>793724</v>
      </c>
      <c r="Z50" s="29">
        <v>810233</v>
      </c>
      <c r="AA50" s="29">
        <v>821693</v>
      </c>
      <c r="AB50" s="29">
        <v>835166</v>
      </c>
      <c r="AC50" s="29">
        <v>847204</v>
      </c>
      <c r="AD50" s="29">
        <v>853621</v>
      </c>
      <c r="AE50" s="32">
        <v>856455</v>
      </c>
      <c r="AF50" s="29">
        <v>854034</v>
      </c>
      <c r="AG50" s="29">
        <v>854340</v>
      </c>
      <c r="AH50" s="173">
        <v>851384</v>
      </c>
      <c r="AI50" s="33">
        <v>846891</v>
      </c>
      <c r="AJ50" s="33">
        <v>842854</v>
      </c>
      <c r="AK50" s="33">
        <v>838503</v>
      </c>
      <c r="AL50" s="33">
        <v>839243</v>
      </c>
      <c r="AM50" s="33">
        <v>840565</v>
      </c>
      <c r="AN50" s="33">
        <v>837578</v>
      </c>
      <c r="AO50" s="173">
        <v>836048</v>
      </c>
      <c r="AP50" s="173">
        <v>837053</v>
      </c>
      <c r="AQ50" s="173">
        <v>838037</v>
      </c>
      <c r="AR50" s="173">
        <v>839738</v>
      </c>
      <c r="AS50" s="1">
        <v>845404</v>
      </c>
      <c r="AT50" s="1">
        <v>850973</v>
      </c>
      <c r="AU50" s="1">
        <v>857235</v>
      </c>
      <c r="AV50" s="406">
        <v>843000</v>
      </c>
      <c r="AW50" s="173">
        <v>850000</v>
      </c>
      <c r="AX50" s="173">
        <v>859000</v>
      </c>
      <c r="AY50" s="173">
        <v>870000</v>
      </c>
      <c r="AZ50" s="173">
        <v>883000</v>
      </c>
      <c r="BA50" s="173">
        <v>897000</v>
      </c>
      <c r="BB50" s="173">
        <v>911000</v>
      </c>
      <c r="BC50" s="173">
        <v>925000</v>
      </c>
      <c r="BD50" s="173">
        <v>938000</v>
      </c>
      <c r="BE50" s="173">
        <v>952000</v>
      </c>
      <c r="BF50" s="173">
        <v>965000</v>
      </c>
      <c r="BG50" s="70">
        <v>937700</v>
      </c>
      <c r="BH50" s="70">
        <v>961600</v>
      </c>
    </row>
    <row r="51" spans="1:60">
      <c r="A51" s="113" t="s">
        <v>144</v>
      </c>
      <c r="B51" s="1">
        <v>964351</v>
      </c>
      <c r="C51" s="32">
        <v>1039477</v>
      </c>
      <c r="D51" s="33">
        <v>1023374</v>
      </c>
      <c r="E51" s="33">
        <v>1030008</v>
      </c>
      <c r="F51" s="33">
        <v>1019803</v>
      </c>
      <c r="G51" s="33">
        <v>1001705</v>
      </c>
      <c r="H51" s="33">
        <v>965360</v>
      </c>
      <c r="I51" s="33">
        <v>950142</v>
      </c>
      <c r="J51" s="33">
        <v>931232</v>
      </c>
      <c r="K51" s="33">
        <v>900002</v>
      </c>
      <c r="L51" s="33">
        <v>872933</v>
      </c>
      <c r="M51" s="33">
        <v>844648</v>
      </c>
      <c r="N51" s="33">
        <v>818705</v>
      </c>
      <c r="O51" s="33">
        <v>802535</v>
      </c>
      <c r="P51" s="32">
        <v>795453</v>
      </c>
      <c r="Q51" s="33">
        <v>793793</v>
      </c>
      <c r="R51" s="33">
        <v>795107</v>
      </c>
      <c r="S51" s="33">
        <v>800606</v>
      </c>
      <c r="T51" s="33">
        <v>802060</v>
      </c>
      <c r="U51" s="33">
        <v>806639</v>
      </c>
      <c r="V51" s="33">
        <v>807934</v>
      </c>
      <c r="W51" s="33">
        <v>816558</v>
      </c>
      <c r="X51" s="29">
        <v>842965</v>
      </c>
      <c r="Y51" s="32">
        <v>859357</v>
      </c>
      <c r="Z51" s="29">
        <v>866378</v>
      </c>
      <c r="AA51" s="29">
        <v>878541</v>
      </c>
      <c r="AB51" s="29">
        <v>889881</v>
      </c>
      <c r="AC51" s="29">
        <v>900517</v>
      </c>
      <c r="AD51" s="29">
        <v>910613</v>
      </c>
      <c r="AE51" s="32">
        <v>913494</v>
      </c>
      <c r="AF51" s="29">
        <v>914110</v>
      </c>
      <c r="AG51" s="29">
        <v>912744</v>
      </c>
      <c r="AH51" s="173">
        <v>909792</v>
      </c>
      <c r="AI51" s="33">
        <v>906499</v>
      </c>
      <c r="AJ51" s="33">
        <v>905941</v>
      </c>
      <c r="AK51" s="33">
        <v>905449</v>
      </c>
      <c r="AL51" s="33">
        <v>917705</v>
      </c>
      <c r="AM51" s="33">
        <v>920353</v>
      </c>
      <c r="AN51" s="33">
        <v>917188</v>
      </c>
      <c r="AO51" s="173">
        <v>917871</v>
      </c>
      <c r="AP51" s="173">
        <v>917982</v>
      </c>
      <c r="AQ51" s="173">
        <v>918710</v>
      </c>
      <c r="AR51" s="173">
        <v>916584</v>
      </c>
      <c r="AS51" s="1">
        <v>917900</v>
      </c>
      <c r="AT51" s="1">
        <v>918288</v>
      </c>
      <c r="AU51" s="1">
        <v>917785</v>
      </c>
      <c r="AV51" s="406">
        <v>917000</v>
      </c>
      <c r="AW51" s="173">
        <v>918000</v>
      </c>
      <c r="AX51" s="173">
        <v>919000</v>
      </c>
      <c r="AY51" s="173">
        <v>923000</v>
      </c>
      <c r="AZ51" s="173">
        <v>927000</v>
      </c>
      <c r="BA51" s="173">
        <v>929000</v>
      </c>
      <c r="BB51" s="173">
        <v>933000</v>
      </c>
      <c r="BC51" s="173">
        <v>935000</v>
      </c>
      <c r="BD51" s="173">
        <v>938000</v>
      </c>
      <c r="BE51" s="173">
        <v>942000</v>
      </c>
      <c r="BF51" s="173">
        <v>946000</v>
      </c>
      <c r="BG51" s="70">
        <v>930000</v>
      </c>
      <c r="BH51" s="70">
        <v>919000</v>
      </c>
    </row>
    <row r="52" spans="1:60">
      <c r="A52" s="113" t="s">
        <v>146</v>
      </c>
      <c r="B52" s="1">
        <v>318746</v>
      </c>
      <c r="C52" s="32">
        <v>329110</v>
      </c>
      <c r="D52" s="33">
        <v>332375</v>
      </c>
      <c r="E52" s="33">
        <v>329192</v>
      </c>
      <c r="F52" s="33">
        <v>323211</v>
      </c>
      <c r="G52" s="33">
        <v>318792</v>
      </c>
      <c r="H52" s="33">
        <v>315669</v>
      </c>
      <c r="I52" s="33">
        <v>312024</v>
      </c>
      <c r="J52" s="33">
        <v>306207</v>
      </c>
      <c r="K52" s="33">
        <v>297796</v>
      </c>
      <c r="L52" s="33">
        <v>287288</v>
      </c>
      <c r="M52" s="33">
        <v>280430</v>
      </c>
      <c r="N52" s="33">
        <v>273340</v>
      </c>
      <c r="O52" s="33">
        <v>269009</v>
      </c>
      <c r="P52" s="33">
        <v>266998</v>
      </c>
      <c r="Q52" s="33">
        <v>265599</v>
      </c>
      <c r="R52" s="33">
        <v>265819</v>
      </c>
      <c r="S52" s="33">
        <v>267139</v>
      </c>
      <c r="T52" s="33">
        <v>268100</v>
      </c>
      <c r="U52" s="33">
        <v>269434</v>
      </c>
      <c r="V52" s="33">
        <v>270920</v>
      </c>
      <c r="W52" s="33">
        <v>274081</v>
      </c>
      <c r="X52" s="29">
        <v>279552</v>
      </c>
      <c r="Y52" s="29">
        <v>282414</v>
      </c>
      <c r="Z52" s="29">
        <v>285097</v>
      </c>
      <c r="AA52" s="29">
        <v>287100</v>
      </c>
      <c r="AB52" s="29">
        <v>289744</v>
      </c>
      <c r="AC52" s="29">
        <v>291967</v>
      </c>
      <c r="AD52" s="29">
        <v>292681</v>
      </c>
      <c r="AE52" s="32">
        <v>291140</v>
      </c>
      <c r="AF52" s="29">
        <v>288261</v>
      </c>
      <c r="AG52" s="29">
        <v>286199</v>
      </c>
      <c r="AH52" s="173">
        <v>285095</v>
      </c>
      <c r="AI52" s="29">
        <v>285402</v>
      </c>
      <c r="AJ52" s="29">
        <v>285542</v>
      </c>
      <c r="AK52" s="29">
        <v>285761</v>
      </c>
      <c r="AL52" s="29">
        <v>286646</v>
      </c>
      <c r="AM52" s="29">
        <v>287580</v>
      </c>
      <c r="AN52" s="29">
        <v>291244</v>
      </c>
      <c r="AO52" s="173">
        <v>292590</v>
      </c>
      <c r="AP52" s="173">
        <v>295368</v>
      </c>
      <c r="AQ52" s="173">
        <v>298500</v>
      </c>
      <c r="AR52" s="173">
        <v>301296</v>
      </c>
      <c r="AS52" s="1">
        <v>303505</v>
      </c>
      <c r="AT52" s="1">
        <v>307677</v>
      </c>
      <c r="AU52" s="1">
        <v>312635</v>
      </c>
      <c r="AV52" s="406">
        <v>301000</v>
      </c>
      <c r="AW52" s="173">
        <v>304000</v>
      </c>
      <c r="AX52" s="173">
        <v>306000</v>
      </c>
      <c r="AY52" s="173">
        <v>309000</v>
      </c>
      <c r="AZ52" s="173">
        <v>312000</v>
      </c>
      <c r="BA52" s="173">
        <v>315000</v>
      </c>
      <c r="BB52" s="173">
        <v>318000</v>
      </c>
      <c r="BC52" s="173">
        <v>319000</v>
      </c>
      <c r="BD52" s="173">
        <v>321000</v>
      </c>
      <c r="BE52" s="173">
        <v>322000</v>
      </c>
      <c r="BF52" s="173">
        <v>323000</v>
      </c>
      <c r="BG52" s="70">
        <v>316400</v>
      </c>
      <c r="BH52" s="70">
        <v>316400</v>
      </c>
    </row>
    <row r="53" spans="1:60">
      <c r="A53" s="113" t="s">
        <v>152</v>
      </c>
      <c r="B53" s="3">
        <v>148871</v>
      </c>
      <c r="C53" s="33">
        <v>147013</v>
      </c>
      <c r="D53" s="33">
        <v>144419</v>
      </c>
      <c r="E53" s="33">
        <v>141535</v>
      </c>
      <c r="F53" s="33">
        <v>138302</v>
      </c>
      <c r="G53" s="33">
        <v>133241</v>
      </c>
      <c r="H53" s="33">
        <v>131331</v>
      </c>
      <c r="I53" s="33">
        <v>129106</v>
      </c>
      <c r="J53" s="33">
        <v>125085</v>
      </c>
      <c r="K53" s="33">
        <v>122021</v>
      </c>
      <c r="L53" s="33">
        <v>117688</v>
      </c>
      <c r="M53" s="33">
        <v>116885</v>
      </c>
      <c r="N53" s="33">
        <v>117708</v>
      </c>
      <c r="O53" s="33">
        <v>117078</v>
      </c>
      <c r="P53" s="33">
        <v>117213</v>
      </c>
      <c r="Q53" s="33">
        <v>118711</v>
      </c>
      <c r="R53" s="33">
        <v>118570</v>
      </c>
      <c r="S53" s="33">
        <v>118703</v>
      </c>
      <c r="T53" s="33">
        <v>119004</v>
      </c>
      <c r="U53" s="33">
        <v>118809</v>
      </c>
      <c r="V53" s="33">
        <v>117816</v>
      </c>
      <c r="W53" s="33">
        <v>117825</v>
      </c>
      <c r="X53" s="33">
        <v>118376</v>
      </c>
      <c r="Y53" s="33">
        <v>118734</v>
      </c>
      <c r="Z53" s="33">
        <v>119127</v>
      </c>
      <c r="AA53" s="33">
        <v>119288</v>
      </c>
      <c r="AB53" s="33">
        <v>119100</v>
      </c>
      <c r="AC53" s="33">
        <v>120123</v>
      </c>
      <c r="AD53" s="33">
        <v>118572</v>
      </c>
      <c r="AE53" s="32">
        <v>114927</v>
      </c>
      <c r="AF53" s="29">
        <v>112751</v>
      </c>
      <c r="AG53" s="29">
        <v>109201</v>
      </c>
      <c r="AH53" s="173">
        <v>106047</v>
      </c>
      <c r="AI53" s="29">
        <v>104225</v>
      </c>
      <c r="AJ53" s="29">
        <v>102233</v>
      </c>
      <c r="AK53" s="29">
        <v>100513</v>
      </c>
      <c r="AL53" s="29">
        <v>98283</v>
      </c>
      <c r="AM53" s="29">
        <v>96670</v>
      </c>
      <c r="AN53" s="29">
        <v>95059</v>
      </c>
      <c r="AO53" s="173">
        <v>94728</v>
      </c>
      <c r="AP53" s="173">
        <v>95073</v>
      </c>
      <c r="AQ53" s="173">
        <v>96323</v>
      </c>
      <c r="AR53" s="173">
        <v>97646</v>
      </c>
      <c r="AS53" s="1">
        <v>101111</v>
      </c>
      <c r="AT53" s="1">
        <v>103947</v>
      </c>
      <c r="AU53" s="1">
        <v>106586</v>
      </c>
      <c r="AV53" s="406">
        <v>97000</v>
      </c>
      <c r="AW53" s="173">
        <v>98000</v>
      </c>
      <c r="AX53" s="173">
        <v>99000</v>
      </c>
      <c r="AY53" s="173">
        <v>99000</v>
      </c>
      <c r="AZ53" s="173">
        <v>100000</v>
      </c>
      <c r="BA53" s="173">
        <v>101000</v>
      </c>
      <c r="BB53" s="173">
        <v>102000</v>
      </c>
      <c r="BC53" s="173">
        <v>103000</v>
      </c>
      <c r="BD53" s="173">
        <v>104000</v>
      </c>
      <c r="BE53" s="173">
        <v>104000</v>
      </c>
      <c r="BF53" s="173">
        <v>104000</v>
      </c>
      <c r="BG53" s="70">
        <v>107800</v>
      </c>
      <c r="BH53" s="70">
        <v>124200</v>
      </c>
    </row>
    <row r="54" spans="1:60">
      <c r="A54" s="113" t="s">
        <v>153</v>
      </c>
      <c r="B54" s="3">
        <v>2270108</v>
      </c>
      <c r="C54" s="33">
        <v>2425643</v>
      </c>
      <c r="D54" s="33">
        <v>2438743</v>
      </c>
      <c r="E54" s="33">
        <v>2422654</v>
      </c>
      <c r="F54" s="33">
        <v>2378349</v>
      </c>
      <c r="G54" s="33">
        <v>2330150</v>
      </c>
      <c r="H54" s="33">
        <v>2292647</v>
      </c>
      <c r="I54" s="33">
        <v>2249440</v>
      </c>
      <c r="J54" s="33">
        <v>2181979</v>
      </c>
      <c r="K54" s="33">
        <v>2102440</v>
      </c>
      <c r="L54" s="33">
        <v>2025256</v>
      </c>
      <c r="M54" s="33">
        <v>1957381</v>
      </c>
      <c r="N54" s="33">
        <v>1898501</v>
      </c>
      <c r="O54" s="33">
        <v>1860245</v>
      </c>
      <c r="P54" s="33">
        <v>1827300</v>
      </c>
      <c r="Q54" s="33">
        <v>1805440</v>
      </c>
      <c r="R54" s="33">
        <v>1793965</v>
      </c>
      <c r="S54" s="33">
        <v>1793508</v>
      </c>
      <c r="T54" s="33">
        <v>1793431</v>
      </c>
      <c r="U54" s="33">
        <v>1778544</v>
      </c>
      <c r="V54" s="33">
        <v>1764410</v>
      </c>
      <c r="W54" s="33">
        <v>1771089</v>
      </c>
      <c r="X54" s="33">
        <v>1783767</v>
      </c>
      <c r="Y54" s="33">
        <v>1795199</v>
      </c>
      <c r="Z54" s="33">
        <v>1807319</v>
      </c>
      <c r="AA54" s="33">
        <v>1814290</v>
      </c>
      <c r="AB54" s="33">
        <v>1836015</v>
      </c>
      <c r="AC54" s="33">
        <v>1844698</v>
      </c>
      <c r="AD54" s="33">
        <v>1847114</v>
      </c>
      <c r="AE54" s="33">
        <v>1842163</v>
      </c>
      <c r="AF54" s="29">
        <v>1836554</v>
      </c>
      <c r="AG54" s="29">
        <v>1835049</v>
      </c>
      <c r="AH54" s="173">
        <v>1830985</v>
      </c>
      <c r="AI54" s="29">
        <v>1838285</v>
      </c>
      <c r="AJ54" s="29">
        <v>1845428</v>
      </c>
      <c r="AK54" s="29">
        <v>1840032</v>
      </c>
      <c r="AL54" s="29">
        <v>1839683</v>
      </c>
      <c r="AM54" s="29">
        <v>1836722</v>
      </c>
      <c r="AN54" s="29">
        <v>1827184</v>
      </c>
      <c r="AO54" s="173">
        <v>1817163</v>
      </c>
      <c r="AP54" s="173">
        <v>1764297</v>
      </c>
      <c r="AQ54" s="173">
        <v>1754191</v>
      </c>
      <c r="AR54" s="173">
        <v>1740030</v>
      </c>
      <c r="AS54" s="1">
        <v>1729916</v>
      </c>
      <c r="AT54" s="1">
        <v>1724111</v>
      </c>
      <c r="AU54" s="1">
        <v>1724810</v>
      </c>
      <c r="AV54" s="406">
        <v>1741000</v>
      </c>
      <c r="AW54" s="173">
        <v>1735000</v>
      </c>
      <c r="AX54" s="173">
        <v>1730000</v>
      </c>
      <c r="AY54" s="173">
        <v>1729000</v>
      </c>
      <c r="AZ54" s="173">
        <v>1729000</v>
      </c>
      <c r="BA54" s="173">
        <v>1727000</v>
      </c>
      <c r="BB54" s="173">
        <v>1725000</v>
      </c>
      <c r="BC54" s="173">
        <v>1722000</v>
      </c>
      <c r="BD54" s="173">
        <v>1719000</v>
      </c>
      <c r="BE54" s="173">
        <v>1719000</v>
      </c>
      <c r="BF54" s="173">
        <v>1718000</v>
      </c>
      <c r="BG54" s="70">
        <v>1664100</v>
      </c>
      <c r="BH54" s="70">
        <v>1651900</v>
      </c>
    </row>
    <row r="55" spans="1:60">
      <c r="A55" s="113" t="s">
        <v>157</v>
      </c>
      <c r="B55" s="3">
        <v>165635</v>
      </c>
      <c r="C55" s="33">
        <v>166305</v>
      </c>
      <c r="D55" s="33">
        <v>165267</v>
      </c>
      <c r="E55" s="33">
        <v>162398</v>
      </c>
      <c r="F55" s="33">
        <v>157522</v>
      </c>
      <c r="G55" s="33">
        <v>153592</v>
      </c>
      <c r="H55" s="33">
        <v>151217</v>
      </c>
      <c r="I55" s="33">
        <v>148080</v>
      </c>
      <c r="J55" s="33">
        <v>143630</v>
      </c>
      <c r="K55" s="33">
        <v>138228</v>
      </c>
      <c r="L55" s="33">
        <v>133840</v>
      </c>
      <c r="M55" s="33">
        <v>128507</v>
      </c>
      <c r="N55" s="33">
        <v>125657</v>
      </c>
      <c r="O55" s="33">
        <v>123897</v>
      </c>
      <c r="P55" s="33">
        <v>123060</v>
      </c>
      <c r="Q55" s="33">
        <v>123314</v>
      </c>
      <c r="R55" s="33">
        <v>124291</v>
      </c>
      <c r="S55" s="33">
        <v>125458</v>
      </c>
      <c r="T55" s="33">
        <v>126817</v>
      </c>
      <c r="U55" s="33">
        <v>126910</v>
      </c>
      <c r="V55" s="33">
        <v>127329</v>
      </c>
      <c r="W55" s="33">
        <v>129164</v>
      </c>
      <c r="X55" s="33">
        <v>131576</v>
      </c>
      <c r="Y55" s="33">
        <v>134573</v>
      </c>
      <c r="Z55" s="33">
        <v>142825</v>
      </c>
      <c r="AA55" s="33">
        <v>143482</v>
      </c>
      <c r="AB55" s="33">
        <v>144685</v>
      </c>
      <c r="AC55" s="33">
        <v>143331</v>
      </c>
      <c r="AD55" s="33">
        <v>142443</v>
      </c>
      <c r="AE55" s="33">
        <v>132495</v>
      </c>
      <c r="AF55" s="29">
        <v>131037</v>
      </c>
      <c r="AG55" s="29">
        <v>128603</v>
      </c>
      <c r="AH55" s="173">
        <v>127542</v>
      </c>
      <c r="AI55" s="29">
        <v>130048</v>
      </c>
      <c r="AJ55" s="29">
        <v>125537</v>
      </c>
      <c r="AK55" s="29">
        <v>122798</v>
      </c>
      <c r="AL55" s="29">
        <v>122012</v>
      </c>
      <c r="AM55" s="29">
        <v>121158</v>
      </c>
      <c r="AN55" s="29">
        <v>121606</v>
      </c>
      <c r="AO55" s="173">
        <v>126429</v>
      </c>
      <c r="AP55" s="173">
        <v>123713</v>
      </c>
      <c r="AQ55" s="173">
        <v>126128</v>
      </c>
      <c r="AR55" s="173">
        <v>128016</v>
      </c>
      <c r="AS55" s="1">
        <v>130471</v>
      </c>
      <c r="AT55" s="1">
        <v>130890</v>
      </c>
      <c r="AU55" s="1">
        <v>133040</v>
      </c>
      <c r="AV55" s="406">
        <v>126000</v>
      </c>
      <c r="AW55" s="173">
        <v>127000</v>
      </c>
      <c r="AX55" s="173">
        <v>127000</v>
      </c>
      <c r="AY55" s="173">
        <v>128000</v>
      </c>
      <c r="AZ55" s="173">
        <v>129000</v>
      </c>
      <c r="BA55" s="173">
        <v>130000</v>
      </c>
      <c r="BB55" s="173">
        <v>131000</v>
      </c>
      <c r="BC55" s="173">
        <v>132000</v>
      </c>
      <c r="BD55" s="173">
        <v>133000</v>
      </c>
      <c r="BE55" s="173">
        <v>134000</v>
      </c>
      <c r="BF55" s="173">
        <v>134000</v>
      </c>
      <c r="BG55" s="70">
        <v>135900</v>
      </c>
      <c r="BH55" s="70">
        <v>140600</v>
      </c>
    </row>
    <row r="56" spans="1:60">
      <c r="A56" s="114" t="s">
        <v>161</v>
      </c>
      <c r="B56" s="10">
        <v>859101</v>
      </c>
      <c r="C56" s="31">
        <v>993736</v>
      </c>
      <c r="D56" s="31">
        <v>999921</v>
      </c>
      <c r="E56" s="31">
        <v>995223</v>
      </c>
      <c r="F56" s="31">
        <v>987022</v>
      </c>
      <c r="G56" s="31">
        <v>974333</v>
      </c>
      <c r="H56" s="31">
        <v>964219</v>
      </c>
      <c r="I56" s="31">
        <v>945337</v>
      </c>
      <c r="J56" s="31">
        <v>917863</v>
      </c>
      <c r="K56" s="31">
        <v>886419</v>
      </c>
      <c r="L56" s="31">
        <v>857855</v>
      </c>
      <c r="M56" s="31">
        <v>830247</v>
      </c>
      <c r="N56" s="31">
        <v>804262</v>
      </c>
      <c r="O56" s="31">
        <v>784830</v>
      </c>
      <c r="P56" s="31">
        <v>774646</v>
      </c>
      <c r="Q56" s="31">
        <v>767542</v>
      </c>
      <c r="R56" s="31">
        <v>768234</v>
      </c>
      <c r="S56" s="31">
        <v>767819</v>
      </c>
      <c r="T56" s="31">
        <v>772363</v>
      </c>
      <c r="U56" s="31">
        <v>774857</v>
      </c>
      <c r="V56" s="31">
        <v>782905</v>
      </c>
      <c r="W56" s="31">
        <v>797621</v>
      </c>
      <c r="X56" s="31">
        <v>814671</v>
      </c>
      <c r="Y56" s="31">
        <v>829415</v>
      </c>
      <c r="Z56" s="31">
        <v>844001</v>
      </c>
      <c r="AA56" s="31">
        <v>860581</v>
      </c>
      <c r="AB56" s="31">
        <v>870175</v>
      </c>
      <c r="AC56" s="31">
        <v>879259</v>
      </c>
      <c r="AD56" s="31">
        <v>881780</v>
      </c>
      <c r="AE56" s="31">
        <v>879542</v>
      </c>
      <c r="AF56" s="31">
        <v>877753</v>
      </c>
      <c r="AG56" s="31">
        <v>879476</v>
      </c>
      <c r="AH56" s="388">
        <v>879361</v>
      </c>
      <c r="AI56" s="31">
        <v>881231</v>
      </c>
      <c r="AJ56" s="31">
        <v>880031</v>
      </c>
      <c r="AK56" s="31">
        <v>864757</v>
      </c>
      <c r="AL56" s="31">
        <v>875174</v>
      </c>
      <c r="AM56" s="31">
        <v>876700</v>
      </c>
      <c r="AN56" s="31">
        <v>874633</v>
      </c>
      <c r="AO56" s="388">
        <v>873750</v>
      </c>
      <c r="AP56" s="388">
        <v>872436</v>
      </c>
      <c r="AQ56" s="388">
        <v>872286</v>
      </c>
      <c r="AR56" s="388">
        <v>871105</v>
      </c>
      <c r="AS56" s="464">
        <v>872436</v>
      </c>
      <c r="AT56" s="14">
        <v>874414</v>
      </c>
      <c r="AU56" s="14">
        <v>871432</v>
      </c>
      <c r="AV56" s="409">
        <v>871000</v>
      </c>
      <c r="AW56" s="388">
        <v>873000</v>
      </c>
      <c r="AX56" s="388">
        <v>877000</v>
      </c>
      <c r="AY56" s="388">
        <v>883000</v>
      </c>
      <c r="AZ56" s="388">
        <v>890000</v>
      </c>
      <c r="BA56" s="388">
        <v>896000</v>
      </c>
      <c r="BB56" s="388">
        <v>903000</v>
      </c>
      <c r="BC56" s="388">
        <v>909000</v>
      </c>
      <c r="BD56" s="388">
        <v>915000</v>
      </c>
      <c r="BE56" s="388">
        <v>922000</v>
      </c>
      <c r="BF56" s="388">
        <v>929000</v>
      </c>
      <c r="BG56" s="59">
        <v>886900</v>
      </c>
      <c r="BH56" s="59">
        <v>892300</v>
      </c>
    </row>
    <row r="57" spans="1:60">
      <c r="A57" s="113"/>
      <c r="B57" s="4"/>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173"/>
      <c r="AI57" s="29"/>
      <c r="AJ57" s="29"/>
      <c r="AK57" s="29"/>
      <c r="AL57" s="29"/>
      <c r="AM57" s="29"/>
      <c r="AN57" s="29"/>
      <c r="AO57" s="173"/>
      <c r="AP57" s="173"/>
      <c r="AQ57" s="173"/>
      <c r="AR57" s="173"/>
      <c r="AS57" s="1"/>
      <c r="AT57" s="1"/>
      <c r="AU57" s="1"/>
      <c r="AV57" s="406"/>
      <c r="AW57" s="173"/>
      <c r="AX57" s="173"/>
      <c r="AY57" s="173"/>
      <c r="AZ57" s="173"/>
      <c r="BA57" s="173"/>
      <c r="BB57" s="173"/>
      <c r="BC57" s="173"/>
      <c r="BD57" s="173"/>
      <c r="BE57" s="173"/>
      <c r="BF57" s="173"/>
    </row>
    <row r="58" spans="1:60">
      <c r="A58" s="113" t="s">
        <v>133</v>
      </c>
      <c r="B58" s="1">
        <v>574798</v>
      </c>
      <c r="C58" s="32">
        <v>662205</v>
      </c>
      <c r="D58" s="33">
        <v>666867</v>
      </c>
      <c r="E58" s="33">
        <v>664761</v>
      </c>
      <c r="F58" s="33">
        <v>667088</v>
      </c>
      <c r="G58" s="33">
        <v>660067</v>
      </c>
      <c r="H58" s="33">
        <v>652449</v>
      </c>
      <c r="I58" s="33">
        <v>635000</v>
      </c>
      <c r="J58" s="33">
        <v>616389</v>
      </c>
      <c r="K58" s="33">
        <v>593757</v>
      </c>
      <c r="L58" s="33">
        <v>566634</v>
      </c>
      <c r="M58" s="33">
        <v>531459</v>
      </c>
      <c r="N58" s="33">
        <v>505386</v>
      </c>
      <c r="O58" s="33">
        <v>486470</v>
      </c>
      <c r="P58" s="32">
        <v>477585</v>
      </c>
      <c r="Q58" s="33">
        <v>468145</v>
      </c>
      <c r="R58" s="33">
        <v>462026</v>
      </c>
      <c r="S58" s="33">
        <v>468847</v>
      </c>
      <c r="T58" s="33">
        <v>465465</v>
      </c>
      <c r="U58" s="33">
        <v>460637</v>
      </c>
      <c r="V58" s="33">
        <v>461560</v>
      </c>
      <c r="W58" s="33">
        <v>469123</v>
      </c>
      <c r="X58" s="29">
        <v>481050</v>
      </c>
      <c r="Y58" s="32">
        <v>488476</v>
      </c>
      <c r="Z58" s="29">
        <v>496298</v>
      </c>
      <c r="AA58" s="29">
        <v>506824</v>
      </c>
      <c r="AB58" s="29">
        <v>517935</v>
      </c>
      <c r="AC58" s="29">
        <v>527129</v>
      </c>
      <c r="AD58" s="29">
        <v>535164</v>
      </c>
      <c r="AE58" s="32">
        <v>544698</v>
      </c>
      <c r="AF58" s="29">
        <v>553993</v>
      </c>
      <c r="AG58" s="29">
        <v>562179</v>
      </c>
      <c r="AH58" s="173">
        <v>570228</v>
      </c>
      <c r="AI58" s="33">
        <v>570023</v>
      </c>
      <c r="AJ58" s="33">
        <v>577203</v>
      </c>
      <c r="AK58" s="33">
        <v>577390</v>
      </c>
      <c r="AL58" s="33">
        <v>575059</v>
      </c>
      <c r="AM58" s="33">
        <v>575100</v>
      </c>
      <c r="AN58" s="33">
        <v>570626</v>
      </c>
      <c r="AO58" s="173">
        <v>567198</v>
      </c>
      <c r="AP58" s="173">
        <v>563968</v>
      </c>
      <c r="AQ58" s="173">
        <v>560546</v>
      </c>
      <c r="AR58" s="173">
        <v>554437</v>
      </c>
      <c r="AS58" s="1">
        <v>550954</v>
      </c>
      <c r="AT58" s="1">
        <v>546200</v>
      </c>
      <c r="AU58" s="1">
        <v>542678</v>
      </c>
      <c r="AV58" s="406">
        <v>554000</v>
      </c>
      <c r="AW58" s="173">
        <v>549000</v>
      </c>
      <c r="AX58" s="173">
        <v>546000</v>
      </c>
      <c r="AY58" s="173">
        <v>544000</v>
      </c>
      <c r="AZ58" s="173">
        <v>543000</v>
      </c>
      <c r="BA58" s="173">
        <v>542000</v>
      </c>
      <c r="BB58" s="173">
        <v>542000</v>
      </c>
      <c r="BC58" s="173">
        <v>543000</v>
      </c>
      <c r="BD58" s="173">
        <v>545000</v>
      </c>
      <c r="BE58" s="173">
        <v>548000</v>
      </c>
      <c r="BF58" s="173">
        <v>551000</v>
      </c>
      <c r="BG58" s="70">
        <v>533500</v>
      </c>
      <c r="BH58" s="70">
        <v>524400</v>
      </c>
    </row>
    <row r="59" spans="1:60">
      <c r="A59" s="113" t="s">
        <v>140</v>
      </c>
      <c r="B59" s="1">
        <v>222506</v>
      </c>
      <c r="C59" s="32">
        <v>244670</v>
      </c>
      <c r="D59" s="33">
        <v>246406</v>
      </c>
      <c r="E59" s="33">
        <v>250448</v>
      </c>
      <c r="F59" s="33">
        <v>245467</v>
      </c>
      <c r="G59" s="33">
        <v>250643</v>
      </c>
      <c r="H59" s="33">
        <v>250931</v>
      </c>
      <c r="I59" s="33">
        <v>248822</v>
      </c>
      <c r="J59" s="33">
        <v>245768</v>
      </c>
      <c r="K59" s="33">
        <v>240016</v>
      </c>
      <c r="L59" s="33">
        <v>227823</v>
      </c>
      <c r="M59" s="33">
        <v>222497</v>
      </c>
      <c r="N59" s="33">
        <v>216293</v>
      </c>
      <c r="O59" s="33">
        <v>211986</v>
      </c>
      <c r="P59" s="32">
        <v>209753</v>
      </c>
      <c r="Q59" s="33">
        <v>207537</v>
      </c>
      <c r="R59" s="33">
        <v>206101</v>
      </c>
      <c r="S59" s="33">
        <v>211752</v>
      </c>
      <c r="T59" s="33">
        <v>211817</v>
      </c>
      <c r="U59" s="33">
        <v>212902</v>
      </c>
      <c r="V59" s="33">
        <v>213775</v>
      </c>
      <c r="W59" s="33">
        <v>215149</v>
      </c>
      <c r="X59" s="29">
        <v>216400</v>
      </c>
      <c r="Y59" s="32">
        <v>216453</v>
      </c>
      <c r="Z59" s="29">
        <v>216995</v>
      </c>
      <c r="AA59" s="29">
        <v>212601</v>
      </c>
      <c r="AB59" s="29">
        <v>213569</v>
      </c>
      <c r="AC59" s="29">
        <v>213593</v>
      </c>
      <c r="AD59" s="29">
        <v>212579</v>
      </c>
      <c r="AE59" s="32">
        <v>211051</v>
      </c>
      <c r="AF59" s="32">
        <v>209253</v>
      </c>
      <c r="AG59" s="32">
        <v>207037</v>
      </c>
      <c r="AH59" s="173">
        <v>205586</v>
      </c>
      <c r="AI59" s="33">
        <v>204337</v>
      </c>
      <c r="AJ59" s="33">
        <v>202084</v>
      </c>
      <c r="AK59" s="33">
        <v>198820</v>
      </c>
      <c r="AL59" s="33">
        <v>195498</v>
      </c>
      <c r="AM59" s="33">
        <v>193986</v>
      </c>
      <c r="AN59" s="33">
        <v>196245</v>
      </c>
      <c r="AO59" s="173">
        <v>192935</v>
      </c>
      <c r="AP59" s="173">
        <v>189225</v>
      </c>
      <c r="AQ59" s="173">
        <v>189077</v>
      </c>
      <c r="AR59" s="173">
        <v>188969</v>
      </c>
      <c r="AS59" s="1">
        <v>185739</v>
      </c>
      <c r="AT59" s="1">
        <v>183995</v>
      </c>
      <c r="AU59" s="1">
        <v>182470</v>
      </c>
      <c r="AV59" s="406">
        <v>187000</v>
      </c>
      <c r="AW59" s="173">
        <v>186000</v>
      </c>
      <c r="AX59" s="173">
        <v>185000</v>
      </c>
      <c r="AY59" s="173">
        <v>186000</v>
      </c>
      <c r="AZ59" s="173">
        <v>186000</v>
      </c>
      <c r="BA59" s="173">
        <v>186000</v>
      </c>
      <c r="BB59" s="173">
        <v>187000</v>
      </c>
      <c r="BC59" s="173">
        <v>188000</v>
      </c>
      <c r="BD59" s="173">
        <v>188000</v>
      </c>
      <c r="BE59" s="173">
        <v>189000</v>
      </c>
      <c r="BF59" s="173">
        <v>190000</v>
      </c>
      <c r="BG59" s="70">
        <v>187200</v>
      </c>
      <c r="BH59" s="70">
        <v>173100</v>
      </c>
    </row>
    <row r="60" spans="1:60">
      <c r="A60" s="113" t="s">
        <v>141</v>
      </c>
      <c r="B60" s="1">
        <v>1020500</v>
      </c>
      <c r="C60" s="32">
        <v>1167713</v>
      </c>
      <c r="D60" s="33">
        <v>1191179</v>
      </c>
      <c r="E60" s="33">
        <v>1202597</v>
      </c>
      <c r="F60" s="33">
        <v>1205142</v>
      </c>
      <c r="G60" s="33">
        <v>1210100</v>
      </c>
      <c r="H60" s="33">
        <v>1198410</v>
      </c>
      <c r="I60" s="33">
        <v>1169000</v>
      </c>
      <c r="J60" s="33">
        <v>1116810</v>
      </c>
      <c r="K60" s="33">
        <v>1081464</v>
      </c>
      <c r="L60" s="33">
        <v>1035724</v>
      </c>
      <c r="M60" s="33">
        <v>1021885</v>
      </c>
      <c r="N60" s="33">
        <v>947037</v>
      </c>
      <c r="O60" s="33">
        <v>908984</v>
      </c>
      <c r="P60" s="32">
        <v>878844</v>
      </c>
      <c r="Q60" s="33">
        <v>859391</v>
      </c>
      <c r="R60" s="33">
        <v>844330</v>
      </c>
      <c r="S60" s="33">
        <v>833918</v>
      </c>
      <c r="T60" s="33">
        <v>825320</v>
      </c>
      <c r="U60" s="33">
        <v>823428</v>
      </c>
      <c r="V60" s="33">
        <v>825588</v>
      </c>
      <c r="W60" s="33">
        <v>834314</v>
      </c>
      <c r="X60" s="29">
        <v>846155</v>
      </c>
      <c r="Y60" s="32">
        <v>859948</v>
      </c>
      <c r="Z60" s="29">
        <v>877726</v>
      </c>
      <c r="AA60" s="29">
        <v>893727</v>
      </c>
      <c r="AB60" s="29">
        <v>915007</v>
      </c>
      <c r="AC60" s="29">
        <v>933898</v>
      </c>
      <c r="AD60" s="29">
        <v>949006</v>
      </c>
      <c r="AE60" s="32">
        <v>962317</v>
      </c>
      <c r="AF60" s="32">
        <v>971425</v>
      </c>
      <c r="AG60" s="32">
        <v>975150</v>
      </c>
      <c r="AH60" s="173">
        <v>973139</v>
      </c>
      <c r="AI60" s="33">
        <v>982989</v>
      </c>
      <c r="AJ60" s="33">
        <v>980459</v>
      </c>
      <c r="AK60" s="33">
        <v>975574</v>
      </c>
      <c r="AL60" s="33">
        <v>971909</v>
      </c>
      <c r="AM60" s="33">
        <v>968661</v>
      </c>
      <c r="AN60" s="33">
        <v>962958</v>
      </c>
      <c r="AO60" s="173">
        <v>958910</v>
      </c>
      <c r="AP60" s="173">
        <v>957053</v>
      </c>
      <c r="AQ60" s="173">
        <v>955563</v>
      </c>
      <c r="AR60" s="173">
        <v>953369</v>
      </c>
      <c r="AS60" s="1">
        <v>954773</v>
      </c>
      <c r="AT60" s="1">
        <v>955739</v>
      </c>
      <c r="AU60" s="1">
        <v>955844</v>
      </c>
      <c r="AV60" s="406">
        <v>951000</v>
      </c>
      <c r="AW60" s="173">
        <v>947000</v>
      </c>
      <c r="AX60" s="173">
        <v>944000</v>
      </c>
      <c r="AY60" s="173">
        <v>942000</v>
      </c>
      <c r="AZ60" s="173">
        <v>941000</v>
      </c>
      <c r="BA60" s="173">
        <v>939000</v>
      </c>
      <c r="BB60" s="173">
        <v>939000</v>
      </c>
      <c r="BC60" s="173">
        <v>939000</v>
      </c>
      <c r="BD60" s="173">
        <v>940000</v>
      </c>
      <c r="BE60" s="173">
        <v>942000</v>
      </c>
      <c r="BF60" s="173">
        <v>944000</v>
      </c>
      <c r="BG60" s="70">
        <v>926100</v>
      </c>
      <c r="BH60" s="70">
        <v>944000</v>
      </c>
    </row>
    <row r="61" spans="1:60">
      <c r="A61" s="113" t="s">
        <v>148</v>
      </c>
      <c r="B61" s="4">
        <v>128857</v>
      </c>
      <c r="C61" s="26">
        <v>158756</v>
      </c>
      <c r="D61" s="29">
        <v>164102</v>
      </c>
      <c r="E61" s="29">
        <v>168094</v>
      </c>
      <c r="F61" s="29">
        <v>171482</v>
      </c>
      <c r="G61" s="29">
        <v>172117</v>
      </c>
      <c r="H61" s="29">
        <v>174597</v>
      </c>
      <c r="I61" s="29">
        <v>175496</v>
      </c>
      <c r="J61" s="29">
        <v>174618</v>
      </c>
      <c r="K61" s="29">
        <v>172389</v>
      </c>
      <c r="L61" s="29">
        <v>170546</v>
      </c>
      <c r="M61" s="29">
        <v>167232</v>
      </c>
      <c r="N61" s="29">
        <v>163827</v>
      </c>
      <c r="O61" s="29">
        <v>160197</v>
      </c>
      <c r="P61" s="29">
        <v>159030</v>
      </c>
      <c r="Q61" s="29">
        <v>158614</v>
      </c>
      <c r="R61" s="29">
        <v>160974</v>
      </c>
      <c r="S61" s="29">
        <v>163717</v>
      </c>
      <c r="T61" s="29">
        <v>166045</v>
      </c>
      <c r="U61" s="29">
        <v>169413</v>
      </c>
      <c r="V61" s="29">
        <v>171696</v>
      </c>
      <c r="W61" s="29">
        <v>172785</v>
      </c>
      <c r="X61" s="29">
        <v>177138</v>
      </c>
      <c r="Y61" s="29">
        <v>181247</v>
      </c>
      <c r="Z61" s="29">
        <v>185360</v>
      </c>
      <c r="AA61" s="29">
        <v>189319</v>
      </c>
      <c r="AB61" s="29">
        <v>194171</v>
      </c>
      <c r="AC61" s="29">
        <v>198308</v>
      </c>
      <c r="AD61" s="29">
        <v>201629</v>
      </c>
      <c r="AE61" s="26">
        <v>204713</v>
      </c>
      <c r="AF61" s="29">
        <v>206783</v>
      </c>
      <c r="AG61" s="29">
        <v>208461</v>
      </c>
      <c r="AH61" s="173">
        <v>206847</v>
      </c>
      <c r="AI61" s="29">
        <v>207671</v>
      </c>
      <c r="AJ61" s="29">
        <v>207417</v>
      </c>
      <c r="AK61" s="29">
        <v>206852</v>
      </c>
      <c r="AL61" s="29">
        <v>205767</v>
      </c>
      <c r="AM61" s="29">
        <v>203572</v>
      </c>
      <c r="AN61" s="29">
        <v>200772</v>
      </c>
      <c r="AO61" s="173">
        <v>197934</v>
      </c>
      <c r="AP61" s="173">
        <v>197140</v>
      </c>
      <c r="AQ61" s="173">
        <v>194711</v>
      </c>
      <c r="AR61" s="173">
        <v>191900</v>
      </c>
      <c r="AS61" s="1">
        <v>188974</v>
      </c>
      <c r="AT61" s="1">
        <v>186310</v>
      </c>
      <c r="AU61" s="1">
        <v>184670</v>
      </c>
      <c r="AV61" s="406">
        <v>193000</v>
      </c>
      <c r="AW61" s="173">
        <v>191000</v>
      </c>
      <c r="AX61" s="173">
        <v>190000</v>
      </c>
      <c r="AY61" s="173">
        <v>190000</v>
      </c>
      <c r="AZ61" s="173">
        <v>190000</v>
      </c>
      <c r="BA61" s="173">
        <v>190000</v>
      </c>
      <c r="BB61" s="173">
        <v>191000</v>
      </c>
      <c r="BC61" s="173">
        <v>193000</v>
      </c>
      <c r="BD61" s="173">
        <v>194000</v>
      </c>
      <c r="BE61" s="173">
        <v>196000</v>
      </c>
      <c r="BF61" s="173">
        <v>199000</v>
      </c>
      <c r="BG61" s="70">
        <v>186400</v>
      </c>
      <c r="BH61" s="70">
        <v>185000</v>
      </c>
    </row>
    <row r="62" spans="1:60">
      <c r="A62" s="113" t="s">
        <v>149</v>
      </c>
      <c r="B62" s="3">
        <v>1286000</v>
      </c>
      <c r="C62" s="33">
        <v>1482000</v>
      </c>
      <c r="D62" s="33">
        <v>1497841</v>
      </c>
      <c r="E62" s="33">
        <v>1510519</v>
      </c>
      <c r="F62" s="33">
        <v>1481605</v>
      </c>
      <c r="G62" s="33">
        <v>1466956</v>
      </c>
      <c r="H62" s="33">
        <v>1458000</v>
      </c>
      <c r="I62" s="33">
        <v>1427000</v>
      </c>
      <c r="J62" s="33">
        <v>1381528</v>
      </c>
      <c r="K62" s="33">
        <v>1337327</v>
      </c>
      <c r="L62" s="33">
        <v>1287809</v>
      </c>
      <c r="M62" s="33">
        <v>1246008</v>
      </c>
      <c r="N62" s="33">
        <v>1199643</v>
      </c>
      <c r="O62" s="33">
        <v>1172520</v>
      </c>
      <c r="P62" s="33">
        <v>1147841</v>
      </c>
      <c r="Q62" s="33">
        <v>1129223</v>
      </c>
      <c r="R62" s="33">
        <v>1116194</v>
      </c>
      <c r="S62" s="33">
        <v>1107467</v>
      </c>
      <c r="T62" s="33">
        <v>1092982</v>
      </c>
      <c r="U62" s="33">
        <v>1080871</v>
      </c>
      <c r="V62" s="33">
        <v>1076005</v>
      </c>
      <c r="W62" s="33">
        <v>1089646</v>
      </c>
      <c r="X62" s="33">
        <v>1109796</v>
      </c>
      <c r="Y62" s="33">
        <v>1130560</v>
      </c>
      <c r="Z62" s="33">
        <v>1151307</v>
      </c>
      <c r="AA62" s="33">
        <v>1174206</v>
      </c>
      <c r="AB62" s="33">
        <v>1197381</v>
      </c>
      <c r="AC62" s="33">
        <v>1227832</v>
      </c>
      <c r="AD62" s="33">
        <v>1250276</v>
      </c>
      <c r="AE62" s="32">
        <v>1268996</v>
      </c>
      <c r="AF62" s="29">
        <v>1289256</v>
      </c>
      <c r="AG62" s="29">
        <v>1313405</v>
      </c>
      <c r="AH62" s="173">
        <v>1341656</v>
      </c>
      <c r="AI62" s="29">
        <v>1367438</v>
      </c>
      <c r="AJ62" s="29">
        <v>1380753</v>
      </c>
      <c r="AK62" s="29">
        <v>1393347</v>
      </c>
      <c r="AL62" s="29">
        <v>1395602</v>
      </c>
      <c r="AM62" s="29">
        <v>1388850</v>
      </c>
      <c r="AN62" s="29">
        <v>1382348</v>
      </c>
      <c r="AO62" s="173">
        <v>1381420</v>
      </c>
      <c r="AP62" s="173">
        <v>1396029</v>
      </c>
      <c r="AQ62" s="173">
        <v>1402548</v>
      </c>
      <c r="AR62" s="173">
        <v>1356431</v>
      </c>
      <c r="AS62" s="1">
        <v>1372203</v>
      </c>
      <c r="AT62" s="1">
        <v>1370295</v>
      </c>
      <c r="AU62" s="1">
        <v>1400579</v>
      </c>
      <c r="AV62" s="406">
        <v>1384000</v>
      </c>
      <c r="AW62" s="173">
        <v>1380000</v>
      </c>
      <c r="AX62" s="173">
        <v>1377000</v>
      </c>
      <c r="AY62" s="173">
        <v>1376000</v>
      </c>
      <c r="AZ62" s="173">
        <v>1377000</v>
      </c>
      <c r="BA62" s="173">
        <v>1378000</v>
      </c>
      <c r="BB62" s="173">
        <v>1380000</v>
      </c>
      <c r="BC62" s="173">
        <v>1382000</v>
      </c>
      <c r="BD62" s="173">
        <v>1385000</v>
      </c>
      <c r="BE62" s="173">
        <v>1390000</v>
      </c>
      <c r="BF62" s="173">
        <v>1394000</v>
      </c>
      <c r="BG62" s="70">
        <v>1297200</v>
      </c>
      <c r="BH62" s="70">
        <v>1374200</v>
      </c>
    </row>
    <row r="63" spans="1:60">
      <c r="A63" s="113" t="s">
        <v>151</v>
      </c>
      <c r="B63" s="3">
        <v>3190845</v>
      </c>
      <c r="C63" s="33">
        <v>3489245</v>
      </c>
      <c r="D63" s="33">
        <v>3538474</v>
      </c>
      <c r="E63" s="33">
        <v>3508004</v>
      </c>
      <c r="F63" s="33">
        <v>3465450</v>
      </c>
      <c r="G63" s="33">
        <v>3434116</v>
      </c>
      <c r="H63" s="33">
        <v>3417453</v>
      </c>
      <c r="I63" s="33">
        <v>3338809</v>
      </c>
      <c r="J63" s="33">
        <v>3222612</v>
      </c>
      <c r="K63" s="33">
        <v>3093885</v>
      </c>
      <c r="L63" s="33">
        <v>2969216</v>
      </c>
      <c r="M63" s="33">
        <v>2871724</v>
      </c>
      <c r="N63" s="33">
        <v>2783017</v>
      </c>
      <c r="O63" s="33">
        <v>2718678</v>
      </c>
      <c r="P63" s="33">
        <v>2674818</v>
      </c>
      <c r="Q63" s="33">
        <v>2645811</v>
      </c>
      <c r="R63" s="33">
        <v>2621378</v>
      </c>
      <c r="S63" s="33">
        <v>2607719</v>
      </c>
      <c r="T63" s="33">
        <v>2594070</v>
      </c>
      <c r="U63" s="33">
        <v>2573715</v>
      </c>
      <c r="V63" s="33">
        <v>2565841</v>
      </c>
      <c r="W63" s="33">
        <v>2598337</v>
      </c>
      <c r="X63" s="33">
        <v>2643993</v>
      </c>
      <c r="Y63" s="33">
        <v>2689686</v>
      </c>
      <c r="Z63" s="33">
        <v>2733813</v>
      </c>
      <c r="AA63" s="33">
        <v>2766208</v>
      </c>
      <c r="AB63" s="33">
        <v>2813230</v>
      </c>
      <c r="AC63" s="33">
        <v>2843131</v>
      </c>
      <c r="AD63" s="33">
        <v>2861823</v>
      </c>
      <c r="AE63" s="29">
        <v>2877143</v>
      </c>
      <c r="AF63" s="29">
        <v>2887776</v>
      </c>
      <c r="AG63" s="29">
        <v>2882188</v>
      </c>
      <c r="AH63" s="173">
        <v>2872132</v>
      </c>
      <c r="AI63" s="29">
        <v>2888233</v>
      </c>
      <c r="AJ63" s="29">
        <v>2864775</v>
      </c>
      <c r="AK63" s="29">
        <v>2836337</v>
      </c>
      <c r="AL63" s="29">
        <v>2815581</v>
      </c>
      <c r="AM63" s="29">
        <v>2809649</v>
      </c>
      <c r="AN63" s="29">
        <v>2765435</v>
      </c>
      <c r="AO63" s="173">
        <v>2740592</v>
      </c>
      <c r="AP63" s="173">
        <v>2766052</v>
      </c>
      <c r="AQ63" s="173">
        <v>2734955</v>
      </c>
      <c r="AR63" s="173">
        <v>2704718</v>
      </c>
      <c r="AS63" s="1">
        <v>2710703</v>
      </c>
      <c r="AT63" s="1">
        <v>2732770</v>
      </c>
      <c r="AU63" s="1">
        <v>2741185</v>
      </c>
      <c r="AV63" s="406">
        <v>2817000</v>
      </c>
      <c r="AW63" s="173">
        <v>2824000</v>
      </c>
      <c r="AX63" s="173">
        <v>2829000</v>
      </c>
      <c r="AY63" s="173">
        <v>2830000</v>
      </c>
      <c r="AZ63" s="173">
        <v>2828000</v>
      </c>
      <c r="BA63" s="173">
        <v>2826000</v>
      </c>
      <c r="BB63" s="173">
        <v>2825000</v>
      </c>
      <c r="BC63" s="173">
        <v>2821000</v>
      </c>
      <c r="BD63" s="173">
        <v>2819000</v>
      </c>
      <c r="BE63" s="173">
        <v>2817000</v>
      </c>
      <c r="BF63" s="173">
        <v>2815000</v>
      </c>
      <c r="BG63" s="70">
        <v>2652600</v>
      </c>
      <c r="BH63" s="70">
        <v>2762300</v>
      </c>
    </row>
    <row r="64" spans="1:60">
      <c r="A64" s="113" t="s">
        <v>155</v>
      </c>
      <c r="B64" s="3">
        <v>2189829</v>
      </c>
      <c r="C64" s="33">
        <v>2363817</v>
      </c>
      <c r="D64" s="33">
        <v>2370665</v>
      </c>
      <c r="E64" s="33">
        <v>2361285</v>
      </c>
      <c r="F64" s="33">
        <v>2321437</v>
      </c>
      <c r="G64" s="33">
        <v>2277451</v>
      </c>
      <c r="H64" s="33">
        <v>2246147</v>
      </c>
      <c r="I64" s="33">
        <v>2193673</v>
      </c>
      <c r="J64" s="33">
        <v>2128873</v>
      </c>
      <c r="K64" s="33">
        <v>2046746</v>
      </c>
      <c r="L64" s="33">
        <v>1968801</v>
      </c>
      <c r="M64" s="33">
        <v>1909292</v>
      </c>
      <c r="N64" s="33">
        <v>1839015</v>
      </c>
      <c r="O64" s="33">
        <v>1783969</v>
      </c>
      <c r="P64" s="33">
        <v>1737952</v>
      </c>
      <c r="Q64" s="33">
        <v>1701880</v>
      </c>
      <c r="R64" s="33">
        <v>1683221</v>
      </c>
      <c r="S64" s="33">
        <v>1674161</v>
      </c>
      <c r="T64" s="33">
        <v>1668542</v>
      </c>
      <c r="U64" s="33">
        <v>1659714</v>
      </c>
      <c r="V64" s="33">
        <v>1655279</v>
      </c>
      <c r="W64" s="33">
        <v>1667834</v>
      </c>
      <c r="X64" s="33">
        <v>1692797</v>
      </c>
      <c r="Y64" s="33">
        <v>1717613</v>
      </c>
      <c r="Z64" s="33">
        <v>1744082</v>
      </c>
      <c r="AA64" s="33">
        <v>1764946</v>
      </c>
      <c r="AB64" s="33">
        <v>1787533</v>
      </c>
      <c r="AC64" s="33">
        <v>1804256</v>
      </c>
      <c r="AD64" s="33">
        <v>1815151</v>
      </c>
      <c r="AE64" s="33">
        <v>1816414</v>
      </c>
      <c r="AF64" s="29">
        <v>1816716</v>
      </c>
      <c r="AG64" s="29">
        <v>1814311</v>
      </c>
      <c r="AH64" s="173">
        <v>1821627</v>
      </c>
      <c r="AI64" s="29">
        <v>1816747</v>
      </c>
      <c r="AJ64" s="29">
        <v>1821146</v>
      </c>
      <c r="AK64" s="29">
        <v>1828089</v>
      </c>
      <c r="AL64" s="29">
        <v>1830684</v>
      </c>
      <c r="AM64" s="29">
        <v>1871060</v>
      </c>
      <c r="AN64" s="29">
        <v>1801971</v>
      </c>
      <c r="AO64" s="173">
        <v>1775029</v>
      </c>
      <c r="AP64" s="173">
        <v>1785993</v>
      </c>
      <c r="AQ64" s="173">
        <v>1793284</v>
      </c>
      <c r="AR64" s="173">
        <v>1771395</v>
      </c>
      <c r="AS64" s="1">
        <v>1763677</v>
      </c>
      <c r="AT64" s="1">
        <v>1755236</v>
      </c>
      <c r="AU64" s="1">
        <v>1743160</v>
      </c>
      <c r="AV64" s="406">
        <v>1788000</v>
      </c>
      <c r="AW64" s="173">
        <v>1790000</v>
      </c>
      <c r="AX64" s="173">
        <v>1798000</v>
      </c>
      <c r="AY64" s="173">
        <v>1810000</v>
      </c>
      <c r="AZ64" s="173">
        <v>1825000</v>
      </c>
      <c r="BA64" s="173">
        <v>1839000</v>
      </c>
      <c r="BB64" s="173">
        <v>1852000</v>
      </c>
      <c r="BC64" s="173">
        <v>1865000</v>
      </c>
      <c r="BD64" s="173">
        <v>1878000</v>
      </c>
      <c r="BE64" s="173">
        <v>1892000</v>
      </c>
      <c r="BF64" s="173">
        <v>1903000</v>
      </c>
      <c r="BG64" s="70">
        <v>1772200</v>
      </c>
      <c r="BH64" s="70">
        <v>1764700</v>
      </c>
    </row>
    <row r="65" spans="1:60">
      <c r="A65" s="113" t="s">
        <v>156</v>
      </c>
      <c r="B65" s="3">
        <v>154501</v>
      </c>
      <c r="C65" s="33">
        <v>188090</v>
      </c>
      <c r="D65" s="33">
        <v>190696</v>
      </c>
      <c r="E65" s="33">
        <v>189693</v>
      </c>
      <c r="F65" s="33">
        <v>184624</v>
      </c>
      <c r="G65" s="33">
        <v>178662</v>
      </c>
      <c r="H65" s="33">
        <v>176317</v>
      </c>
      <c r="I65" s="33">
        <v>172373</v>
      </c>
      <c r="J65" s="33">
        <v>166629</v>
      </c>
      <c r="K65" s="33">
        <v>161285</v>
      </c>
      <c r="L65" s="33">
        <v>154699</v>
      </c>
      <c r="M65" s="33">
        <v>148956</v>
      </c>
      <c r="N65" s="33">
        <v>143414</v>
      </c>
      <c r="O65" s="33">
        <v>139959</v>
      </c>
      <c r="P65" s="33">
        <v>136412</v>
      </c>
      <c r="Q65" s="33">
        <v>134610</v>
      </c>
      <c r="R65" s="33">
        <v>133949</v>
      </c>
      <c r="S65" s="33">
        <v>134690</v>
      </c>
      <c r="T65" s="33">
        <v>134800</v>
      </c>
      <c r="U65" s="33">
        <v>133585</v>
      </c>
      <c r="V65" s="33">
        <v>135729</v>
      </c>
      <c r="W65" s="33">
        <v>138813</v>
      </c>
      <c r="X65" s="33">
        <v>142144</v>
      </c>
      <c r="Y65" s="33">
        <v>143798</v>
      </c>
      <c r="Z65" s="33">
        <v>145676</v>
      </c>
      <c r="AA65" s="33">
        <v>147487</v>
      </c>
      <c r="AB65" s="33">
        <v>149799</v>
      </c>
      <c r="AC65" s="33">
        <v>151324</v>
      </c>
      <c r="AD65" s="33">
        <v>153321</v>
      </c>
      <c r="AE65" s="33">
        <v>154785</v>
      </c>
      <c r="AF65" s="29">
        <v>156454</v>
      </c>
      <c r="AG65" s="29">
        <v>157347</v>
      </c>
      <c r="AH65" s="173">
        <v>158046</v>
      </c>
      <c r="AI65" s="29">
        <v>159205</v>
      </c>
      <c r="AJ65" s="29">
        <v>159375</v>
      </c>
      <c r="AK65" s="29">
        <v>156498</v>
      </c>
      <c r="AL65" s="29">
        <v>153422</v>
      </c>
      <c r="AM65" s="29">
        <v>151612</v>
      </c>
      <c r="AN65" s="29">
        <v>147629</v>
      </c>
      <c r="AO65" s="173">
        <v>145342</v>
      </c>
      <c r="AP65" s="173">
        <v>145118</v>
      </c>
      <c r="AQ65" s="173">
        <v>143793</v>
      </c>
      <c r="AR65" s="173">
        <v>142854</v>
      </c>
      <c r="AS65" s="1">
        <v>142481</v>
      </c>
      <c r="AT65" s="1">
        <v>142008</v>
      </c>
      <c r="AU65" s="1">
        <v>141959</v>
      </c>
      <c r="AV65" s="406">
        <v>142000</v>
      </c>
      <c r="AW65" s="173">
        <v>142000</v>
      </c>
      <c r="AX65" s="173">
        <v>141000</v>
      </c>
      <c r="AY65" s="173">
        <v>142000</v>
      </c>
      <c r="AZ65" s="173">
        <v>142000</v>
      </c>
      <c r="BA65" s="173">
        <v>143000</v>
      </c>
      <c r="BB65" s="173">
        <v>145000</v>
      </c>
      <c r="BC65" s="173">
        <v>147000</v>
      </c>
      <c r="BD65" s="173">
        <v>148000</v>
      </c>
      <c r="BE65" s="173">
        <v>149000</v>
      </c>
      <c r="BF65" s="173">
        <v>151000</v>
      </c>
      <c r="BG65" s="70">
        <v>144700</v>
      </c>
      <c r="BH65" s="70">
        <v>137800</v>
      </c>
    </row>
    <row r="66" spans="1:60">
      <c r="A66" s="114" t="s">
        <v>159</v>
      </c>
      <c r="B66" s="3">
        <v>84254</v>
      </c>
      <c r="C66" s="33">
        <v>103130</v>
      </c>
      <c r="D66" s="33">
        <v>105340</v>
      </c>
      <c r="E66" s="33">
        <v>106517</v>
      </c>
      <c r="F66" s="33">
        <v>106236</v>
      </c>
      <c r="G66" s="33">
        <v>105376</v>
      </c>
      <c r="H66" s="33">
        <v>104874</v>
      </c>
      <c r="I66" s="33">
        <v>104356</v>
      </c>
      <c r="J66" s="33">
        <v>102934</v>
      </c>
      <c r="K66" s="33">
        <v>101292</v>
      </c>
      <c r="L66" s="33">
        <v>98338</v>
      </c>
      <c r="M66" s="33">
        <v>95815</v>
      </c>
      <c r="N66" s="33">
        <v>93183</v>
      </c>
      <c r="O66" s="33">
        <v>91454</v>
      </c>
      <c r="P66" s="33">
        <v>90416</v>
      </c>
      <c r="Q66" s="33">
        <v>90089</v>
      </c>
      <c r="R66" s="33">
        <v>90157</v>
      </c>
      <c r="S66" s="33">
        <v>92112</v>
      </c>
      <c r="T66" s="33">
        <v>92755</v>
      </c>
      <c r="U66" s="33">
        <v>93381</v>
      </c>
      <c r="V66" s="33">
        <v>94779</v>
      </c>
      <c r="W66" s="33">
        <v>95762</v>
      </c>
      <c r="X66" s="33">
        <v>97137</v>
      </c>
      <c r="Y66" s="33">
        <v>98558</v>
      </c>
      <c r="Z66" s="33">
        <v>102755</v>
      </c>
      <c r="AA66" s="33">
        <v>104533</v>
      </c>
      <c r="AB66" s="33">
        <v>105565</v>
      </c>
      <c r="AC66" s="33">
        <v>106341</v>
      </c>
      <c r="AD66" s="33">
        <v>105984</v>
      </c>
      <c r="AE66" s="33">
        <v>105120</v>
      </c>
      <c r="AF66" s="29">
        <v>104559</v>
      </c>
      <c r="AG66" s="29">
        <v>102049</v>
      </c>
      <c r="AH66" s="173">
        <v>101179</v>
      </c>
      <c r="AI66" s="29">
        <v>99978</v>
      </c>
      <c r="AJ66" s="29">
        <v>99103</v>
      </c>
      <c r="AK66" s="29">
        <v>98352</v>
      </c>
      <c r="AL66" s="29">
        <v>96638</v>
      </c>
      <c r="AM66" s="29">
        <v>95399</v>
      </c>
      <c r="AN66" s="29">
        <v>94038</v>
      </c>
      <c r="AO66" s="173">
        <v>93625</v>
      </c>
      <c r="AP66" s="173">
        <v>91451</v>
      </c>
      <c r="AQ66" s="173">
        <v>96858</v>
      </c>
      <c r="AR66" s="173">
        <v>89908</v>
      </c>
      <c r="AS66" s="464">
        <v>89624</v>
      </c>
      <c r="AT66" s="11">
        <v>88690</v>
      </c>
      <c r="AU66" s="11">
        <v>87311</v>
      </c>
      <c r="AV66" s="406">
        <v>96000</v>
      </c>
      <c r="AW66" s="173">
        <v>95000</v>
      </c>
      <c r="AX66" s="173">
        <v>95000</v>
      </c>
      <c r="AY66" s="173">
        <v>95000</v>
      </c>
      <c r="AZ66" s="173">
        <v>95000</v>
      </c>
      <c r="BA66" s="173">
        <v>96000</v>
      </c>
      <c r="BB66" s="173">
        <v>97000</v>
      </c>
      <c r="BC66" s="173">
        <v>98000</v>
      </c>
      <c r="BD66" s="173">
        <v>99000</v>
      </c>
      <c r="BE66" s="173">
        <v>100000</v>
      </c>
      <c r="BF66" s="173">
        <v>101000</v>
      </c>
      <c r="BG66" s="59">
        <v>91200</v>
      </c>
      <c r="BH66" s="59">
        <v>92900</v>
      </c>
    </row>
    <row r="67" spans="1:60">
      <c r="A67" s="115" t="s">
        <v>171</v>
      </c>
      <c r="B67" s="158">
        <v>144016</v>
      </c>
      <c r="C67" s="158">
        <v>145704</v>
      </c>
      <c r="D67" s="158">
        <v>142512</v>
      </c>
      <c r="E67" s="158">
        <v>139918</v>
      </c>
      <c r="F67" s="158">
        <v>136036</v>
      </c>
      <c r="G67" s="158">
        <v>131691</v>
      </c>
      <c r="H67" s="158">
        <v>129969</v>
      </c>
      <c r="I67" s="158">
        <v>125848</v>
      </c>
      <c r="J67" s="158">
        <v>119875</v>
      </c>
      <c r="K67" s="158">
        <v>113858</v>
      </c>
      <c r="L67" s="158">
        <v>106156</v>
      </c>
      <c r="M67" s="158">
        <v>100049</v>
      </c>
      <c r="N67" s="158">
        <v>94975</v>
      </c>
      <c r="O67" s="158">
        <v>91105</v>
      </c>
      <c r="P67" s="158">
        <v>88843</v>
      </c>
      <c r="Q67" s="158">
        <v>87397</v>
      </c>
      <c r="R67" s="158">
        <v>87092</v>
      </c>
      <c r="S67" s="158">
        <v>85612</v>
      </c>
      <c r="T67" s="158">
        <v>86435</v>
      </c>
      <c r="U67" s="158">
        <v>84792</v>
      </c>
      <c r="V67" s="158">
        <v>81301</v>
      </c>
      <c r="W67" s="158">
        <v>80694</v>
      </c>
      <c r="X67" s="158">
        <v>80618</v>
      </c>
      <c r="Y67" s="158">
        <v>80937</v>
      </c>
      <c r="Z67" s="158">
        <v>80678</v>
      </c>
      <c r="AA67" s="158">
        <v>80450</v>
      </c>
      <c r="AB67" s="158">
        <v>79802</v>
      </c>
      <c r="AC67" s="158">
        <v>78648</v>
      </c>
      <c r="AD67" s="158">
        <v>77111</v>
      </c>
      <c r="AE67" s="158">
        <v>71889</v>
      </c>
      <c r="AF67" s="158">
        <v>77194</v>
      </c>
      <c r="AG67" s="158">
        <v>68925</v>
      </c>
      <c r="AH67" s="158">
        <v>75392</v>
      </c>
      <c r="AI67" s="158">
        <v>76166</v>
      </c>
      <c r="AJ67" s="158">
        <v>78057</v>
      </c>
      <c r="AK67" s="158">
        <v>76714</v>
      </c>
      <c r="AL67" s="158">
        <v>76876</v>
      </c>
      <c r="AM67" s="158">
        <v>72850</v>
      </c>
      <c r="AN67" s="158">
        <v>78422</v>
      </c>
      <c r="AO67" s="158">
        <v>68681</v>
      </c>
      <c r="AP67" s="158">
        <v>69433</v>
      </c>
      <c r="AQ67" s="158">
        <v>71284</v>
      </c>
      <c r="AR67" s="158">
        <v>73911</v>
      </c>
      <c r="AS67" s="464">
        <v>76140</v>
      </c>
      <c r="AT67" s="14">
        <v>78153</v>
      </c>
      <c r="AU67" s="14">
        <v>80958</v>
      </c>
      <c r="AV67" s="407">
        <v>69000</v>
      </c>
      <c r="AW67" s="158">
        <v>68000</v>
      </c>
      <c r="AX67" s="158">
        <v>67000</v>
      </c>
      <c r="AY67" s="158">
        <v>66000</v>
      </c>
      <c r="AZ67" s="158">
        <v>65000</v>
      </c>
      <c r="BA67" s="158">
        <v>65000</v>
      </c>
      <c r="BB67" s="158">
        <v>64000</v>
      </c>
      <c r="BC67" s="158">
        <v>63000</v>
      </c>
      <c r="BD67" s="158">
        <v>62000</v>
      </c>
      <c r="BE67" s="158">
        <v>61000</v>
      </c>
      <c r="BF67" s="158">
        <v>60000</v>
      </c>
      <c r="BG67" s="59">
        <v>69600</v>
      </c>
      <c r="BH67" s="59">
        <v>78300</v>
      </c>
    </row>
    <row r="68" spans="1:60">
      <c r="A68" s="11"/>
      <c r="B68" s="11"/>
      <c r="C68" s="26"/>
      <c r="D68" s="29"/>
      <c r="E68" s="29"/>
      <c r="F68" s="29"/>
      <c r="G68" s="29"/>
      <c r="H68" s="29"/>
      <c r="I68" s="29"/>
      <c r="J68" s="29"/>
      <c r="K68" s="29"/>
      <c r="L68" s="29"/>
      <c r="M68" s="29"/>
      <c r="N68" s="29"/>
      <c r="O68" s="29"/>
      <c r="P68" s="26"/>
      <c r="Q68" s="29"/>
      <c r="R68" s="29"/>
      <c r="S68" s="29"/>
      <c r="T68" s="29"/>
      <c r="U68" s="29"/>
      <c r="V68" s="29"/>
      <c r="W68" s="29"/>
      <c r="X68" s="29"/>
      <c r="Y68" s="26"/>
      <c r="Z68" s="29"/>
      <c r="AA68" s="29"/>
      <c r="AB68" s="29"/>
      <c r="AC68" s="29"/>
      <c r="AD68" s="29"/>
      <c r="AE68" s="26"/>
      <c r="AF68" s="29"/>
      <c r="AG68" s="29"/>
      <c r="AH68" s="29"/>
      <c r="AI68" s="29"/>
      <c r="AJ68" s="29"/>
      <c r="AK68" s="29"/>
      <c r="AL68" s="29"/>
      <c r="AM68" s="29"/>
      <c r="AN68" s="29"/>
      <c r="AO68" s="29"/>
      <c r="AP68" s="29"/>
      <c r="AQ68" s="36"/>
      <c r="AR68" s="36"/>
      <c r="AS68" s="36"/>
      <c r="AT68" s="36"/>
      <c r="AU68" s="36"/>
      <c r="AV68" s="36"/>
      <c r="AW68" s="29"/>
      <c r="AX68" s="29"/>
      <c r="AY68" s="29"/>
      <c r="AZ68" s="29"/>
      <c r="BA68" s="29"/>
      <c r="BB68" s="29"/>
      <c r="BC68" s="29"/>
      <c r="BD68" s="29"/>
      <c r="BE68" s="29"/>
      <c r="BF68" s="29"/>
    </row>
    <row r="69" spans="1:60">
      <c r="A69" s="11"/>
      <c r="B69" s="11"/>
      <c r="C69" s="26"/>
      <c r="D69" s="29"/>
      <c r="E69" s="29"/>
      <c r="F69" s="29"/>
      <c r="G69" s="29"/>
      <c r="H69" s="29"/>
      <c r="I69" s="29"/>
      <c r="J69" s="29"/>
      <c r="K69" s="29"/>
      <c r="L69" s="29"/>
      <c r="M69" s="29"/>
      <c r="N69" s="29"/>
      <c r="O69" s="29"/>
      <c r="P69" s="26"/>
      <c r="Q69" s="29"/>
      <c r="R69" s="29"/>
      <c r="S69" s="29"/>
      <c r="T69" s="29"/>
      <c r="U69" s="29"/>
      <c r="V69" s="29"/>
      <c r="W69" s="29"/>
      <c r="X69" s="29"/>
      <c r="Y69" s="26"/>
      <c r="Z69" s="29"/>
      <c r="AA69" s="29"/>
      <c r="AB69" s="29"/>
      <c r="AC69" s="29"/>
      <c r="AD69" s="29"/>
      <c r="AE69" s="26"/>
      <c r="AF69" s="29"/>
      <c r="AG69" s="29"/>
      <c r="AH69" s="29"/>
      <c r="AI69" s="29"/>
      <c r="AJ69" s="29"/>
      <c r="AK69" s="29"/>
      <c r="AL69" s="29"/>
      <c r="AM69" s="29"/>
      <c r="AN69" s="29"/>
      <c r="AO69" s="29"/>
      <c r="AP69" s="29"/>
      <c r="AQ69" s="36"/>
      <c r="AR69" s="36"/>
      <c r="AS69" s="36"/>
      <c r="AT69" s="36"/>
      <c r="AU69" s="36"/>
      <c r="AV69" s="36"/>
      <c r="AW69" s="29"/>
      <c r="AX69" s="29"/>
      <c r="AY69" s="29"/>
      <c r="AZ69" s="29"/>
      <c r="BA69" s="29"/>
      <c r="BB69" s="29"/>
      <c r="BC69" s="29"/>
      <c r="BD69" s="29"/>
      <c r="BE69" s="29"/>
      <c r="BF69" s="29"/>
    </row>
    <row r="70" spans="1:60" ht="12.75" customHeight="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row>
    <row r="71" spans="1:60" s="159" customFormat="1" ht="409.5">
      <c r="A71" s="96"/>
      <c r="B71" s="90" t="s">
        <v>224</v>
      </c>
      <c r="C71" s="91" t="s">
        <v>225</v>
      </c>
      <c r="D71" s="89"/>
      <c r="E71" s="89"/>
      <c r="F71" s="89"/>
      <c r="G71" s="89"/>
      <c r="H71" s="89"/>
      <c r="I71" s="89"/>
      <c r="J71" s="89"/>
      <c r="K71" s="89"/>
      <c r="L71" s="89"/>
      <c r="M71" s="91" t="s">
        <v>226</v>
      </c>
      <c r="N71" s="89"/>
      <c r="O71" s="89"/>
      <c r="P71" s="89"/>
      <c r="Q71" s="91" t="s">
        <v>227</v>
      </c>
      <c r="R71" s="89"/>
      <c r="S71" s="89"/>
      <c r="T71" s="89"/>
      <c r="U71" s="89"/>
      <c r="V71" s="89"/>
      <c r="W71" s="92" t="s">
        <v>228</v>
      </c>
      <c r="X71" s="89"/>
      <c r="Y71" s="89"/>
      <c r="Z71" s="89"/>
      <c r="AA71" s="89"/>
      <c r="AB71" s="89"/>
      <c r="AC71" s="91"/>
      <c r="AD71" s="93"/>
      <c r="AE71" s="92" t="s">
        <v>229</v>
      </c>
      <c r="AF71" s="94" t="s">
        <v>217</v>
      </c>
      <c r="AG71" s="92"/>
      <c r="AH71" s="92" t="s">
        <v>254</v>
      </c>
      <c r="AI71" s="92" t="s">
        <v>229</v>
      </c>
      <c r="AJ71" s="95"/>
      <c r="AK71" s="92" t="s">
        <v>230</v>
      </c>
      <c r="AL71" s="92"/>
      <c r="AM71" s="92" t="s">
        <v>231</v>
      </c>
      <c r="AN71" s="92"/>
      <c r="AO71" s="174" t="s">
        <v>255</v>
      </c>
      <c r="AP71" s="174" t="s">
        <v>295</v>
      </c>
      <c r="AQ71" s="174"/>
      <c r="AR71" s="174" t="s">
        <v>309</v>
      </c>
      <c r="AS71" s="174" t="s">
        <v>331</v>
      </c>
      <c r="AT71" s="174" t="s">
        <v>332</v>
      </c>
      <c r="AU71" s="498" t="s">
        <v>346</v>
      </c>
      <c r="AV71" s="174" t="s">
        <v>296</v>
      </c>
      <c r="AW71" s="174"/>
      <c r="AX71" s="174"/>
      <c r="AY71" s="174"/>
      <c r="AZ71" s="174"/>
      <c r="BA71" s="174"/>
      <c r="BB71" s="174"/>
      <c r="BC71" s="174"/>
      <c r="BD71" s="174"/>
      <c r="BE71" s="174"/>
      <c r="BF71" s="174"/>
      <c r="BG71" s="174" t="s">
        <v>309</v>
      </c>
      <c r="BH71" s="174" t="s">
        <v>330</v>
      </c>
    </row>
    <row r="72" spans="1:60" ht="12.75" customHeight="1">
      <c r="B72" s="15"/>
      <c r="C72" s="15"/>
      <c r="D72" s="3"/>
      <c r="E72" s="3"/>
      <c r="F72" s="3"/>
      <c r="G72" s="3"/>
      <c r="H72" s="3"/>
      <c r="I72" s="3"/>
      <c r="J72" s="3"/>
      <c r="K72" s="3"/>
      <c r="L72" s="3"/>
      <c r="M72" s="17"/>
      <c r="N72" s="3"/>
      <c r="O72" s="3"/>
      <c r="P72" s="3"/>
      <c r="Q72" s="17"/>
      <c r="R72" s="3"/>
      <c r="S72" s="3"/>
      <c r="T72" s="3"/>
      <c r="U72" s="3"/>
      <c r="V72" s="3"/>
      <c r="W72" s="4"/>
      <c r="X72" s="3"/>
      <c r="Y72" s="3"/>
      <c r="Z72" s="3"/>
      <c r="AA72" s="3"/>
      <c r="AB72" s="3"/>
      <c r="AC72" s="17"/>
      <c r="AD72" s="3"/>
      <c r="AE72" s="4"/>
      <c r="AF72" s="4"/>
      <c r="AG72" s="4"/>
      <c r="AH72" s="4"/>
      <c r="AI72" s="4"/>
      <c r="AJ72" s="40"/>
      <c r="AK72" s="4"/>
      <c r="AL72" s="4"/>
      <c r="AM72" s="4"/>
      <c r="AN72" s="4"/>
      <c r="AO72" s="4"/>
      <c r="AP72" s="4"/>
      <c r="AQ72" s="4"/>
      <c r="AR72" s="4"/>
      <c r="AS72" s="4"/>
      <c r="AT72" s="4"/>
      <c r="AU72" s="499"/>
      <c r="AV72" s="4"/>
      <c r="AW72" s="4"/>
      <c r="AX72" s="4"/>
      <c r="AY72" s="4"/>
      <c r="AZ72" s="4"/>
      <c r="BA72" s="4"/>
      <c r="BB72" s="4"/>
      <c r="BC72" s="4"/>
      <c r="BD72" s="4"/>
      <c r="BE72" s="4"/>
      <c r="BF72" s="4"/>
    </row>
    <row r="73" spans="1:60" ht="12.75" customHeight="1">
      <c r="B73" s="15"/>
      <c r="D73" s="3"/>
      <c r="E73" s="3"/>
      <c r="F73" s="3"/>
      <c r="G73" s="3"/>
      <c r="H73" s="3"/>
      <c r="I73" s="3"/>
      <c r="J73" s="3"/>
      <c r="K73" s="3"/>
      <c r="L73" s="3"/>
      <c r="M73" s="15"/>
      <c r="N73" s="3"/>
      <c r="O73" s="3"/>
      <c r="P73" s="3"/>
      <c r="Q73" s="17"/>
      <c r="R73" s="3"/>
      <c r="S73" s="3"/>
      <c r="T73" s="3"/>
      <c r="U73" s="3"/>
      <c r="V73" s="3"/>
      <c r="W73" s="4"/>
      <c r="X73" s="3"/>
      <c r="Y73" s="3"/>
      <c r="Z73" s="3"/>
      <c r="AA73" s="3"/>
      <c r="AB73" s="3"/>
      <c r="AC73" s="17"/>
      <c r="AD73" s="3"/>
      <c r="AE73" s="4"/>
      <c r="AF73" s="4"/>
      <c r="AG73" s="4"/>
      <c r="AH73" s="41"/>
      <c r="AI73" s="4"/>
      <c r="AJ73" s="17"/>
      <c r="AK73" s="4"/>
      <c r="AL73" s="4"/>
      <c r="AM73" s="4"/>
      <c r="AN73" s="4"/>
      <c r="AO73" s="4"/>
      <c r="AP73" s="4"/>
      <c r="AQ73" s="4"/>
      <c r="AR73" s="4"/>
      <c r="AS73" s="4"/>
      <c r="AT73" s="4"/>
      <c r="AU73" s="4"/>
      <c r="AV73" s="4"/>
      <c r="AW73" s="4"/>
      <c r="AX73" s="4"/>
      <c r="AY73" s="4"/>
      <c r="AZ73" s="4"/>
      <c r="BA73" s="4"/>
      <c r="BB73" s="4"/>
      <c r="BC73" s="4"/>
      <c r="BD73" s="4" t="s">
        <v>329</v>
      </c>
      <c r="BE73" s="4"/>
      <c r="BF73" s="4"/>
      <c r="BG73" s="432">
        <v>52112800</v>
      </c>
      <c r="BH73" s="432">
        <v>52919600</v>
      </c>
    </row>
    <row r="74" spans="1:60" ht="12.75" customHeight="1">
      <c r="B74" s="15"/>
      <c r="C74" s="17"/>
      <c r="D74" s="3"/>
      <c r="E74" s="3"/>
      <c r="F74" s="3"/>
      <c r="G74" s="3"/>
      <c r="H74" s="3"/>
      <c r="I74" s="3"/>
      <c r="J74" s="3"/>
      <c r="K74" s="3"/>
      <c r="L74" s="3"/>
      <c r="M74" s="17"/>
      <c r="N74" s="3"/>
      <c r="O74" s="3"/>
      <c r="P74" s="3"/>
      <c r="Q74" s="17"/>
      <c r="R74" s="3"/>
      <c r="S74" s="3"/>
      <c r="T74" s="3"/>
      <c r="U74" s="3"/>
      <c r="V74" s="3"/>
      <c r="W74" s="4"/>
      <c r="X74" s="3"/>
      <c r="Y74" s="3"/>
      <c r="Z74" s="3"/>
      <c r="AA74" s="3"/>
      <c r="AB74" s="3"/>
      <c r="AD74" s="3"/>
      <c r="AE74" s="17"/>
      <c r="AF74" s="17"/>
      <c r="AG74" s="3"/>
      <c r="AH74" s="40"/>
      <c r="AI74" s="17"/>
      <c r="AJ74" s="3"/>
      <c r="AK74" s="4"/>
      <c r="AL74" s="4"/>
      <c r="AM74" s="4"/>
      <c r="AN74" s="4"/>
      <c r="AO74" s="4"/>
      <c r="AP74" s="4"/>
      <c r="AQ74" s="4"/>
      <c r="AR74" s="4"/>
      <c r="AS74" s="4"/>
      <c r="AT74" s="4"/>
      <c r="AU74" s="4"/>
      <c r="AV74" s="3"/>
      <c r="AW74" s="4"/>
      <c r="AX74" s="4"/>
      <c r="AY74" s="4"/>
      <c r="AZ74" s="4"/>
      <c r="BA74" s="4"/>
      <c r="BB74" s="4"/>
      <c r="BC74" s="4"/>
      <c r="BD74" s="4"/>
      <c r="BE74" s="4"/>
      <c r="BF74" s="4"/>
    </row>
    <row r="75" spans="1:60" ht="12.75" customHeight="1">
      <c r="B75" s="15"/>
      <c r="C75" s="17"/>
      <c r="D75" s="3"/>
      <c r="E75" s="3"/>
      <c r="F75" s="3"/>
      <c r="G75" s="3"/>
      <c r="H75" s="3"/>
      <c r="I75" s="3"/>
      <c r="J75" s="3"/>
      <c r="K75" s="3"/>
      <c r="L75" s="3"/>
      <c r="M75" s="15"/>
      <c r="N75" s="3"/>
      <c r="O75" s="3"/>
      <c r="P75" s="3"/>
      <c r="Q75" s="17"/>
      <c r="R75" s="3"/>
      <c r="S75" s="3"/>
      <c r="T75" s="3"/>
      <c r="U75" s="3"/>
      <c r="V75" s="3"/>
      <c r="W75" s="11"/>
      <c r="X75" s="3"/>
      <c r="Y75" s="3"/>
      <c r="Z75" s="3"/>
      <c r="AA75" s="3"/>
      <c r="AB75" s="3"/>
      <c r="AC75" s="17"/>
      <c r="AD75" s="3"/>
      <c r="AE75" s="15"/>
      <c r="AF75" s="15"/>
      <c r="AG75" s="3"/>
      <c r="AH75" s="47"/>
      <c r="AI75" s="15"/>
      <c r="AJ75" s="3"/>
      <c r="AK75" s="3"/>
      <c r="AL75" s="3"/>
      <c r="AM75" s="3"/>
      <c r="AN75" s="3"/>
      <c r="AO75" s="3"/>
      <c r="AP75" s="3"/>
      <c r="AQ75" s="4"/>
      <c r="AR75" s="4"/>
      <c r="AS75" s="4"/>
      <c r="AT75" s="4"/>
      <c r="AU75" s="4"/>
      <c r="AV75" s="3"/>
      <c r="AW75" s="4"/>
      <c r="AX75" s="3"/>
      <c r="AY75" s="3"/>
      <c r="AZ75" s="3"/>
      <c r="BA75" s="3"/>
      <c r="BB75" s="3"/>
      <c r="BC75" s="3"/>
      <c r="BD75" s="3"/>
      <c r="BE75" s="3"/>
      <c r="BF75" s="3"/>
    </row>
    <row r="76" spans="1:60" ht="12.75" customHeight="1">
      <c r="B76" s="15"/>
      <c r="D76" s="3"/>
      <c r="E76" s="3"/>
      <c r="F76" s="3"/>
      <c r="G76" s="3"/>
      <c r="H76" s="3"/>
      <c r="I76" s="3"/>
      <c r="J76" s="3"/>
      <c r="K76" s="3"/>
      <c r="L76" s="3"/>
      <c r="M76" s="15"/>
      <c r="N76" s="3"/>
      <c r="O76" s="3"/>
      <c r="P76" s="3"/>
      <c r="Q76" s="17"/>
      <c r="R76" s="3"/>
      <c r="S76" s="3"/>
      <c r="T76" s="3"/>
      <c r="U76" s="3"/>
      <c r="V76" s="3"/>
      <c r="W76" s="3"/>
      <c r="X76" s="3"/>
      <c r="Y76" s="3"/>
      <c r="Z76" s="3"/>
      <c r="AA76" s="3"/>
      <c r="AB76" s="3"/>
      <c r="AC76" s="17"/>
      <c r="AD76" s="3"/>
      <c r="AE76" s="15"/>
      <c r="AF76" s="15"/>
      <c r="AG76" s="3"/>
      <c r="AH76" s="15"/>
      <c r="AI76" s="15"/>
      <c r="AJ76" s="3"/>
      <c r="AK76" s="3"/>
      <c r="AL76" s="3"/>
      <c r="AM76" s="3"/>
      <c r="AN76" s="3"/>
      <c r="AO76" s="3"/>
      <c r="AP76" s="3"/>
      <c r="AQ76" s="4"/>
      <c r="AR76" s="4"/>
      <c r="AS76" s="4"/>
      <c r="AT76" s="4"/>
      <c r="AU76" s="4"/>
      <c r="AV76" s="3"/>
      <c r="AW76" s="4"/>
      <c r="AX76" s="3"/>
      <c r="AY76" s="3"/>
      <c r="AZ76" s="3"/>
      <c r="BA76" s="3"/>
      <c r="BB76" s="3"/>
      <c r="BC76" s="3"/>
      <c r="BD76" s="3"/>
      <c r="BE76" s="3"/>
      <c r="BF76" s="3"/>
    </row>
    <row r="77" spans="1:60" ht="12.75" customHeight="1">
      <c r="B77" s="15"/>
      <c r="D77" s="3"/>
      <c r="E77" s="3"/>
      <c r="F77" s="3"/>
      <c r="G77" s="3"/>
      <c r="H77" s="3"/>
      <c r="I77" s="3"/>
      <c r="J77" s="3"/>
      <c r="K77" s="3"/>
      <c r="L77" s="3"/>
      <c r="M77" s="15"/>
      <c r="N77" s="3"/>
      <c r="O77" s="3"/>
      <c r="P77" s="3"/>
      <c r="Q77" s="17"/>
      <c r="R77" s="3"/>
      <c r="S77" s="3"/>
      <c r="T77" s="9"/>
      <c r="U77" s="3"/>
      <c r="V77" s="3"/>
      <c r="W77" s="3"/>
      <c r="X77" s="3"/>
      <c r="Y77" s="3"/>
      <c r="Z77" s="3"/>
      <c r="AA77" s="3"/>
      <c r="AB77" s="3"/>
      <c r="AC77" s="17"/>
      <c r="AD77" s="3"/>
      <c r="AE77" s="3"/>
      <c r="AF77" s="3"/>
      <c r="AG77" s="3"/>
      <c r="AH77" s="3"/>
      <c r="AI77" s="3"/>
      <c r="AJ77" s="3"/>
      <c r="AK77" s="3"/>
      <c r="AL77" s="3"/>
      <c r="AM77" s="3"/>
      <c r="AN77" s="3"/>
      <c r="AO77" s="3"/>
      <c r="AP77" s="3"/>
      <c r="AQ77" s="4"/>
      <c r="AR77" s="4"/>
      <c r="AS77" s="4"/>
      <c r="AT77" s="4"/>
      <c r="AU77" s="4"/>
      <c r="AV77" s="3"/>
      <c r="AW77" s="4"/>
      <c r="AX77" s="3"/>
      <c r="AY77" s="3"/>
      <c r="AZ77" s="3"/>
      <c r="BA77" s="3"/>
      <c r="BB77" s="3"/>
      <c r="BC77" s="3"/>
      <c r="BD77" s="3"/>
      <c r="BE77" s="3"/>
      <c r="BF77" s="3"/>
    </row>
    <row r="78" spans="1:60" ht="12.75" customHeight="1">
      <c r="B78" s="15"/>
      <c r="C78" s="15"/>
      <c r="D78" s="3"/>
      <c r="E78" s="3"/>
      <c r="F78" s="3"/>
      <c r="G78" s="3"/>
      <c r="H78" s="3"/>
      <c r="I78" s="3"/>
      <c r="J78" s="3"/>
      <c r="K78" s="3"/>
      <c r="L78" s="3"/>
      <c r="M78" s="15"/>
      <c r="N78" s="3"/>
      <c r="O78" s="3"/>
      <c r="P78" s="3"/>
      <c r="Q78" s="21"/>
      <c r="R78" s="3"/>
      <c r="S78" s="3"/>
      <c r="T78" s="9"/>
      <c r="U78" s="3"/>
      <c r="V78" s="3"/>
      <c r="W78" s="3"/>
      <c r="X78" s="3"/>
      <c r="Y78" s="3"/>
      <c r="Z78" s="3"/>
      <c r="AA78" s="3"/>
      <c r="AB78" s="3"/>
      <c r="AC78" s="17"/>
      <c r="AD78" s="3"/>
      <c r="AE78" s="3"/>
      <c r="AF78" s="3"/>
      <c r="AG78" s="3"/>
      <c r="AH78" s="3"/>
      <c r="AI78" s="3"/>
      <c r="AJ78" s="3"/>
      <c r="AK78" s="3"/>
      <c r="AL78" s="3"/>
      <c r="AM78" s="3"/>
      <c r="AN78" s="3"/>
      <c r="AO78" s="3"/>
      <c r="AP78" s="3"/>
      <c r="AQ78" s="4"/>
      <c r="AR78" s="4"/>
      <c r="AS78" s="4"/>
      <c r="AT78" s="4"/>
      <c r="AU78" s="4"/>
      <c r="AV78" s="3"/>
      <c r="AW78" s="4"/>
      <c r="AX78" s="3"/>
      <c r="AY78" s="3"/>
      <c r="AZ78" s="3"/>
      <c r="BA78" s="3"/>
      <c r="BB78" s="3"/>
      <c r="BC78" s="3"/>
      <c r="BD78" s="3"/>
      <c r="BE78" s="3"/>
      <c r="BF78" s="3"/>
    </row>
    <row r="79" spans="1:60" ht="12.75" customHeight="1">
      <c r="B79" s="15"/>
      <c r="C79" s="15"/>
      <c r="D79" s="3"/>
      <c r="E79" s="3"/>
      <c r="F79" s="3"/>
      <c r="G79" s="3"/>
      <c r="H79" s="3"/>
      <c r="I79" s="3"/>
      <c r="J79" s="3"/>
      <c r="K79" s="3"/>
      <c r="L79" s="3"/>
      <c r="M79" s="15"/>
      <c r="N79" s="3"/>
      <c r="O79" s="3"/>
      <c r="P79" s="3"/>
      <c r="Q79" s="17"/>
      <c r="R79" s="3"/>
      <c r="S79" s="3"/>
      <c r="T79" s="3"/>
      <c r="U79" s="3"/>
      <c r="V79" s="3"/>
      <c r="W79" s="3"/>
      <c r="X79" s="3"/>
      <c r="Y79" s="3"/>
      <c r="Z79" s="3"/>
      <c r="AA79" s="3"/>
      <c r="AB79" s="3"/>
      <c r="AD79" s="3"/>
      <c r="AE79" s="3"/>
      <c r="AF79" s="3"/>
      <c r="AG79" s="3"/>
      <c r="AH79" s="3"/>
      <c r="AI79" s="3"/>
      <c r="AJ79" s="3"/>
      <c r="AK79" s="3"/>
      <c r="AL79" s="3"/>
      <c r="AM79" s="3"/>
      <c r="AN79" s="3"/>
      <c r="AO79" s="3"/>
      <c r="AP79" s="3"/>
      <c r="AQ79" s="4"/>
      <c r="AR79" s="4"/>
      <c r="AS79" s="4"/>
      <c r="AT79" s="4"/>
      <c r="AU79" s="4"/>
      <c r="AV79" s="3"/>
      <c r="AW79" s="4"/>
      <c r="AX79" s="3"/>
      <c r="AY79" s="3"/>
      <c r="AZ79" s="3"/>
      <c r="BA79" s="3"/>
      <c r="BB79" s="3"/>
      <c r="BC79" s="3"/>
      <c r="BD79" s="3"/>
      <c r="BE79" s="3"/>
      <c r="BF79" s="3"/>
    </row>
    <row r="80" spans="1:60" ht="12.75" customHeight="1">
      <c r="B80" s="15"/>
      <c r="C80" s="15"/>
      <c r="D80" s="3"/>
      <c r="E80" s="3"/>
      <c r="F80" s="3"/>
      <c r="G80" s="3"/>
      <c r="H80" s="3"/>
      <c r="I80" s="3"/>
      <c r="J80" s="3"/>
      <c r="K80" s="3"/>
      <c r="L80" s="3"/>
      <c r="M80" s="15"/>
      <c r="N80" s="3"/>
      <c r="O80" s="3"/>
      <c r="P80" s="3"/>
      <c r="Q80" s="17"/>
      <c r="R80" s="3"/>
      <c r="S80" s="3"/>
      <c r="T80" s="3"/>
      <c r="U80" s="3"/>
      <c r="V80" s="3"/>
      <c r="W80" s="3"/>
      <c r="X80" s="3"/>
      <c r="Y80" s="3"/>
      <c r="Z80" s="3"/>
      <c r="AA80" s="3"/>
      <c r="AB80" s="3"/>
      <c r="AD80" s="3"/>
      <c r="AE80" s="3"/>
      <c r="AF80" s="3"/>
      <c r="AG80" s="3"/>
      <c r="AH80" s="3"/>
      <c r="AI80" s="3"/>
      <c r="AJ80" s="3"/>
      <c r="AK80" s="3"/>
      <c r="AL80" s="3"/>
      <c r="AM80" s="3"/>
      <c r="AN80" s="3"/>
      <c r="AO80" s="3"/>
      <c r="AP80" s="3"/>
      <c r="AQ80" s="4"/>
      <c r="AR80" s="4"/>
      <c r="AS80" s="4"/>
      <c r="AT80" s="4"/>
      <c r="AU80" s="4"/>
      <c r="AV80" s="3"/>
      <c r="AW80" s="4"/>
      <c r="AX80" s="3"/>
      <c r="AY80" s="3"/>
      <c r="AZ80" s="3"/>
      <c r="BA80" s="3"/>
      <c r="BB80" s="3"/>
      <c r="BC80" s="3"/>
      <c r="BD80" s="3"/>
      <c r="BE80" s="3"/>
      <c r="BF80" s="3"/>
    </row>
    <row r="81" spans="2:58" ht="12.75" customHeight="1">
      <c r="B81" s="15"/>
      <c r="C81" s="15"/>
      <c r="D81" s="3"/>
      <c r="E81" s="3"/>
      <c r="F81" s="3"/>
      <c r="G81" s="3"/>
      <c r="H81" s="3"/>
      <c r="I81" s="3"/>
      <c r="J81" s="3"/>
      <c r="K81" s="3"/>
      <c r="L81" s="3"/>
      <c r="M81" s="15"/>
      <c r="N81" s="3"/>
      <c r="O81" s="3"/>
      <c r="P81" s="3"/>
      <c r="Q81" s="17"/>
      <c r="R81" s="3"/>
      <c r="S81" s="3"/>
      <c r="T81" s="3"/>
      <c r="U81" s="3"/>
      <c r="V81" s="3"/>
      <c r="W81" s="3"/>
      <c r="X81" s="3"/>
      <c r="Y81" s="3"/>
      <c r="Z81" s="3"/>
      <c r="AA81" s="3"/>
      <c r="AB81" s="3"/>
      <c r="AD81" s="3"/>
      <c r="AE81" s="3"/>
      <c r="AF81" s="3"/>
      <c r="AG81" s="3"/>
      <c r="AH81" s="3"/>
      <c r="AI81" s="3"/>
      <c r="AJ81" s="3"/>
      <c r="AK81" s="3"/>
      <c r="AL81" s="3"/>
      <c r="AM81" s="3"/>
      <c r="AN81" s="75"/>
      <c r="AO81" s="75"/>
      <c r="AP81" s="75"/>
      <c r="AQ81" s="4"/>
      <c r="AR81" s="4"/>
      <c r="AS81" s="4"/>
      <c r="AT81" s="4"/>
      <c r="AU81" s="4"/>
      <c r="AV81" s="3"/>
      <c r="AW81" s="410"/>
      <c r="AX81" s="75"/>
      <c r="AY81" s="75"/>
      <c r="AZ81" s="75"/>
      <c r="BA81" s="75"/>
      <c r="BB81" s="75"/>
      <c r="BC81" s="75"/>
      <c r="BD81" s="75"/>
      <c r="BE81" s="75"/>
      <c r="BF81" s="75"/>
    </row>
    <row r="82" spans="2:58" ht="12.75" customHeight="1">
      <c r="B82" s="15"/>
      <c r="C82" s="15"/>
      <c r="D82" s="3"/>
      <c r="E82" s="3"/>
      <c r="F82" s="3"/>
      <c r="G82" s="3"/>
      <c r="H82" s="3"/>
      <c r="I82" s="3"/>
      <c r="J82" s="3"/>
      <c r="K82" s="3"/>
      <c r="L82" s="3"/>
      <c r="M82" s="15"/>
      <c r="N82" s="3"/>
      <c r="O82" s="3"/>
      <c r="P82" s="3"/>
      <c r="Q82" s="17"/>
      <c r="R82" s="3"/>
      <c r="S82" s="3"/>
      <c r="T82" s="3"/>
      <c r="U82" s="3"/>
      <c r="V82" s="3"/>
      <c r="W82" s="3"/>
      <c r="X82" s="3"/>
      <c r="Y82" s="3"/>
      <c r="Z82" s="3"/>
      <c r="AA82" s="3"/>
      <c r="AB82" s="3"/>
      <c r="AD82" s="3"/>
      <c r="AE82" s="3"/>
      <c r="AF82" s="3"/>
      <c r="AG82" s="3"/>
      <c r="AH82" s="3"/>
      <c r="AI82" s="3"/>
      <c r="AJ82" s="3"/>
      <c r="AK82" s="3"/>
      <c r="AL82" s="3"/>
      <c r="AM82" s="3"/>
      <c r="AN82"/>
      <c r="AO82"/>
      <c r="AP82"/>
      <c r="AQ82" s="4"/>
      <c r="AR82" s="4"/>
      <c r="AS82" s="4"/>
      <c r="AT82" s="4"/>
      <c r="AU82" s="4"/>
      <c r="AV82" s="3"/>
      <c r="AW82" s="411"/>
      <c r="AX82"/>
      <c r="AY82"/>
      <c r="AZ82"/>
      <c r="BA82"/>
      <c r="BB82"/>
      <c r="BC82"/>
      <c r="BD82"/>
      <c r="BE82"/>
      <c r="BF82"/>
    </row>
    <row r="83" spans="2:58" ht="12.75" customHeight="1">
      <c r="B83" s="15"/>
      <c r="C83" s="15"/>
      <c r="D83" s="3"/>
      <c r="E83" s="3"/>
      <c r="F83" s="3"/>
      <c r="G83" s="3"/>
      <c r="H83" s="3"/>
      <c r="I83" s="3"/>
      <c r="J83" s="3"/>
      <c r="K83" s="3"/>
      <c r="L83" s="3"/>
      <c r="M83" s="15"/>
      <c r="N83" s="3"/>
      <c r="O83" s="3"/>
      <c r="P83" s="3"/>
      <c r="Q83" s="17"/>
      <c r="R83" s="3"/>
      <c r="S83" s="3"/>
      <c r="T83" s="3"/>
      <c r="U83" s="3"/>
      <c r="V83" s="3"/>
      <c r="W83" s="3"/>
      <c r="X83" s="3"/>
      <c r="Y83" s="3"/>
      <c r="Z83" s="3"/>
      <c r="AA83" s="3"/>
      <c r="AB83" s="3"/>
      <c r="AD83" s="3"/>
      <c r="AE83" s="3"/>
      <c r="AF83" s="3"/>
      <c r="AG83" s="3"/>
      <c r="AH83" s="3"/>
      <c r="AI83" s="3"/>
      <c r="AJ83" s="3"/>
      <c r="AK83" s="3"/>
      <c r="AL83" s="3"/>
      <c r="AM83" s="3"/>
      <c r="AN83" s="3"/>
      <c r="AO83" s="3"/>
      <c r="AP83" s="3"/>
      <c r="AQ83" s="4"/>
      <c r="AR83" s="4"/>
      <c r="AS83" s="4"/>
      <c r="AT83" s="4"/>
      <c r="AU83" s="4"/>
      <c r="AV83" s="3"/>
      <c r="AW83" s="4"/>
      <c r="AX83" s="3"/>
      <c r="AY83" s="3"/>
      <c r="AZ83" s="3"/>
      <c r="BA83" s="3"/>
      <c r="BB83" s="3"/>
      <c r="BC83" s="3"/>
      <c r="BD83" s="3"/>
      <c r="BE83" s="3"/>
      <c r="BF83" s="3"/>
    </row>
    <row r="84" spans="2:58" ht="12.75" customHeight="1">
      <c r="C84" s="15"/>
      <c r="D84" s="3"/>
      <c r="E84" s="3"/>
      <c r="F84" s="3"/>
      <c r="G84" s="3"/>
      <c r="H84" s="3"/>
      <c r="I84" s="3"/>
      <c r="J84" s="3"/>
      <c r="K84" s="3"/>
      <c r="L84" s="3"/>
      <c r="M84" s="15"/>
      <c r="N84" s="3"/>
      <c r="O84" s="3"/>
      <c r="P84" s="3"/>
      <c r="Q84" s="17"/>
      <c r="R84" s="3"/>
      <c r="S84" s="3"/>
      <c r="T84" s="3"/>
      <c r="U84" s="3"/>
      <c r="V84" s="3"/>
      <c r="W84" s="3"/>
      <c r="X84" s="3"/>
      <c r="Y84" s="3"/>
      <c r="Z84" s="3"/>
      <c r="AA84" s="3"/>
      <c r="AB84" s="3"/>
      <c r="AD84" s="3"/>
      <c r="AE84" s="3"/>
      <c r="AF84" s="3"/>
      <c r="AG84" s="3"/>
      <c r="AH84" s="3"/>
      <c r="AI84" s="3"/>
      <c r="AJ84" s="3"/>
      <c r="AK84" s="3"/>
      <c r="AL84" s="3"/>
      <c r="AM84" s="3"/>
      <c r="AN84" s="3"/>
      <c r="AO84" s="3"/>
      <c r="AP84" s="3"/>
      <c r="AQ84" s="4"/>
      <c r="AR84" s="4"/>
      <c r="AS84" s="4"/>
      <c r="AT84" s="4"/>
      <c r="AU84" s="4"/>
      <c r="AV84" s="3"/>
      <c r="AW84" s="4"/>
      <c r="AX84" s="3"/>
      <c r="AY84" s="3"/>
      <c r="AZ84" s="3"/>
      <c r="BA84" s="3"/>
      <c r="BB84" s="3"/>
      <c r="BC84" s="3"/>
      <c r="BD84" s="3"/>
      <c r="BE84" s="3"/>
      <c r="BF84" s="3"/>
    </row>
    <row r="85" spans="2:58" ht="12.75" customHeight="1">
      <c r="C85" s="15"/>
      <c r="D85" s="3"/>
      <c r="E85" s="3"/>
      <c r="F85" s="3"/>
      <c r="G85" s="3"/>
      <c r="H85" s="3"/>
      <c r="I85" s="3"/>
      <c r="J85" s="3"/>
      <c r="K85" s="3"/>
      <c r="L85" s="3"/>
      <c r="M85" s="15"/>
      <c r="N85" s="3"/>
      <c r="O85" s="3"/>
      <c r="P85" s="3"/>
      <c r="Q85" s="17"/>
      <c r="R85" s="3"/>
      <c r="S85" s="3"/>
      <c r="T85" s="3"/>
      <c r="U85" s="3"/>
      <c r="V85" s="3"/>
      <c r="W85" s="3"/>
      <c r="X85" s="3"/>
      <c r="Y85" s="3"/>
      <c r="Z85" s="3"/>
      <c r="AA85" s="3"/>
      <c r="AB85" s="3"/>
      <c r="AC85" s="17"/>
      <c r="AD85" s="3"/>
      <c r="AE85" s="3"/>
      <c r="AF85" s="3"/>
      <c r="AG85" s="3"/>
      <c r="AH85" s="3"/>
      <c r="AI85" s="3"/>
      <c r="AJ85" s="3"/>
      <c r="AK85" s="3"/>
      <c r="AL85" s="3"/>
      <c r="AM85" s="3"/>
      <c r="AN85" s="3"/>
      <c r="AO85" s="3"/>
      <c r="AP85" s="3"/>
      <c r="AQ85" s="4"/>
      <c r="AR85" s="4"/>
      <c r="AS85" s="4"/>
      <c r="AT85" s="4"/>
      <c r="AU85" s="4"/>
      <c r="AV85" s="3"/>
      <c r="AW85" s="4"/>
      <c r="AX85" s="3"/>
      <c r="AY85" s="3"/>
      <c r="AZ85" s="3"/>
      <c r="BA85" s="3"/>
      <c r="BB85" s="3"/>
      <c r="BC85" s="3"/>
      <c r="BD85" s="3"/>
      <c r="BE85" s="3"/>
      <c r="BF85" s="3"/>
    </row>
    <row r="86" spans="2:58" ht="12.75" customHeight="1">
      <c r="B86" s="15"/>
      <c r="C86" s="15"/>
      <c r="D86" s="3"/>
      <c r="E86" s="3"/>
      <c r="F86" s="3"/>
      <c r="G86" s="3"/>
      <c r="H86" s="3"/>
      <c r="I86" s="3"/>
      <c r="J86" s="3"/>
      <c r="K86" s="3"/>
      <c r="L86" s="3"/>
      <c r="M86" s="15"/>
      <c r="N86" s="3"/>
      <c r="O86" s="3"/>
      <c r="P86" s="3"/>
      <c r="Q86" s="17"/>
      <c r="R86" s="3"/>
      <c r="S86" s="3"/>
      <c r="T86" s="3"/>
      <c r="U86" s="3"/>
      <c r="V86" s="3"/>
      <c r="W86" s="3"/>
      <c r="X86" s="3"/>
      <c r="Y86" s="3"/>
      <c r="Z86" s="3"/>
      <c r="AA86" s="3"/>
      <c r="AB86" s="3"/>
      <c r="AC86" s="17"/>
      <c r="AD86" s="3"/>
      <c r="AE86" s="3"/>
      <c r="AF86" s="3"/>
      <c r="AG86" s="3"/>
      <c r="AH86" s="3"/>
      <c r="AI86" s="3"/>
      <c r="AJ86" s="3"/>
      <c r="AK86" s="3"/>
      <c r="AL86" s="3"/>
      <c r="AM86" s="3"/>
      <c r="AN86" s="3"/>
      <c r="AO86" s="3"/>
      <c r="AP86" s="3"/>
      <c r="AQ86" s="4"/>
      <c r="AR86" s="4"/>
      <c r="AS86" s="4"/>
      <c r="AT86" s="4"/>
      <c r="AU86" s="4"/>
      <c r="AV86" s="3"/>
      <c r="AW86" s="4"/>
      <c r="AX86" s="3"/>
      <c r="AY86" s="3"/>
      <c r="AZ86" s="3"/>
      <c r="BA86" s="3"/>
      <c r="BB86" s="3"/>
      <c r="BC86" s="3"/>
      <c r="BD86" s="3"/>
      <c r="BE86" s="3"/>
      <c r="BF86" s="3"/>
    </row>
    <row r="87" spans="2:58" ht="12.75" customHeight="1">
      <c r="C87" s="15"/>
      <c r="D87" s="3"/>
      <c r="E87" s="3"/>
      <c r="F87" s="3"/>
      <c r="G87" s="3"/>
      <c r="H87" s="3"/>
      <c r="I87" s="3"/>
      <c r="J87" s="3"/>
      <c r="K87" s="3"/>
      <c r="L87" s="3"/>
      <c r="M87" s="15"/>
      <c r="N87" s="3"/>
      <c r="O87" s="3"/>
      <c r="P87" s="3"/>
      <c r="Q87" s="17"/>
      <c r="R87" s="3"/>
      <c r="S87" s="3"/>
      <c r="T87" s="3"/>
      <c r="U87" s="3"/>
      <c r="V87" s="3"/>
      <c r="W87" s="3"/>
      <c r="X87" s="3"/>
      <c r="Y87" s="3"/>
      <c r="Z87" s="3"/>
      <c r="AA87" s="3"/>
      <c r="AB87" s="3"/>
      <c r="AC87" s="17"/>
      <c r="AD87" s="3"/>
      <c r="AE87" s="3"/>
      <c r="AF87" s="3"/>
      <c r="AG87" s="3"/>
      <c r="AH87" s="3"/>
      <c r="AI87" s="3"/>
      <c r="AJ87" s="3"/>
      <c r="AK87" s="3"/>
      <c r="AL87" s="3"/>
      <c r="AM87" s="3"/>
      <c r="AN87" s="3"/>
      <c r="AO87" s="3"/>
      <c r="AP87" s="3"/>
      <c r="AQ87" s="4"/>
      <c r="AR87" s="4"/>
      <c r="AS87" s="4"/>
      <c r="AT87" s="4"/>
      <c r="AU87" s="4"/>
      <c r="AV87" s="3"/>
      <c r="AW87" s="4"/>
      <c r="AX87" s="3"/>
      <c r="AY87" s="3"/>
      <c r="AZ87" s="3"/>
      <c r="BA87" s="3"/>
      <c r="BB87" s="3"/>
      <c r="BC87" s="3"/>
      <c r="BD87" s="3"/>
      <c r="BE87" s="3"/>
      <c r="BF87" s="3"/>
    </row>
    <row r="88" spans="2:58">
      <c r="C88" s="3"/>
      <c r="D88" s="3"/>
      <c r="E88" s="3"/>
      <c r="F88" s="3"/>
      <c r="G88" s="3"/>
      <c r="H88" s="3"/>
      <c r="I88" s="3"/>
      <c r="J88" s="3"/>
      <c r="K88" s="3"/>
      <c r="L88" s="3"/>
      <c r="AE88" s="3"/>
      <c r="AF88" s="3"/>
      <c r="AG88" s="3"/>
      <c r="AH88" s="3"/>
      <c r="AI88" s="3"/>
      <c r="AJ88" s="3"/>
      <c r="AK88" s="3"/>
      <c r="AL88" s="3"/>
      <c r="AM88" s="3"/>
      <c r="AN88" s="3"/>
      <c r="AO88" s="3"/>
      <c r="AP88" s="3"/>
      <c r="AQ88" s="4"/>
      <c r="AR88" s="4"/>
      <c r="AS88" s="4"/>
      <c r="AT88" s="4"/>
      <c r="AU88" s="4"/>
      <c r="AV88" s="3"/>
      <c r="AW88" s="4"/>
      <c r="AX88" s="3"/>
      <c r="AY88" s="3"/>
      <c r="AZ88" s="3"/>
      <c r="BA88" s="3"/>
      <c r="BB88" s="3"/>
      <c r="BC88" s="3"/>
      <c r="BD88" s="3"/>
      <c r="BE88" s="3"/>
      <c r="BF88" s="3"/>
    </row>
    <row r="89" spans="2:58">
      <c r="C89" s="3"/>
      <c r="D89" s="3"/>
      <c r="E89" s="3"/>
      <c r="F89" s="3"/>
      <c r="G89" s="3"/>
      <c r="H89" s="3"/>
      <c r="I89" s="3"/>
      <c r="J89" s="3"/>
      <c r="K89" s="3"/>
      <c r="L89" s="3"/>
      <c r="AE89" s="3"/>
      <c r="AF89" s="3"/>
      <c r="AG89" s="3"/>
      <c r="AH89" s="3"/>
      <c r="AI89" s="3"/>
      <c r="AJ89" s="3"/>
      <c r="AK89" s="3"/>
      <c r="AL89" s="3"/>
      <c r="AM89" s="3"/>
      <c r="AN89" s="3"/>
      <c r="AO89" s="3"/>
      <c r="AP89" s="3"/>
      <c r="AQ89" s="4"/>
      <c r="AR89" s="4"/>
      <c r="AS89" s="4"/>
      <c r="AT89" s="4"/>
      <c r="AU89" s="4"/>
      <c r="AV89" s="3"/>
      <c r="AW89" s="4"/>
      <c r="AX89" s="3"/>
      <c r="AY89" s="3"/>
      <c r="AZ89" s="3"/>
      <c r="BA89" s="3"/>
      <c r="BB89" s="3"/>
      <c r="BC89" s="3"/>
      <c r="BD89" s="3"/>
      <c r="BE89" s="3"/>
      <c r="BF89" s="3"/>
    </row>
    <row r="90" spans="2:58">
      <c r="C90" s="3"/>
      <c r="D90" s="3"/>
      <c r="E90" s="3"/>
      <c r="F90" s="3"/>
      <c r="G90" s="3"/>
      <c r="H90" s="3"/>
      <c r="I90" s="3"/>
      <c r="J90" s="3"/>
      <c r="K90" s="3"/>
      <c r="L90" s="3"/>
      <c r="AE90" s="3"/>
      <c r="AF90" s="3"/>
      <c r="AG90" s="3"/>
      <c r="AH90" s="3"/>
      <c r="AI90" s="3"/>
      <c r="AJ90" s="3"/>
      <c r="AK90" s="3"/>
      <c r="AL90" s="3"/>
      <c r="AM90" s="3"/>
      <c r="AN90" s="3"/>
      <c r="AO90" s="3"/>
      <c r="AP90" s="3"/>
      <c r="AQ90" s="4"/>
      <c r="AR90" s="4"/>
      <c r="AS90" s="4"/>
      <c r="AT90" s="4"/>
      <c r="AU90" s="4"/>
      <c r="AV90" s="3"/>
      <c r="AW90" s="4"/>
      <c r="AX90" s="3"/>
      <c r="AY90" s="3"/>
      <c r="AZ90" s="3"/>
      <c r="BA90" s="3"/>
      <c r="BB90" s="3"/>
      <c r="BC90" s="3"/>
      <c r="BD90" s="3"/>
      <c r="BE90" s="3"/>
      <c r="BF90" s="3"/>
    </row>
    <row r="91" spans="2:58">
      <c r="C91" s="3"/>
      <c r="D91" s="3"/>
      <c r="E91" s="3"/>
      <c r="F91" s="3"/>
      <c r="G91" s="3"/>
      <c r="H91" s="3"/>
      <c r="I91" s="3"/>
      <c r="J91" s="3"/>
      <c r="K91" s="3"/>
      <c r="L91" s="3"/>
      <c r="AE91" s="3"/>
      <c r="AF91" s="3"/>
      <c r="AG91" s="3"/>
      <c r="AH91" s="3"/>
      <c r="AI91" s="3"/>
      <c r="AJ91" s="3"/>
      <c r="AK91" s="3"/>
      <c r="AL91" s="3"/>
      <c r="AM91" s="3"/>
      <c r="AN91" s="3"/>
      <c r="AO91" s="3"/>
      <c r="AP91" s="3"/>
      <c r="AQ91" s="4"/>
      <c r="AR91" s="4"/>
      <c r="AS91" s="4"/>
      <c r="AT91" s="4"/>
      <c r="AU91" s="4"/>
      <c r="AV91" s="3"/>
      <c r="AW91" s="4"/>
      <c r="AX91" s="3"/>
      <c r="AY91" s="3"/>
      <c r="AZ91" s="3"/>
      <c r="BA91" s="3"/>
      <c r="BB91" s="3"/>
      <c r="BC91" s="3"/>
      <c r="BD91" s="3"/>
      <c r="BE91" s="3"/>
      <c r="BF91" s="3"/>
    </row>
    <row r="92" spans="2:58">
      <c r="C92" s="3"/>
      <c r="D92" s="3"/>
      <c r="E92" s="3"/>
      <c r="F92" s="3"/>
      <c r="G92" s="3"/>
      <c r="H92" s="3"/>
      <c r="I92" s="3"/>
      <c r="J92" s="3"/>
      <c r="K92" s="3"/>
      <c r="L92" s="3"/>
      <c r="AE92" s="3"/>
      <c r="AF92" s="3"/>
      <c r="AG92" s="3"/>
      <c r="AH92" s="3"/>
      <c r="AI92" s="3"/>
      <c r="AJ92" s="3"/>
      <c r="AK92" s="3"/>
      <c r="AL92" s="3"/>
      <c r="AM92" s="3"/>
      <c r="AN92" s="3"/>
      <c r="AO92" s="3"/>
      <c r="AP92" s="3"/>
      <c r="AQ92" s="4"/>
      <c r="AR92" s="4"/>
      <c r="AS92" s="4"/>
      <c r="AT92" s="4"/>
      <c r="AU92" s="4"/>
      <c r="AV92" s="3"/>
      <c r="AW92" s="4"/>
      <c r="AX92" s="3"/>
      <c r="AY92" s="3"/>
      <c r="AZ92" s="3"/>
      <c r="BA92" s="3"/>
      <c r="BB92" s="3"/>
      <c r="BC92" s="3"/>
      <c r="BD92" s="3"/>
      <c r="BE92" s="3"/>
      <c r="BF92" s="3"/>
    </row>
    <row r="93" spans="2:58">
      <c r="C93" s="3"/>
      <c r="D93" s="3"/>
      <c r="E93" s="3"/>
      <c r="F93" s="3"/>
      <c r="G93" s="3"/>
      <c r="H93" s="3"/>
      <c r="I93" s="3"/>
      <c r="J93" s="3"/>
      <c r="K93" s="3"/>
      <c r="L93" s="3"/>
      <c r="AE93" s="3"/>
      <c r="AF93" s="3"/>
      <c r="AG93" s="3"/>
      <c r="AH93" s="3"/>
      <c r="AI93" s="3"/>
      <c r="AJ93" s="3"/>
      <c r="AK93" s="3"/>
      <c r="AL93" s="3"/>
      <c r="AM93" s="3"/>
      <c r="AN93" s="3"/>
      <c r="AO93" s="3"/>
      <c r="AP93" s="3"/>
      <c r="AQ93" s="4"/>
      <c r="AR93" s="4"/>
      <c r="AS93" s="4"/>
      <c r="AT93" s="4"/>
      <c r="AU93" s="4"/>
      <c r="AV93" s="3"/>
      <c r="AW93" s="4"/>
      <c r="AX93" s="3"/>
      <c r="AY93" s="3"/>
      <c r="AZ93" s="3"/>
      <c r="BA93" s="3"/>
      <c r="BB93" s="3"/>
      <c r="BC93" s="3"/>
      <c r="BD93" s="3"/>
      <c r="BE93" s="3"/>
      <c r="BF93" s="3"/>
    </row>
    <row r="94" spans="2:58">
      <c r="C94" s="3"/>
      <c r="D94" s="3"/>
      <c r="E94" s="3"/>
      <c r="F94" s="3"/>
      <c r="G94" s="3"/>
      <c r="H94" s="3"/>
      <c r="I94" s="3"/>
      <c r="J94" s="3"/>
      <c r="K94" s="3"/>
      <c r="L94" s="3"/>
      <c r="AE94" s="3"/>
      <c r="AF94" s="3"/>
      <c r="AG94" s="3"/>
      <c r="AH94" s="3"/>
      <c r="AI94" s="3"/>
      <c r="AJ94" s="3"/>
      <c r="AK94" s="3"/>
      <c r="AL94" s="3"/>
      <c r="AM94" s="3"/>
      <c r="AN94" s="3"/>
      <c r="AO94" s="3"/>
      <c r="AP94" s="3"/>
      <c r="AQ94" s="4"/>
      <c r="AR94" s="4"/>
      <c r="AS94" s="4"/>
      <c r="AT94" s="4"/>
      <c r="AU94" s="4"/>
      <c r="AV94" s="3"/>
      <c r="AW94" s="4"/>
      <c r="AX94" s="3"/>
      <c r="AY94" s="3"/>
      <c r="AZ94" s="3"/>
      <c r="BA94" s="3"/>
      <c r="BB94" s="3"/>
      <c r="BC94" s="3"/>
      <c r="BD94" s="3"/>
      <c r="BE94" s="3"/>
      <c r="BF94" s="3"/>
    </row>
    <row r="95" spans="2:58">
      <c r="C95" s="3"/>
      <c r="D95" s="3"/>
      <c r="E95" s="3"/>
      <c r="F95" s="3"/>
      <c r="G95" s="3"/>
      <c r="H95" s="3"/>
      <c r="I95" s="3"/>
      <c r="J95" s="3"/>
      <c r="K95" s="3"/>
      <c r="L95" s="3"/>
      <c r="AE95" s="3"/>
      <c r="AF95" s="3"/>
      <c r="AG95" s="3"/>
      <c r="AH95" s="3"/>
      <c r="AI95" s="3"/>
      <c r="AJ95" s="3"/>
      <c r="AK95" s="3"/>
      <c r="AL95" s="3"/>
      <c r="AM95" s="3"/>
      <c r="AN95" s="3"/>
      <c r="AO95" s="3"/>
      <c r="AP95" s="3"/>
      <c r="AQ95" s="4"/>
      <c r="AR95" s="4"/>
      <c r="AS95" s="4"/>
      <c r="AT95" s="4"/>
      <c r="AU95" s="4"/>
      <c r="AV95" s="3"/>
      <c r="AW95" s="4"/>
      <c r="AX95" s="3"/>
      <c r="AY95" s="3"/>
      <c r="AZ95" s="3"/>
      <c r="BA95" s="3"/>
      <c r="BB95" s="3"/>
      <c r="BC95" s="3"/>
      <c r="BD95" s="3"/>
      <c r="BE95" s="3"/>
      <c r="BF95" s="3"/>
    </row>
    <row r="96" spans="2:58">
      <c r="C96" s="3"/>
      <c r="D96" s="3"/>
      <c r="E96" s="3"/>
      <c r="F96" s="3"/>
      <c r="G96" s="3"/>
      <c r="H96" s="3"/>
      <c r="I96" s="3"/>
      <c r="J96" s="3"/>
      <c r="K96" s="3"/>
      <c r="L96" s="3"/>
      <c r="AE96" s="3"/>
      <c r="AF96" s="3"/>
      <c r="AG96" s="3"/>
      <c r="AH96" s="3"/>
      <c r="AI96" s="3"/>
      <c r="AJ96" s="3"/>
      <c r="AK96" s="3"/>
      <c r="AL96" s="3"/>
      <c r="AM96" s="3"/>
      <c r="AN96" s="3"/>
      <c r="AO96" s="3"/>
      <c r="AP96" s="3"/>
      <c r="AQ96" s="4"/>
      <c r="AR96" s="4"/>
      <c r="AS96" s="4"/>
      <c r="AT96" s="4"/>
      <c r="AU96" s="4"/>
      <c r="AV96" s="3"/>
      <c r="AW96" s="4"/>
      <c r="AX96" s="3"/>
      <c r="AY96" s="3"/>
      <c r="AZ96" s="3"/>
      <c r="BA96" s="3"/>
      <c r="BB96" s="3"/>
      <c r="BC96" s="3"/>
      <c r="BD96" s="3"/>
      <c r="BE96" s="3"/>
      <c r="BF96" s="3"/>
    </row>
    <row r="97" spans="3:58">
      <c r="C97" s="3"/>
      <c r="D97" s="3"/>
      <c r="E97" s="3"/>
      <c r="F97" s="3"/>
      <c r="G97" s="3"/>
      <c r="H97" s="3"/>
      <c r="I97" s="3"/>
      <c r="J97" s="3"/>
      <c r="K97" s="3"/>
      <c r="L97" s="3"/>
      <c r="AE97" s="3"/>
      <c r="AF97" s="3"/>
      <c r="AG97" s="3"/>
      <c r="AH97" s="3"/>
      <c r="AI97" s="3"/>
      <c r="AJ97" s="3"/>
      <c r="AK97" s="3"/>
      <c r="AL97" s="3"/>
      <c r="AM97" s="3"/>
      <c r="AN97" s="3"/>
      <c r="AO97" s="3"/>
      <c r="AP97" s="3"/>
      <c r="AQ97" s="4"/>
      <c r="AR97" s="4"/>
      <c r="AS97" s="4"/>
      <c r="AT97" s="4"/>
      <c r="AU97" s="4"/>
      <c r="AV97" s="3"/>
      <c r="AW97" s="4"/>
      <c r="AX97" s="3"/>
      <c r="AY97" s="3"/>
      <c r="AZ97" s="3"/>
      <c r="BA97" s="3"/>
      <c r="BB97" s="3"/>
      <c r="BC97" s="3"/>
      <c r="BD97" s="3"/>
      <c r="BE97" s="3"/>
      <c r="BF97" s="3"/>
    </row>
    <row r="98" spans="3:58">
      <c r="C98" s="3"/>
      <c r="D98" s="3"/>
      <c r="E98" s="3"/>
      <c r="F98" s="3"/>
      <c r="G98" s="3"/>
      <c r="H98" s="3"/>
      <c r="I98" s="3"/>
      <c r="J98" s="3"/>
      <c r="K98" s="3"/>
      <c r="L98" s="3"/>
      <c r="AE98" s="3"/>
      <c r="AF98" s="3"/>
      <c r="AG98" s="3"/>
      <c r="AH98" s="3"/>
      <c r="AI98" s="3"/>
      <c r="AJ98" s="3"/>
      <c r="AK98" s="3"/>
      <c r="AL98" s="3"/>
      <c r="AM98" s="3"/>
      <c r="AN98" s="3"/>
      <c r="AO98" s="3"/>
      <c r="AP98" s="3"/>
      <c r="AQ98" s="4"/>
      <c r="AR98" s="4"/>
      <c r="AS98" s="4"/>
      <c r="AT98" s="4"/>
      <c r="AU98" s="4"/>
      <c r="AV98" s="3"/>
      <c r="AW98" s="4"/>
      <c r="AX98" s="3"/>
      <c r="AY98" s="3"/>
      <c r="AZ98" s="3"/>
      <c r="BA98" s="3"/>
      <c r="BB98" s="3"/>
      <c r="BC98" s="3"/>
      <c r="BD98" s="3"/>
      <c r="BE98" s="3"/>
      <c r="BF98" s="3"/>
    </row>
    <row r="99" spans="3:58">
      <c r="C99" s="3"/>
      <c r="D99" s="3"/>
      <c r="E99" s="3"/>
      <c r="F99" s="3"/>
      <c r="G99" s="3"/>
      <c r="H99" s="3"/>
      <c r="I99" s="3"/>
      <c r="J99" s="3"/>
      <c r="K99" s="3"/>
      <c r="L99" s="3"/>
      <c r="AE99" s="3"/>
      <c r="AF99" s="3"/>
      <c r="AG99" s="3"/>
      <c r="AH99" s="3"/>
      <c r="AI99" s="3"/>
      <c r="AJ99" s="3"/>
      <c r="AK99" s="3"/>
      <c r="AL99" s="3"/>
      <c r="AM99" s="3"/>
      <c r="AN99" s="3"/>
      <c r="AO99" s="3"/>
      <c r="AP99" s="3"/>
      <c r="AQ99" s="4"/>
      <c r="AR99" s="4"/>
      <c r="AS99" s="4"/>
      <c r="AT99" s="4"/>
      <c r="AU99" s="4"/>
      <c r="AV99" s="3"/>
      <c r="AW99" s="4"/>
      <c r="AX99" s="3"/>
      <c r="AY99" s="3"/>
      <c r="AZ99" s="3"/>
      <c r="BA99" s="3"/>
      <c r="BB99" s="3"/>
      <c r="BC99" s="3"/>
      <c r="BD99" s="3"/>
      <c r="BE99" s="3"/>
      <c r="BF99" s="3"/>
    </row>
    <row r="100" spans="3:58">
      <c r="C100" s="3"/>
      <c r="D100" s="3"/>
      <c r="E100" s="3"/>
      <c r="F100" s="3"/>
      <c r="G100" s="3"/>
      <c r="H100" s="3"/>
      <c r="I100" s="3"/>
      <c r="J100" s="3"/>
      <c r="K100" s="3"/>
      <c r="L100" s="3"/>
      <c r="AE100" s="3"/>
      <c r="AF100" s="3"/>
      <c r="AG100" s="3"/>
      <c r="AH100" s="3"/>
      <c r="AI100" s="3"/>
      <c r="AJ100" s="3"/>
      <c r="AK100" s="3"/>
      <c r="AL100" s="3"/>
      <c r="AM100" s="3"/>
      <c r="AN100" s="3"/>
      <c r="AO100" s="3"/>
      <c r="AP100" s="3"/>
      <c r="AQ100" s="4"/>
      <c r="AR100" s="4"/>
      <c r="AS100" s="4"/>
      <c r="AT100" s="4"/>
      <c r="AU100" s="4"/>
      <c r="AV100" s="3"/>
      <c r="AW100" s="4"/>
      <c r="AX100" s="3"/>
      <c r="AY100" s="3"/>
      <c r="AZ100" s="3"/>
      <c r="BA100" s="3"/>
      <c r="BB100" s="3"/>
      <c r="BC100" s="3"/>
      <c r="BD100" s="3"/>
      <c r="BE100" s="3"/>
      <c r="BF100" s="3"/>
    </row>
    <row r="101" spans="3:58">
      <c r="C101" s="3"/>
      <c r="D101" s="3"/>
      <c r="E101" s="3"/>
      <c r="F101" s="3"/>
      <c r="G101" s="3"/>
      <c r="H101" s="3"/>
      <c r="I101" s="3"/>
      <c r="J101" s="3"/>
      <c r="K101" s="3"/>
      <c r="L101" s="3"/>
      <c r="AE101" s="3"/>
      <c r="AF101" s="3"/>
      <c r="AG101" s="3"/>
      <c r="AH101" s="3"/>
      <c r="AI101" s="3"/>
      <c r="AJ101" s="3"/>
      <c r="AK101" s="3"/>
      <c r="AL101" s="3"/>
      <c r="AM101" s="3"/>
      <c r="AN101" s="3"/>
      <c r="AO101" s="3"/>
      <c r="AP101" s="3"/>
      <c r="AQ101" s="4"/>
      <c r="AR101" s="4"/>
      <c r="AS101" s="4"/>
      <c r="AT101" s="4"/>
      <c r="AU101" s="4"/>
      <c r="AV101" s="3"/>
      <c r="AW101" s="4"/>
      <c r="AX101" s="3"/>
      <c r="AY101" s="3"/>
      <c r="AZ101" s="3"/>
      <c r="BA101" s="3"/>
      <c r="BB101" s="3"/>
      <c r="BC101" s="3"/>
      <c r="BD101" s="3"/>
      <c r="BE101" s="3"/>
      <c r="BF101" s="3"/>
    </row>
    <row r="102" spans="3:58">
      <c r="C102" s="3"/>
      <c r="D102" s="3"/>
      <c r="E102" s="3"/>
      <c r="F102" s="3"/>
      <c r="G102" s="3"/>
      <c r="H102" s="3"/>
      <c r="I102" s="3"/>
      <c r="J102" s="3"/>
      <c r="K102" s="3"/>
      <c r="L102" s="3"/>
      <c r="AE102" s="3"/>
      <c r="AF102" s="3"/>
      <c r="AG102" s="3"/>
      <c r="AH102" s="3"/>
      <c r="AI102" s="3"/>
      <c r="AJ102" s="3"/>
      <c r="AK102" s="3"/>
      <c r="AL102" s="3"/>
      <c r="AM102" s="3"/>
      <c r="AN102" s="3"/>
      <c r="AO102" s="3"/>
      <c r="AP102" s="3"/>
      <c r="AQ102" s="4"/>
      <c r="AR102" s="4"/>
      <c r="AS102" s="4"/>
      <c r="AT102" s="4"/>
      <c r="AU102" s="4"/>
      <c r="AV102" s="3"/>
      <c r="AW102" s="4"/>
      <c r="AX102" s="3"/>
      <c r="AY102" s="3"/>
      <c r="AZ102" s="3"/>
      <c r="BA102" s="3"/>
      <c r="BB102" s="3"/>
      <c r="BC102" s="3"/>
      <c r="BD102" s="3"/>
      <c r="BE102" s="3"/>
      <c r="BF102" s="3"/>
    </row>
    <row r="103" spans="3:58">
      <c r="C103" s="3"/>
      <c r="D103" s="3"/>
      <c r="E103" s="3"/>
      <c r="F103" s="3"/>
      <c r="G103" s="3"/>
      <c r="H103" s="3"/>
      <c r="I103" s="3"/>
      <c r="J103" s="3"/>
      <c r="K103" s="3"/>
      <c r="L103" s="3"/>
      <c r="AE103" s="3"/>
      <c r="AF103" s="3"/>
      <c r="AG103" s="3"/>
      <c r="AH103" s="3"/>
      <c r="AI103" s="3"/>
      <c r="AJ103" s="3"/>
      <c r="AK103" s="3"/>
      <c r="AL103" s="3"/>
      <c r="AM103" s="3"/>
      <c r="AN103" s="3"/>
      <c r="AO103" s="3"/>
      <c r="AP103" s="3"/>
      <c r="AQ103" s="4"/>
      <c r="AR103" s="4"/>
      <c r="AS103" s="4"/>
      <c r="AT103" s="4"/>
      <c r="AU103" s="4"/>
      <c r="AV103" s="3"/>
      <c r="AW103" s="4"/>
      <c r="AX103" s="3"/>
      <c r="AY103" s="3"/>
      <c r="AZ103" s="3"/>
      <c r="BA103" s="3"/>
      <c r="BB103" s="3"/>
      <c r="BC103" s="3"/>
      <c r="BD103" s="3"/>
      <c r="BE103" s="3"/>
      <c r="BF103" s="3"/>
    </row>
    <row r="104" spans="3:58">
      <c r="C104" s="3"/>
      <c r="D104" s="3"/>
      <c r="E104" s="3"/>
      <c r="F104" s="3"/>
      <c r="G104" s="3"/>
      <c r="H104" s="3"/>
      <c r="I104" s="3"/>
      <c r="J104" s="3"/>
      <c r="K104" s="3"/>
      <c r="L104" s="3"/>
      <c r="AE104" s="3"/>
      <c r="AF104" s="3"/>
      <c r="AG104" s="3"/>
      <c r="AH104" s="3"/>
      <c r="AI104" s="3"/>
      <c r="AJ104" s="3"/>
      <c r="AK104" s="3"/>
      <c r="AL104" s="3"/>
      <c r="AM104" s="3"/>
      <c r="AN104" s="3"/>
      <c r="AO104" s="3"/>
      <c r="AP104" s="3"/>
      <c r="AQ104" s="4"/>
      <c r="AR104" s="4"/>
      <c r="AS104" s="4"/>
      <c r="AT104" s="4"/>
      <c r="AU104" s="4"/>
      <c r="AV104" s="3"/>
      <c r="AW104" s="4"/>
      <c r="AX104" s="3"/>
      <c r="AY104" s="3"/>
      <c r="AZ104" s="3"/>
      <c r="BA104" s="3"/>
      <c r="BB104" s="3"/>
      <c r="BC104" s="3"/>
      <c r="BD104" s="3"/>
      <c r="BE104" s="3"/>
      <c r="BF104" s="3"/>
    </row>
    <row r="105" spans="3:58">
      <c r="C105" s="3"/>
      <c r="D105" s="3"/>
      <c r="E105" s="3"/>
      <c r="F105" s="3"/>
      <c r="G105" s="3"/>
      <c r="H105" s="3"/>
      <c r="I105" s="3"/>
      <c r="J105" s="3"/>
      <c r="K105" s="3"/>
      <c r="L105" s="3"/>
      <c r="AE105" s="3"/>
      <c r="AF105" s="3"/>
      <c r="AG105" s="3"/>
      <c r="AH105" s="3"/>
      <c r="AI105" s="3"/>
      <c r="AJ105" s="3"/>
      <c r="AK105" s="3"/>
      <c r="AL105" s="3"/>
      <c r="AM105" s="3"/>
      <c r="AN105" s="3"/>
      <c r="AO105" s="3"/>
      <c r="AP105" s="3"/>
      <c r="AQ105" s="4"/>
      <c r="AR105" s="4"/>
      <c r="AS105" s="4"/>
      <c r="AT105" s="4"/>
      <c r="AU105" s="4"/>
      <c r="AV105" s="3"/>
      <c r="AW105" s="4"/>
      <c r="AX105" s="3"/>
      <c r="AY105" s="3"/>
      <c r="AZ105" s="3"/>
      <c r="BA105" s="3"/>
      <c r="BB105" s="3"/>
      <c r="BC105" s="3"/>
      <c r="BD105" s="3"/>
      <c r="BE105" s="3"/>
      <c r="BF105" s="3"/>
    </row>
    <row r="106" spans="3:58">
      <c r="C106" s="3"/>
      <c r="D106" s="3"/>
      <c r="E106" s="3"/>
      <c r="F106" s="3"/>
      <c r="G106" s="3"/>
      <c r="H106" s="3"/>
      <c r="I106" s="3"/>
      <c r="J106" s="3"/>
      <c r="K106" s="3"/>
      <c r="L106" s="3"/>
      <c r="AE106" s="3"/>
      <c r="AF106" s="3"/>
      <c r="AG106" s="3"/>
      <c r="AH106" s="3"/>
      <c r="AI106" s="3"/>
      <c r="AJ106" s="3"/>
      <c r="AK106" s="3"/>
      <c r="AL106" s="3"/>
      <c r="AM106" s="3"/>
      <c r="AN106" s="3"/>
      <c r="AO106" s="3"/>
      <c r="AP106" s="3"/>
      <c r="AQ106" s="4"/>
      <c r="AR106" s="4"/>
      <c r="AS106" s="4"/>
      <c r="AT106" s="4"/>
      <c r="AU106" s="4"/>
      <c r="AV106" s="3"/>
      <c r="AW106" s="4"/>
      <c r="AX106" s="3"/>
      <c r="AY106" s="3"/>
      <c r="AZ106" s="3"/>
      <c r="BA106" s="3"/>
      <c r="BB106" s="3"/>
      <c r="BC106" s="3"/>
      <c r="BD106" s="3"/>
      <c r="BE106" s="3"/>
      <c r="BF106" s="3"/>
    </row>
    <row r="107" spans="3:58">
      <c r="C107" s="3"/>
      <c r="D107" s="3"/>
      <c r="E107" s="3"/>
      <c r="F107" s="3"/>
      <c r="G107" s="3"/>
      <c r="H107" s="3"/>
      <c r="I107" s="3"/>
      <c r="J107" s="3"/>
      <c r="K107" s="3"/>
      <c r="L107" s="3"/>
      <c r="AE107" s="3"/>
      <c r="AF107" s="3"/>
      <c r="AG107" s="3"/>
      <c r="AH107" s="3"/>
      <c r="AI107" s="3"/>
      <c r="AJ107" s="3"/>
      <c r="AK107" s="3"/>
      <c r="AL107" s="3"/>
      <c r="AM107" s="3"/>
      <c r="AN107" s="3"/>
      <c r="AO107" s="3"/>
      <c r="AP107" s="3"/>
      <c r="AQ107" s="4"/>
      <c r="AR107" s="4"/>
      <c r="AS107" s="4"/>
      <c r="AT107" s="4"/>
      <c r="AU107" s="4"/>
      <c r="AV107" s="3"/>
      <c r="AW107" s="4"/>
      <c r="AX107" s="3"/>
      <c r="AY107" s="3"/>
      <c r="AZ107" s="3"/>
      <c r="BA107" s="3"/>
      <c r="BB107" s="3"/>
      <c r="BC107" s="3"/>
      <c r="BD107" s="3"/>
      <c r="BE107" s="3"/>
      <c r="BF107" s="3"/>
    </row>
    <row r="108" spans="3:58">
      <c r="C108" s="3"/>
      <c r="D108" s="3"/>
      <c r="E108" s="3"/>
      <c r="F108" s="3"/>
      <c r="G108" s="3"/>
      <c r="H108" s="3"/>
      <c r="I108" s="3"/>
      <c r="J108" s="3"/>
      <c r="K108" s="3"/>
      <c r="L108" s="3"/>
      <c r="AE108" s="3"/>
      <c r="AF108" s="3"/>
      <c r="AG108" s="3"/>
      <c r="AH108" s="3"/>
      <c r="AI108" s="3"/>
      <c r="AJ108" s="3"/>
      <c r="AK108" s="3"/>
      <c r="AL108" s="3"/>
      <c r="AM108" s="3"/>
      <c r="AN108" s="3"/>
      <c r="AO108" s="3"/>
      <c r="AP108" s="3"/>
      <c r="AQ108" s="4"/>
      <c r="AR108" s="4"/>
      <c r="AS108" s="4"/>
      <c r="AT108" s="4"/>
      <c r="AU108" s="4"/>
      <c r="AV108" s="3"/>
      <c r="AW108" s="4"/>
      <c r="AX108" s="3"/>
      <c r="AY108" s="3"/>
      <c r="AZ108" s="3"/>
      <c r="BA108" s="3"/>
      <c r="BB108" s="3"/>
      <c r="BC108" s="3"/>
      <c r="BD108" s="3"/>
      <c r="BE108" s="3"/>
      <c r="BF108" s="3"/>
    </row>
    <row r="109" spans="3:58">
      <c r="C109" s="3"/>
      <c r="D109" s="3"/>
      <c r="E109" s="3"/>
      <c r="F109" s="3"/>
      <c r="G109" s="3"/>
      <c r="H109" s="3"/>
      <c r="I109" s="3"/>
      <c r="J109" s="3"/>
      <c r="K109" s="3"/>
      <c r="L109" s="3"/>
      <c r="AE109" s="3"/>
      <c r="AF109" s="3"/>
      <c r="AG109" s="3"/>
      <c r="AH109" s="3"/>
      <c r="AI109" s="3"/>
      <c r="AJ109" s="3"/>
      <c r="AK109" s="3"/>
      <c r="AL109" s="3"/>
      <c r="AM109" s="3"/>
      <c r="AN109" s="3"/>
      <c r="AO109" s="3"/>
      <c r="AP109" s="3"/>
      <c r="AQ109" s="4"/>
      <c r="AR109" s="4"/>
      <c r="AS109" s="4"/>
      <c r="AT109" s="4"/>
      <c r="AU109" s="4"/>
      <c r="AV109" s="3"/>
      <c r="AW109" s="4"/>
      <c r="AX109" s="3"/>
      <c r="AY109" s="3"/>
      <c r="AZ109" s="3"/>
      <c r="BA109" s="3"/>
      <c r="BB109" s="3"/>
      <c r="BC109" s="3"/>
      <c r="BD109" s="3"/>
      <c r="BE109" s="3"/>
      <c r="BF109" s="3"/>
    </row>
    <row r="110" spans="3:58">
      <c r="C110" s="3"/>
      <c r="D110" s="3"/>
      <c r="E110" s="3"/>
      <c r="F110" s="3"/>
      <c r="G110" s="3"/>
      <c r="H110" s="3"/>
      <c r="I110" s="3"/>
      <c r="J110" s="3"/>
      <c r="K110" s="3"/>
      <c r="L110" s="3"/>
      <c r="AE110" s="3"/>
      <c r="AF110" s="3"/>
      <c r="AG110" s="3"/>
      <c r="AH110" s="3"/>
      <c r="AI110" s="3"/>
      <c r="AJ110" s="3"/>
      <c r="AK110" s="3"/>
      <c r="AL110" s="3"/>
      <c r="AM110" s="3"/>
      <c r="AN110" s="3"/>
      <c r="AO110" s="3"/>
      <c r="AP110" s="3"/>
      <c r="AQ110" s="4"/>
      <c r="AR110" s="4"/>
      <c r="AS110" s="4"/>
      <c r="AT110" s="4"/>
      <c r="AU110" s="4"/>
      <c r="AV110" s="3"/>
      <c r="AW110" s="4"/>
      <c r="AX110" s="3"/>
      <c r="AY110" s="3"/>
      <c r="AZ110" s="3"/>
      <c r="BA110" s="3"/>
      <c r="BB110" s="3"/>
      <c r="BC110" s="3"/>
      <c r="BD110" s="3"/>
      <c r="BE110" s="3"/>
      <c r="BF110" s="3"/>
    </row>
    <row r="111" spans="3:58">
      <c r="C111" s="3"/>
      <c r="D111" s="3"/>
      <c r="E111" s="3"/>
      <c r="F111" s="3"/>
      <c r="G111" s="3"/>
      <c r="H111" s="3"/>
      <c r="I111" s="3"/>
      <c r="J111" s="3"/>
      <c r="K111" s="3"/>
      <c r="L111" s="3"/>
      <c r="AE111" s="3"/>
      <c r="AF111" s="3"/>
      <c r="AG111" s="3"/>
      <c r="AH111" s="3"/>
      <c r="AI111" s="3"/>
      <c r="AJ111" s="3"/>
      <c r="AK111" s="3"/>
      <c r="AL111" s="3"/>
      <c r="AM111" s="3"/>
      <c r="AN111" s="3"/>
      <c r="AO111" s="3"/>
      <c r="AP111" s="3"/>
      <c r="AQ111" s="4"/>
      <c r="AR111" s="4"/>
      <c r="AS111" s="4"/>
      <c r="AT111" s="4"/>
      <c r="AU111" s="4"/>
      <c r="AV111" s="3"/>
      <c r="AW111" s="4"/>
      <c r="AX111" s="3"/>
      <c r="AY111" s="3"/>
      <c r="AZ111" s="3"/>
      <c r="BA111" s="3"/>
      <c r="BB111" s="3"/>
      <c r="BC111" s="3"/>
      <c r="BD111" s="3"/>
      <c r="BE111" s="3"/>
      <c r="BF111" s="3"/>
    </row>
    <row r="112" spans="3:58">
      <c r="C112" s="3"/>
      <c r="D112" s="3"/>
      <c r="E112" s="3"/>
      <c r="F112" s="3"/>
      <c r="G112" s="3"/>
      <c r="H112" s="3"/>
      <c r="I112" s="3"/>
      <c r="J112" s="3"/>
      <c r="K112" s="3"/>
      <c r="L112" s="3"/>
      <c r="AE112" s="3"/>
      <c r="AF112" s="3"/>
      <c r="AG112" s="3"/>
      <c r="AH112" s="3"/>
      <c r="AI112" s="3"/>
      <c r="AJ112" s="3"/>
      <c r="AK112" s="3"/>
      <c r="AL112" s="3"/>
      <c r="AM112" s="3"/>
      <c r="AN112" s="3"/>
      <c r="AO112" s="3"/>
      <c r="AP112" s="3"/>
      <c r="AQ112" s="4"/>
      <c r="AR112" s="4"/>
      <c r="AS112" s="4"/>
      <c r="AT112" s="4"/>
      <c r="AU112" s="4"/>
      <c r="AV112" s="3"/>
      <c r="AW112" s="4"/>
      <c r="AX112" s="3"/>
      <c r="AY112" s="3"/>
      <c r="AZ112" s="3"/>
      <c r="BA112" s="3"/>
      <c r="BB112" s="3"/>
      <c r="BC112" s="3"/>
      <c r="BD112" s="3"/>
      <c r="BE112" s="3"/>
      <c r="BF112" s="3"/>
    </row>
    <row r="113" spans="3:58">
      <c r="C113" s="3"/>
      <c r="D113" s="3"/>
      <c r="E113" s="3"/>
      <c r="F113" s="3"/>
      <c r="G113" s="3"/>
      <c r="H113" s="3"/>
      <c r="I113" s="3"/>
      <c r="J113" s="3"/>
      <c r="K113" s="3"/>
      <c r="L113" s="3"/>
      <c r="AE113" s="3"/>
      <c r="AF113" s="3"/>
      <c r="AG113" s="3"/>
      <c r="AH113" s="3"/>
      <c r="AI113" s="3"/>
      <c r="AJ113" s="3"/>
      <c r="AK113" s="3"/>
      <c r="AL113" s="3"/>
      <c r="AM113" s="3"/>
      <c r="AN113" s="3"/>
      <c r="AO113" s="3"/>
      <c r="AP113" s="3"/>
      <c r="AQ113" s="4"/>
      <c r="AR113" s="4"/>
      <c r="AS113" s="4"/>
      <c r="AT113" s="4"/>
      <c r="AU113" s="4"/>
      <c r="AV113" s="3"/>
      <c r="AW113" s="4"/>
      <c r="AX113" s="3"/>
      <c r="AY113" s="3"/>
      <c r="AZ113" s="3"/>
      <c r="BA113" s="3"/>
      <c r="BB113" s="3"/>
      <c r="BC113" s="3"/>
      <c r="BD113" s="3"/>
      <c r="BE113" s="3"/>
      <c r="BF113" s="3"/>
    </row>
    <row r="114" spans="3:58">
      <c r="C114" s="3"/>
      <c r="D114" s="3"/>
      <c r="E114" s="3"/>
      <c r="F114" s="3"/>
      <c r="G114" s="3"/>
      <c r="H114" s="3"/>
      <c r="I114" s="3"/>
      <c r="J114" s="3"/>
      <c r="K114" s="3"/>
      <c r="L114" s="3"/>
      <c r="AE114" s="3"/>
      <c r="AF114" s="3"/>
      <c r="AG114" s="3"/>
      <c r="AH114" s="3"/>
      <c r="AI114" s="3"/>
      <c r="AJ114" s="3"/>
      <c r="AK114" s="3"/>
      <c r="AL114" s="3"/>
      <c r="AM114" s="3"/>
      <c r="AN114" s="3"/>
      <c r="AO114" s="3"/>
      <c r="AP114" s="3"/>
      <c r="AQ114" s="4"/>
      <c r="AR114" s="4"/>
      <c r="AS114" s="4"/>
      <c r="AT114" s="4"/>
      <c r="AU114" s="4"/>
      <c r="AV114" s="3"/>
      <c r="AW114" s="4"/>
      <c r="AX114" s="3"/>
      <c r="AY114" s="3"/>
      <c r="AZ114" s="3"/>
      <c r="BA114" s="3"/>
      <c r="BB114" s="3"/>
      <c r="BC114" s="3"/>
      <c r="BD114" s="3"/>
      <c r="BE114" s="3"/>
      <c r="BF114" s="3"/>
    </row>
    <row r="115" spans="3:58">
      <c r="C115" s="3"/>
      <c r="D115" s="3"/>
      <c r="E115" s="3"/>
      <c r="F115" s="3"/>
      <c r="G115" s="3"/>
      <c r="H115" s="3"/>
      <c r="I115" s="3"/>
      <c r="J115" s="3"/>
      <c r="K115" s="3"/>
      <c r="L115" s="3"/>
      <c r="AE115" s="3"/>
      <c r="AF115" s="3"/>
      <c r="AG115" s="3"/>
      <c r="AH115" s="3"/>
      <c r="AI115" s="3"/>
      <c r="AJ115" s="3"/>
      <c r="AK115" s="3"/>
      <c r="AL115" s="3"/>
      <c r="AM115" s="3"/>
      <c r="AN115" s="3"/>
      <c r="AO115" s="3"/>
      <c r="AP115" s="3"/>
      <c r="AQ115" s="4"/>
      <c r="AR115" s="4"/>
      <c r="AS115" s="4"/>
      <c r="AT115" s="4"/>
      <c r="AU115" s="4"/>
      <c r="AV115" s="3"/>
      <c r="AW115" s="4"/>
      <c r="AX115" s="3"/>
      <c r="AY115" s="3"/>
      <c r="AZ115" s="3"/>
      <c r="BA115" s="3"/>
      <c r="BB115" s="3"/>
      <c r="BC115" s="3"/>
      <c r="BD115" s="3"/>
      <c r="BE115" s="3"/>
      <c r="BF115" s="3"/>
    </row>
    <row r="116" spans="3:58">
      <c r="C116" s="3"/>
      <c r="D116" s="3"/>
      <c r="E116" s="3"/>
      <c r="F116" s="3"/>
      <c r="G116" s="3"/>
      <c r="H116" s="3"/>
      <c r="I116" s="3"/>
      <c r="J116" s="3"/>
      <c r="K116" s="3"/>
      <c r="L116" s="3"/>
      <c r="AE116" s="3"/>
      <c r="AF116" s="3"/>
      <c r="AG116" s="3"/>
      <c r="AH116" s="3"/>
      <c r="AI116" s="3"/>
      <c r="AJ116" s="3"/>
      <c r="AK116" s="3"/>
      <c r="AL116" s="3"/>
      <c r="AM116" s="3"/>
      <c r="AN116" s="3"/>
      <c r="AO116" s="3"/>
      <c r="AP116" s="3"/>
      <c r="AQ116" s="4"/>
      <c r="AR116" s="4"/>
      <c r="AS116" s="4"/>
      <c r="AT116" s="4"/>
      <c r="AU116" s="4"/>
      <c r="AV116" s="3"/>
      <c r="AW116" s="4"/>
      <c r="AX116" s="3"/>
      <c r="AY116" s="3"/>
      <c r="AZ116" s="3"/>
      <c r="BA116" s="3"/>
      <c r="BB116" s="3"/>
      <c r="BC116" s="3"/>
      <c r="BD116" s="3"/>
      <c r="BE116" s="3"/>
      <c r="BF116" s="3"/>
    </row>
    <row r="117" spans="3:58">
      <c r="C117" s="3"/>
      <c r="D117" s="3"/>
      <c r="E117" s="3"/>
      <c r="F117" s="3"/>
      <c r="G117" s="3"/>
      <c r="H117" s="3"/>
      <c r="I117" s="3"/>
      <c r="J117" s="3"/>
      <c r="K117" s="3"/>
      <c r="L117" s="3"/>
      <c r="AE117" s="3"/>
      <c r="AF117" s="3"/>
      <c r="AG117" s="3"/>
      <c r="AH117" s="3"/>
      <c r="AI117" s="3"/>
      <c r="AJ117" s="3"/>
      <c r="AK117" s="3"/>
      <c r="AL117" s="3"/>
      <c r="AM117" s="3"/>
      <c r="AN117" s="3"/>
      <c r="AO117" s="3"/>
      <c r="AP117" s="3"/>
      <c r="AQ117" s="4"/>
      <c r="AR117" s="4"/>
      <c r="AS117" s="4"/>
      <c r="AT117" s="4"/>
      <c r="AU117" s="4"/>
      <c r="AV117" s="3"/>
      <c r="AW117" s="4"/>
      <c r="AX117" s="3"/>
      <c r="AY117" s="3"/>
      <c r="AZ117" s="3"/>
      <c r="BA117" s="3"/>
      <c r="BB117" s="3"/>
      <c r="BC117" s="3"/>
      <c r="BD117" s="3"/>
      <c r="BE117" s="3"/>
      <c r="BF117" s="3"/>
    </row>
    <row r="118" spans="3:58">
      <c r="C118" s="3"/>
      <c r="D118" s="3"/>
      <c r="E118" s="3"/>
      <c r="F118" s="3"/>
      <c r="G118" s="3"/>
      <c r="H118" s="3"/>
      <c r="I118" s="3"/>
      <c r="J118" s="3"/>
      <c r="K118" s="3"/>
      <c r="L118" s="3"/>
      <c r="AE118" s="3"/>
      <c r="AF118" s="3"/>
      <c r="AG118" s="3"/>
      <c r="AH118" s="3"/>
      <c r="AI118" s="3"/>
      <c r="AJ118" s="3"/>
      <c r="AK118" s="3"/>
      <c r="AL118" s="3"/>
      <c r="AM118" s="3"/>
      <c r="AN118" s="3"/>
      <c r="AO118" s="3"/>
      <c r="AP118" s="3"/>
      <c r="AQ118" s="4"/>
      <c r="AR118" s="4"/>
      <c r="AS118" s="4"/>
      <c r="AT118" s="4"/>
      <c r="AU118" s="4"/>
      <c r="AV118" s="3"/>
      <c r="AW118" s="4"/>
      <c r="AX118" s="3"/>
      <c r="AY118" s="3"/>
      <c r="AZ118" s="3"/>
      <c r="BA118" s="3"/>
      <c r="BB118" s="3"/>
      <c r="BC118" s="3"/>
      <c r="BD118" s="3"/>
      <c r="BE118" s="3"/>
      <c r="BF118" s="3"/>
    </row>
    <row r="119" spans="3:58">
      <c r="C119" s="3"/>
      <c r="D119" s="3"/>
      <c r="E119" s="3"/>
      <c r="F119" s="3"/>
      <c r="G119" s="3"/>
      <c r="H119" s="3"/>
      <c r="I119" s="3"/>
      <c r="J119" s="3"/>
      <c r="K119" s="3"/>
      <c r="L119" s="3"/>
      <c r="AE119" s="3"/>
      <c r="AF119" s="3"/>
      <c r="AG119" s="3"/>
      <c r="AH119" s="3"/>
      <c r="AI119" s="3"/>
      <c r="AJ119" s="3"/>
      <c r="AK119" s="3"/>
      <c r="AL119" s="3"/>
      <c r="AM119" s="3"/>
      <c r="AN119" s="3"/>
      <c r="AO119" s="3"/>
      <c r="AP119" s="3"/>
      <c r="AQ119" s="4"/>
      <c r="AR119" s="4"/>
      <c r="AS119" s="4"/>
      <c r="AT119" s="4"/>
      <c r="AU119" s="4"/>
      <c r="AV119" s="3"/>
      <c r="AW119" s="4"/>
      <c r="AX119" s="3"/>
      <c r="AY119" s="3"/>
      <c r="AZ119" s="3"/>
      <c r="BA119" s="3"/>
      <c r="BB119" s="3"/>
      <c r="BC119" s="3"/>
      <c r="BD119" s="3"/>
      <c r="BE119" s="3"/>
      <c r="BF119" s="3"/>
    </row>
    <row r="120" spans="3:58">
      <c r="C120" s="3"/>
      <c r="D120" s="3"/>
      <c r="E120" s="3"/>
      <c r="F120" s="3"/>
      <c r="G120" s="3"/>
      <c r="H120" s="3"/>
      <c r="I120" s="3"/>
      <c r="J120" s="3"/>
      <c r="K120" s="3"/>
      <c r="L120" s="3"/>
      <c r="AE120" s="3"/>
      <c r="AF120" s="3"/>
      <c r="AG120" s="3"/>
      <c r="AH120" s="3"/>
      <c r="AI120" s="3"/>
      <c r="AJ120" s="3"/>
      <c r="AK120" s="3"/>
      <c r="AL120" s="3"/>
      <c r="AM120" s="3"/>
      <c r="AN120" s="3"/>
      <c r="AO120" s="3"/>
      <c r="AP120" s="3"/>
      <c r="AQ120" s="4"/>
      <c r="AR120" s="4"/>
      <c r="AS120" s="4"/>
      <c r="AT120" s="4"/>
      <c r="AU120" s="4"/>
      <c r="AV120" s="3"/>
      <c r="AW120" s="4"/>
      <c r="AX120" s="3"/>
      <c r="AY120" s="3"/>
      <c r="AZ120" s="3"/>
      <c r="BA120" s="3"/>
      <c r="BB120" s="3"/>
      <c r="BC120" s="3"/>
      <c r="BD120" s="3"/>
      <c r="BE120" s="3"/>
      <c r="BF120" s="3"/>
    </row>
    <row r="121" spans="3:58">
      <c r="C121" s="3"/>
      <c r="D121" s="3"/>
      <c r="E121" s="3"/>
      <c r="F121" s="3"/>
      <c r="G121" s="3"/>
      <c r="H121" s="3"/>
      <c r="I121" s="3"/>
      <c r="J121" s="3"/>
      <c r="K121" s="3"/>
      <c r="L121" s="3"/>
      <c r="AE121" s="3"/>
      <c r="AF121" s="3"/>
      <c r="AG121" s="3"/>
      <c r="AH121" s="3"/>
      <c r="AI121" s="3"/>
      <c r="AJ121" s="3"/>
      <c r="AK121" s="3"/>
      <c r="AL121" s="3"/>
      <c r="AM121" s="3"/>
      <c r="AN121" s="3"/>
      <c r="AO121" s="3"/>
      <c r="AP121" s="3"/>
      <c r="AQ121" s="4"/>
      <c r="AR121" s="4"/>
      <c r="AS121" s="4"/>
      <c r="AT121" s="4"/>
      <c r="AU121" s="4"/>
      <c r="AV121" s="3"/>
      <c r="AW121" s="4"/>
      <c r="AX121" s="3"/>
      <c r="AY121" s="3"/>
      <c r="AZ121" s="3"/>
      <c r="BA121" s="3"/>
      <c r="BB121" s="3"/>
      <c r="BC121" s="3"/>
      <c r="BD121" s="3"/>
      <c r="BE121" s="3"/>
      <c r="BF121" s="3"/>
    </row>
    <row r="122" spans="3:58">
      <c r="C122" s="3"/>
      <c r="D122" s="3"/>
      <c r="E122" s="3"/>
      <c r="F122" s="3"/>
      <c r="G122" s="3"/>
      <c r="H122" s="3"/>
      <c r="I122" s="3"/>
      <c r="J122" s="3"/>
      <c r="K122" s="3"/>
      <c r="L122" s="3"/>
      <c r="AE122" s="3"/>
      <c r="AF122" s="3"/>
      <c r="AG122" s="3"/>
      <c r="AH122" s="3"/>
      <c r="AI122" s="3"/>
      <c r="AJ122" s="3"/>
      <c r="AK122" s="3"/>
      <c r="AL122" s="3"/>
      <c r="AM122" s="3"/>
      <c r="AN122" s="3"/>
      <c r="AO122" s="3"/>
      <c r="AP122" s="3"/>
      <c r="AQ122" s="4"/>
      <c r="AR122" s="4"/>
      <c r="AS122" s="4"/>
      <c r="AT122" s="4"/>
      <c r="AU122" s="4"/>
      <c r="AV122" s="3"/>
      <c r="AW122" s="4"/>
      <c r="AX122" s="3"/>
      <c r="AY122" s="3"/>
      <c r="AZ122" s="3"/>
      <c r="BA122" s="3"/>
      <c r="BB122" s="3"/>
      <c r="BC122" s="3"/>
      <c r="BD122" s="3"/>
      <c r="BE122" s="3"/>
      <c r="BF122" s="3"/>
    </row>
    <row r="123" spans="3:58">
      <c r="C123" s="3"/>
      <c r="D123" s="3"/>
      <c r="E123" s="3"/>
      <c r="F123" s="3"/>
      <c r="G123" s="3"/>
      <c r="H123" s="3"/>
      <c r="I123" s="3"/>
      <c r="J123" s="3"/>
      <c r="K123" s="3"/>
      <c r="L123" s="3"/>
      <c r="AE123" s="3"/>
      <c r="AF123" s="3"/>
      <c r="AG123" s="3"/>
      <c r="AH123" s="3"/>
      <c r="AI123" s="3"/>
      <c r="AJ123" s="3"/>
      <c r="AK123" s="3"/>
      <c r="AL123" s="3"/>
      <c r="AM123" s="3"/>
      <c r="AN123" s="3"/>
      <c r="AO123" s="3"/>
      <c r="AP123" s="3"/>
      <c r="AQ123" s="4"/>
      <c r="AR123" s="4"/>
      <c r="AS123" s="4"/>
      <c r="AT123" s="4"/>
      <c r="AU123" s="4"/>
      <c r="AV123" s="3"/>
      <c r="AW123" s="4"/>
      <c r="AX123" s="3"/>
      <c r="AY123" s="3"/>
      <c r="AZ123" s="3"/>
      <c r="BA123" s="3"/>
      <c r="BB123" s="3"/>
      <c r="BC123" s="3"/>
      <c r="BD123" s="3"/>
      <c r="BE123" s="3"/>
      <c r="BF123" s="3"/>
    </row>
    <row r="124" spans="3:58">
      <c r="C124" s="3"/>
      <c r="D124" s="3"/>
      <c r="E124" s="3"/>
      <c r="F124" s="3"/>
      <c r="G124" s="3"/>
      <c r="H124" s="3"/>
      <c r="I124" s="3"/>
      <c r="J124" s="3"/>
      <c r="K124" s="3"/>
      <c r="L124" s="3"/>
      <c r="AE124" s="3"/>
      <c r="AF124" s="3"/>
      <c r="AG124" s="3"/>
      <c r="AH124" s="3"/>
      <c r="AI124" s="3"/>
      <c r="AJ124" s="3"/>
      <c r="AK124" s="3"/>
      <c r="AL124" s="3"/>
      <c r="AM124" s="3"/>
      <c r="AN124" s="3"/>
      <c r="AO124" s="3"/>
      <c r="AP124" s="3"/>
      <c r="AQ124" s="4"/>
      <c r="AR124" s="4"/>
      <c r="AS124" s="4"/>
      <c r="AT124" s="4"/>
      <c r="AU124" s="4"/>
      <c r="AV124" s="3"/>
      <c r="AW124" s="4"/>
      <c r="AX124" s="3"/>
      <c r="AY124" s="3"/>
      <c r="AZ124" s="3"/>
      <c r="BA124" s="3"/>
      <c r="BB124" s="3"/>
      <c r="BC124" s="3"/>
      <c r="BD124" s="3"/>
      <c r="BE124" s="3"/>
      <c r="BF124" s="3"/>
    </row>
    <row r="125" spans="3:58">
      <c r="C125" s="3"/>
      <c r="D125" s="3"/>
      <c r="E125" s="3"/>
      <c r="F125" s="3"/>
      <c r="G125" s="3"/>
      <c r="H125" s="3"/>
      <c r="I125" s="3"/>
      <c r="J125" s="3"/>
      <c r="K125" s="3"/>
      <c r="L125" s="3"/>
      <c r="AE125" s="3"/>
      <c r="AF125" s="3"/>
      <c r="AG125" s="3"/>
      <c r="AH125" s="3"/>
      <c r="AI125" s="3"/>
      <c r="AJ125" s="3"/>
      <c r="AK125" s="3"/>
      <c r="AL125" s="3"/>
      <c r="AM125" s="3"/>
      <c r="AN125" s="3"/>
      <c r="AO125" s="3"/>
      <c r="AP125" s="3"/>
      <c r="AQ125" s="4"/>
      <c r="AR125" s="4"/>
      <c r="AS125" s="4"/>
      <c r="AT125" s="4"/>
      <c r="AU125" s="4"/>
      <c r="AV125" s="3"/>
      <c r="AW125" s="4"/>
      <c r="AX125" s="3"/>
      <c r="AY125" s="3"/>
      <c r="AZ125" s="3"/>
      <c r="BA125" s="3"/>
      <c r="BB125" s="3"/>
      <c r="BC125" s="3"/>
      <c r="BD125" s="3"/>
      <c r="BE125" s="3"/>
      <c r="BF125" s="3"/>
    </row>
    <row r="126" spans="3:58">
      <c r="C126" s="3"/>
      <c r="D126" s="3"/>
      <c r="E126" s="3"/>
      <c r="F126" s="3"/>
      <c r="G126" s="3"/>
      <c r="H126" s="3"/>
      <c r="I126" s="3"/>
      <c r="J126" s="3"/>
      <c r="K126" s="3"/>
      <c r="L126" s="3"/>
      <c r="AE126" s="3"/>
      <c r="AF126" s="3"/>
      <c r="AG126" s="3"/>
      <c r="AH126" s="3"/>
      <c r="AI126" s="3"/>
      <c r="AJ126" s="3"/>
      <c r="AK126" s="3"/>
      <c r="AL126" s="3"/>
      <c r="AM126" s="3"/>
      <c r="AN126" s="3"/>
      <c r="AO126" s="3"/>
      <c r="AP126" s="3"/>
      <c r="AQ126" s="4"/>
      <c r="AR126" s="4"/>
      <c r="AS126" s="4"/>
      <c r="AT126" s="4"/>
      <c r="AU126" s="4"/>
      <c r="AV126" s="3"/>
      <c r="AW126" s="4"/>
      <c r="AX126" s="3"/>
      <c r="AY126" s="3"/>
      <c r="AZ126" s="3"/>
      <c r="BA126" s="3"/>
      <c r="BB126" s="3"/>
      <c r="BC126" s="3"/>
      <c r="BD126" s="3"/>
      <c r="BE126" s="3"/>
      <c r="BF126" s="3"/>
    </row>
    <row r="127" spans="3:58">
      <c r="C127" s="3"/>
      <c r="D127" s="3"/>
      <c r="E127" s="3"/>
      <c r="F127" s="3"/>
      <c r="G127" s="3"/>
      <c r="H127" s="3"/>
      <c r="I127" s="3"/>
      <c r="J127" s="3"/>
      <c r="K127" s="3"/>
      <c r="L127" s="3"/>
      <c r="AE127" s="3"/>
    </row>
    <row r="128" spans="3:58">
      <c r="C128" s="3"/>
      <c r="D128" s="3"/>
      <c r="E128" s="3"/>
      <c r="F128" s="3"/>
      <c r="G128" s="3"/>
      <c r="H128" s="3"/>
      <c r="I128" s="3"/>
      <c r="J128" s="3"/>
      <c r="K128" s="3"/>
      <c r="L128" s="3"/>
      <c r="AE128" s="3"/>
    </row>
    <row r="129" spans="3:31">
      <c r="C129" s="3"/>
      <c r="D129" s="3"/>
      <c r="E129" s="3"/>
      <c r="F129" s="3"/>
      <c r="G129" s="3"/>
      <c r="H129" s="3"/>
      <c r="I129" s="3"/>
      <c r="J129" s="3"/>
      <c r="K129" s="3"/>
      <c r="L129" s="3"/>
      <c r="AE129" s="3"/>
    </row>
    <row r="130" spans="3:31">
      <c r="C130" s="3"/>
      <c r="D130" s="3"/>
      <c r="E130" s="3"/>
      <c r="F130" s="3"/>
      <c r="G130" s="3"/>
      <c r="H130" s="3"/>
      <c r="I130" s="3"/>
      <c r="J130" s="3"/>
      <c r="K130" s="3"/>
      <c r="L130" s="3"/>
      <c r="AE130" s="3"/>
    </row>
    <row r="131" spans="3:31">
      <c r="C131" s="3"/>
      <c r="D131" s="3"/>
      <c r="E131" s="3"/>
      <c r="F131" s="3"/>
      <c r="G131" s="3"/>
      <c r="H131" s="3"/>
      <c r="I131" s="3"/>
      <c r="J131" s="3"/>
      <c r="K131" s="3"/>
      <c r="L131" s="3"/>
      <c r="AE131" s="3"/>
    </row>
    <row r="132" spans="3:31">
      <c r="C132" s="3"/>
      <c r="D132" s="3"/>
      <c r="E132" s="3"/>
      <c r="F132" s="3"/>
      <c r="G132" s="3"/>
      <c r="H132" s="3"/>
      <c r="I132" s="3"/>
      <c r="J132" s="3"/>
      <c r="K132" s="3"/>
      <c r="L132" s="3"/>
      <c r="AE132" s="3"/>
    </row>
    <row r="133" spans="3:31">
      <c r="C133" s="3"/>
      <c r="D133" s="3"/>
      <c r="E133" s="3"/>
      <c r="F133" s="3"/>
      <c r="G133" s="3"/>
      <c r="H133" s="3"/>
      <c r="I133" s="3"/>
      <c r="J133" s="3"/>
      <c r="K133" s="3"/>
      <c r="L133" s="3"/>
      <c r="AE133" s="3"/>
    </row>
    <row r="134" spans="3:31">
      <c r="C134" s="3"/>
      <c r="D134" s="3"/>
      <c r="E134" s="3"/>
      <c r="F134" s="3"/>
      <c r="G134" s="3"/>
      <c r="H134" s="3"/>
      <c r="I134" s="3"/>
      <c r="J134" s="3"/>
      <c r="K134" s="3"/>
      <c r="L134" s="3"/>
      <c r="AE134" s="3"/>
    </row>
    <row r="135" spans="3:31">
      <c r="C135" s="3"/>
      <c r="D135" s="3"/>
      <c r="E135" s="3"/>
      <c r="F135" s="3"/>
      <c r="G135" s="3"/>
      <c r="H135" s="3"/>
      <c r="I135" s="3"/>
      <c r="J135" s="3"/>
      <c r="K135" s="3"/>
      <c r="L135" s="3"/>
      <c r="AE135" s="3"/>
    </row>
    <row r="136" spans="3:31">
      <c r="C136" s="3"/>
      <c r="D136" s="3"/>
      <c r="E136" s="3"/>
      <c r="F136" s="3"/>
      <c r="G136" s="3"/>
      <c r="H136" s="3"/>
      <c r="I136" s="3"/>
      <c r="J136" s="3"/>
      <c r="K136" s="3"/>
      <c r="L136" s="3"/>
      <c r="AE136" s="3"/>
    </row>
    <row r="137" spans="3:31">
      <c r="C137" s="3"/>
      <c r="D137" s="3"/>
      <c r="E137" s="3"/>
      <c r="F137" s="3"/>
      <c r="G137" s="3"/>
      <c r="H137" s="3"/>
      <c r="I137" s="3"/>
      <c r="J137" s="3"/>
      <c r="K137" s="3"/>
      <c r="L137" s="3"/>
      <c r="AE137" s="3"/>
    </row>
    <row r="138" spans="3:31">
      <c r="C138" s="3"/>
      <c r="D138" s="3"/>
      <c r="E138" s="3"/>
      <c r="F138" s="3"/>
      <c r="G138" s="3"/>
      <c r="H138" s="3"/>
      <c r="I138" s="3"/>
      <c r="J138" s="3"/>
      <c r="K138" s="3"/>
      <c r="L138" s="3"/>
      <c r="AE138" s="3"/>
    </row>
    <row r="139" spans="3:31">
      <c r="C139" s="3"/>
      <c r="D139" s="3"/>
      <c r="E139" s="3"/>
      <c r="F139" s="3"/>
      <c r="G139" s="3"/>
      <c r="H139" s="3"/>
      <c r="I139" s="3"/>
      <c r="J139" s="3"/>
      <c r="K139" s="3"/>
      <c r="L139" s="3"/>
      <c r="AE139" s="3"/>
    </row>
    <row r="140" spans="3:31">
      <c r="C140" s="3"/>
      <c r="D140" s="3"/>
      <c r="E140" s="3"/>
      <c r="F140" s="3"/>
      <c r="G140" s="3"/>
      <c r="H140" s="3"/>
      <c r="I140" s="3"/>
      <c r="J140" s="3"/>
      <c r="K140" s="3"/>
      <c r="L140" s="3"/>
      <c r="AE140" s="3"/>
    </row>
    <row r="141" spans="3:31">
      <c r="C141" s="3"/>
      <c r="D141" s="3"/>
      <c r="E141" s="3"/>
      <c r="F141" s="3"/>
      <c r="G141" s="3"/>
      <c r="H141" s="3"/>
      <c r="I141" s="3"/>
      <c r="J141" s="3"/>
      <c r="K141" s="3"/>
      <c r="L141" s="3"/>
      <c r="AE141" s="3"/>
    </row>
    <row r="142" spans="3:31">
      <c r="C142" s="3"/>
      <c r="D142" s="3"/>
      <c r="E142" s="3"/>
      <c r="F142" s="3"/>
      <c r="G142" s="3"/>
      <c r="H142" s="3"/>
      <c r="I142" s="3"/>
      <c r="J142" s="3"/>
      <c r="K142" s="3"/>
      <c r="L142" s="3"/>
      <c r="AE142" s="3"/>
    </row>
    <row r="143" spans="3:31">
      <c r="C143" s="3"/>
      <c r="D143" s="3"/>
      <c r="E143" s="3"/>
      <c r="F143" s="3"/>
      <c r="G143" s="3"/>
      <c r="H143" s="3"/>
      <c r="I143" s="3"/>
      <c r="J143" s="3"/>
      <c r="K143" s="3"/>
      <c r="L143" s="3"/>
      <c r="AE143" s="3"/>
    </row>
    <row r="144" spans="3:31">
      <c r="C144" s="3"/>
      <c r="D144" s="3"/>
      <c r="E144" s="3"/>
      <c r="F144" s="3"/>
      <c r="G144" s="3"/>
      <c r="H144" s="3"/>
      <c r="I144" s="3"/>
      <c r="J144" s="3"/>
      <c r="K144" s="3"/>
      <c r="L144" s="3"/>
      <c r="AE144" s="3"/>
    </row>
    <row r="145" spans="3:31">
      <c r="C145" s="3"/>
      <c r="D145" s="3"/>
      <c r="E145" s="3"/>
      <c r="F145" s="3"/>
      <c r="G145" s="3"/>
      <c r="H145" s="3"/>
      <c r="I145" s="3"/>
      <c r="J145" s="3"/>
      <c r="K145" s="3"/>
      <c r="L145" s="3"/>
      <c r="AE145" s="3"/>
    </row>
    <row r="146" spans="3:31">
      <c r="C146" s="3"/>
      <c r="D146" s="3"/>
      <c r="E146" s="3"/>
      <c r="F146" s="3"/>
      <c r="G146" s="3"/>
      <c r="H146" s="3"/>
      <c r="I146" s="3"/>
      <c r="J146" s="3"/>
      <c r="K146" s="3"/>
      <c r="L146" s="3"/>
      <c r="AE146" s="3"/>
    </row>
    <row r="147" spans="3:31">
      <c r="C147" s="3"/>
      <c r="D147" s="3"/>
      <c r="E147" s="3"/>
      <c r="F147" s="3"/>
      <c r="G147" s="3"/>
      <c r="H147" s="3"/>
      <c r="I147" s="3"/>
      <c r="J147" s="3"/>
      <c r="K147" s="3"/>
      <c r="L147" s="3"/>
      <c r="AE147" s="3"/>
    </row>
    <row r="148" spans="3:31">
      <c r="C148" s="3"/>
      <c r="D148" s="3"/>
      <c r="E148" s="3"/>
      <c r="F148" s="3"/>
      <c r="G148" s="3"/>
      <c r="H148" s="3"/>
      <c r="I148" s="3"/>
      <c r="J148" s="3"/>
      <c r="K148" s="3"/>
      <c r="L148" s="3"/>
      <c r="AE148" s="3"/>
    </row>
    <row r="149" spans="3:31">
      <c r="C149" s="3"/>
      <c r="D149" s="3"/>
      <c r="E149" s="3"/>
      <c r="F149" s="3"/>
      <c r="G149" s="3"/>
      <c r="H149" s="3"/>
      <c r="I149" s="3"/>
      <c r="J149" s="3"/>
      <c r="K149" s="3"/>
      <c r="L149" s="3"/>
      <c r="AE149" s="3"/>
    </row>
    <row r="150" spans="3:31">
      <c r="C150" s="3"/>
      <c r="D150" s="3"/>
      <c r="E150" s="3"/>
      <c r="F150" s="3"/>
      <c r="G150" s="3"/>
      <c r="H150" s="3"/>
      <c r="I150" s="3"/>
      <c r="J150" s="3"/>
      <c r="K150" s="3"/>
      <c r="L150" s="3"/>
      <c r="AE150" s="3"/>
    </row>
    <row r="151" spans="3:31">
      <c r="C151" s="3"/>
      <c r="D151" s="3"/>
      <c r="E151" s="3"/>
      <c r="F151" s="3"/>
      <c r="G151" s="3"/>
      <c r="H151" s="3"/>
      <c r="I151" s="3"/>
      <c r="J151" s="3"/>
      <c r="K151" s="3"/>
      <c r="L151" s="3"/>
      <c r="AE151" s="3"/>
    </row>
    <row r="152" spans="3:31">
      <c r="C152" s="3"/>
      <c r="D152" s="3"/>
      <c r="E152" s="3"/>
      <c r="F152" s="3"/>
      <c r="G152" s="3"/>
      <c r="H152" s="3"/>
      <c r="I152" s="3"/>
      <c r="J152" s="3"/>
      <c r="K152" s="3"/>
      <c r="L152" s="3"/>
    </row>
    <row r="153" spans="3:31">
      <c r="C153" s="3"/>
      <c r="D153" s="3"/>
      <c r="E153" s="3"/>
      <c r="F153" s="3"/>
      <c r="G153" s="3"/>
      <c r="H153" s="3"/>
      <c r="I153" s="3"/>
      <c r="J153" s="3"/>
      <c r="K153" s="3"/>
      <c r="L153" s="3"/>
    </row>
    <row r="154" spans="3:31">
      <c r="C154" s="3"/>
      <c r="D154" s="3"/>
      <c r="E154" s="3"/>
      <c r="F154" s="3"/>
      <c r="G154" s="3"/>
      <c r="H154" s="3"/>
      <c r="I154" s="3"/>
      <c r="J154" s="3"/>
      <c r="K154" s="3"/>
      <c r="L154" s="3"/>
    </row>
    <row r="155" spans="3:31">
      <c r="C155" s="3"/>
      <c r="D155" s="3"/>
      <c r="E155" s="3"/>
      <c r="F155" s="3"/>
      <c r="G155" s="3"/>
      <c r="H155" s="3"/>
      <c r="I155" s="3"/>
      <c r="J155" s="3"/>
      <c r="K155" s="3"/>
      <c r="L155" s="3"/>
    </row>
    <row r="156" spans="3:31">
      <c r="C156" s="3"/>
      <c r="D156" s="3"/>
      <c r="E156" s="3"/>
      <c r="F156" s="3"/>
      <c r="G156" s="3"/>
      <c r="H156" s="3"/>
      <c r="I156" s="3"/>
      <c r="J156" s="3"/>
      <c r="K156" s="3"/>
      <c r="L156" s="3"/>
    </row>
    <row r="157" spans="3:31">
      <c r="C157" s="3"/>
      <c r="D157" s="3"/>
      <c r="E157" s="3"/>
      <c r="F157" s="3"/>
      <c r="G157" s="3"/>
      <c r="H157" s="3"/>
      <c r="I157" s="3"/>
      <c r="J157" s="3"/>
      <c r="K157" s="3"/>
      <c r="L157" s="3"/>
    </row>
    <row r="158" spans="3:31">
      <c r="C158" s="3"/>
      <c r="D158" s="3"/>
      <c r="E158" s="3"/>
      <c r="F158" s="3"/>
      <c r="G158" s="3"/>
      <c r="H158" s="3"/>
      <c r="I158" s="3"/>
      <c r="J158" s="3"/>
      <c r="K158" s="3"/>
      <c r="L158" s="3"/>
    </row>
    <row r="159" spans="3:31">
      <c r="C159" s="3"/>
      <c r="D159" s="3"/>
      <c r="E159" s="3"/>
      <c r="F159" s="3"/>
      <c r="G159" s="3"/>
      <c r="H159" s="3"/>
      <c r="I159" s="3"/>
      <c r="J159" s="3"/>
      <c r="K159" s="3"/>
      <c r="L159" s="3"/>
    </row>
    <row r="160" spans="3:31">
      <c r="C160" s="3"/>
      <c r="D160" s="3"/>
      <c r="E160" s="3"/>
      <c r="F160" s="3"/>
      <c r="G160" s="3"/>
      <c r="H160" s="3"/>
      <c r="I160" s="3"/>
      <c r="J160" s="3"/>
      <c r="K160" s="3"/>
      <c r="L160" s="3"/>
    </row>
    <row r="161" spans="3:12">
      <c r="C161" s="3"/>
      <c r="D161" s="3"/>
      <c r="E161" s="3"/>
      <c r="F161" s="3"/>
      <c r="G161" s="3"/>
      <c r="H161" s="3"/>
      <c r="I161" s="3"/>
      <c r="J161" s="3"/>
      <c r="K161" s="3"/>
      <c r="L161" s="3"/>
    </row>
    <row r="162" spans="3:12">
      <c r="C162" s="3"/>
      <c r="D162" s="3"/>
      <c r="E162" s="3"/>
      <c r="F162" s="3"/>
      <c r="G162" s="3"/>
      <c r="H162" s="3"/>
      <c r="I162" s="3"/>
      <c r="J162" s="3"/>
      <c r="K162" s="3"/>
      <c r="L162" s="3"/>
    </row>
    <row r="163" spans="3:12">
      <c r="C163" s="3"/>
      <c r="D163" s="3"/>
      <c r="E163" s="3"/>
      <c r="F163" s="3"/>
      <c r="G163" s="3"/>
      <c r="H163" s="3"/>
      <c r="I163" s="3"/>
      <c r="J163" s="3"/>
      <c r="K163" s="3"/>
      <c r="L163" s="3"/>
    </row>
    <row r="164" spans="3:12">
      <c r="C164" s="3"/>
      <c r="D164" s="3"/>
      <c r="E164" s="3"/>
      <c r="F164" s="3"/>
      <c r="G164" s="3"/>
      <c r="H164" s="3"/>
      <c r="I164" s="3"/>
      <c r="J164" s="3"/>
      <c r="K164" s="3"/>
      <c r="L164" s="3"/>
    </row>
    <row r="165" spans="3:12">
      <c r="C165" s="3"/>
      <c r="D165" s="3"/>
      <c r="E165" s="3"/>
      <c r="F165" s="3"/>
      <c r="G165" s="3"/>
      <c r="H165" s="3"/>
      <c r="I165" s="3"/>
      <c r="J165" s="3"/>
      <c r="K165" s="3"/>
      <c r="L165" s="3"/>
    </row>
    <row r="166" spans="3:12">
      <c r="C166" s="3"/>
      <c r="D166" s="3"/>
      <c r="E166" s="3"/>
      <c r="F166" s="3"/>
      <c r="G166" s="3"/>
      <c r="H166" s="3"/>
      <c r="I166" s="3"/>
      <c r="J166" s="3"/>
      <c r="K166" s="3"/>
      <c r="L166" s="3"/>
    </row>
  </sheetData>
  <phoneticPr fontId="10" type="noConversion"/>
  <pageMargins left="0.75" right="0.5" top="0.5" bottom="0.55000000000000004" header="0.5" footer="0.5"/>
  <pageSetup orientation="portrait" verticalDpi="300" r:id="rId1"/>
  <headerFooter alignWithMargins="0">
    <oddFooter>&amp;LSREB Fact Book 1996/1997&amp;CSupplement to Table 5&amp;RJLM:&amp;D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8"/>
  </sheetPr>
  <dimension ref="A1:AV160"/>
  <sheetViews>
    <sheetView workbookViewId="0">
      <pane xSplit="1" ySplit="3" topLeftCell="AI4" activePane="bottomRight" state="frozen"/>
      <selection pane="topRight" activeCell="B1" sqref="B1"/>
      <selection pane="bottomLeft" activeCell="A4" sqref="A4"/>
      <selection pane="bottomRight" activeCell="AV11" sqref="AV11"/>
    </sheetView>
  </sheetViews>
  <sheetFormatPr defaultRowHeight="12.75"/>
  <cols>
    <col min="1" max="1" width="24.28515625" style="1" customWidth="1"/>
    <col min="2" max="2" width="11.28515625" style="11" customWidth="1"/>
    <col min="3" max="3" width="9.7109375" style="1" customWidth="1"/>
    <col min="4" max="7" width="4.28515625" style="1" customWidth="1"/>
    <col min="8" max="8" width="10.7109375" style="1" customWidth="1"/>
    <col min="9" max="10" width="4.28515625" style="1" customWidth="1"/>
    <col min="11" max="11" width="10.85546875" style="1" customWidth="1"/>
    <col min="12" max="12" width="10.140625" style="1" customWidth="1"/>
    <col min="13" max="13" width="10" style="1" customWidth="1"/>
    <col min="14" max="21" width="4.28515625" style="1" customWidth="1"/>
    <col min="22" max="22" width="10" style="1" customWidth="1"/>
    <col min="23" max="23" width="10.140625" style="1" customWidth="1"/>
    <col min="24" max="24" width="10.5703125" style="1" customWidth="1"/>
    <col min="25" max="25" width="10.140625" style="1" customWidth="1"/>
    <col min="26" max="26" width="11" style="1" customWidth="1"/>
    <col min="27" max="27" width="10.140625" style="1" customWidth="1"/>
    <col min="28" max="28" width="11.28515625" style="11" customWidth="1"/>
    <col min="29" max="29" width="10.140625" style="1" customWidth="1"/>
    <col min="30" max="30" width="9.7109375" style="11" customWidth="1"/>
    <col min="31" max="31" width="10.140625" style="1" customWidth="1"/>
    <col min="32" max="32" width="10.7109375" style="11" customWidth="1"/>
    <col min="33" max="33" width="10.140625" style="1" customWidth="1"/>
    <col min="34" max="34" width="10.7109375" style="11" customWidth="1"/>
    <col min="35" max="35" width="10.140625" style="1" customWidth="1"/>
    <col min="36" max="36" width="10.7109375" style="11" customWidth="1"/>
    <col min="37" max="37" width="10.42578125" style="1" customWidth="1"/>
    <col min="38" max="38" width="11.85546875" style="74" customWidth="1"/>
    <col min="39" max="39" width="10" style="1" customWidth="1"/>
    <col min="40" max="40" width="11.85546875" style="74" customWidth="1"/>
    <col min="41" max="41" width="10" style="1" customWidth="1"/>
    <col min="42" max="42" width="11.85546875" style="74" customWidth="1"/>
    <col min="43" max="43" width="9.7109375" style="1" customWidth="1"/>
    <col min="44" max="45" width="9.140625" style="1"/>
    <col min="46" max="47" width="9.7109375" style="1" bestFit="1" customWidth="1"/>
    <col min="48" max="16384" width="9.140625" style="1"/>
  </cols>
  <sheetData>
    <row r="1" spans="1:48" s="142" customFormat="1">
      <c r="A1" s="141" t="s">
        <v>251</v>
      </c>
      <c r="H1" s="5"/>
      <c r="K1" s="143"/>
      <c r="M1" s="143"/>
      <c r="V1" s="143"/>
      <c r="AL1" s="144"/>
      <c r="AN1" s="144"/>
      <c r="AP1" s="144"/>
    </row>
    <row r="2" spans="1:48">
      <c r="B2" s="1"/>
      <c r="L2" s="19" t="s">
        <v>196</v>
      </c>
      <c r="W2" s="19" t="s">
        <v>196</v>
      </c>
      <c r="X2" s="7"/>
      <c r="Y2" s="19" t="s">
        <v>196</v>
      </c>
      <c r="Z2" s="7"/>
      <c r="AA2" s="19" t="s">
        <v>196</v>
      </c>
      <c r="AB2" s="7"/>
      <c r="AC2" s="19" t="s">
        <v>196</v>
      </c>
      <c r="AD2" s="27"/>
      <c r="AE2" s="19" t="s">
        <v>196</v>
      </c>
      <c r="AF2" s="27"/>
      <c r="AG2" s="19" t="s">
        <v>196</v>
      </c>
      <c r="AH2" s="27"/>
      <c r="AI2" s="19" t="s">
        <v>196</v>
      </c>
      <c r="AJ2" s="27"/>
      <c r="AK2" s="19" t="s">
        <v>196</v>
      </c>
      <c r="AL2" s="57"/>
      <c r="AM2" s="19" t="s">
        <v>196</v>
      </c>
      <c r="AN2" s="57"/>
      <c r="AO2" s="19" t="s">
        <v>196</v>
      </c>
      <c r="AP2" s="57"/>
      <c r="AR2" s="431" t="s">
        <v>196</v>
      </c>
      <c r="AT2" s="431" t="s">
        <v>196</v>
      </c>
    </row>
    <row r="3" spans="1:48" s="142" customFormat="1">
      <c r="B3" s="315">
        <v>1965</v>
      </c>
      <c r="C3" s="316" t="s">
        <v>4</v>
      </c>
      <c r="D3" s="316">
        <v>71</v>
      </c>
      <c r="E3" s="316">
        <v>72</v>
      </c>
      <c r="F3" s="316">
        <v>73</v>
      </c>
      <c r="G3" s="316">
        <v>74</v>
      </c>
      <c r="H3" s="316" t="s">
        <v>5</v>
      </c>
      <c r="I3" s="316">
        <v>76</v>
      </c>
      <c r="J3" s="316">
        <v>77</v>
      </c>
      <c r="K3" s="316" t="s">
        <v>6</v>
      </c>
      <c r="L3" s="317">
        <v>1979</v>
      </c>
      <c r="M3" s="316" t="s">
        <v>7</v>
      </c>
      <c r="N3" s="316">
        <v>81</v>
      </c>
      <c r="O3" s="316">
        <v>82</v>
      </c>
      <c r="P3" s="316">
        <v>83</v>
      </c>
      <c r="Q3" s="316">
        <v>84</v>
      </c>
      <c r="R3" s="316">
        <v>85</v>
      </c>
      <c r="S3" s="316">
        <v>86</v>
      </c>
      <c r="T3" s="316">
        <v>87</v>
      </c>
      <c r="U3" s="316">
        <v>88</v>
      </c>
      <c r="V3" s="316" t="s">
        <v>8</v>
      </c>
      <c r="W3" s="317" t="s">
        <v>122</v>
      </c>
      <c r="X3" s="318">
        <v>1991</v>
      </c>
      <c r="Y3" s="319">
        <v>1992</v>
      </c>
      <c r="Z3" s="318" t="s">
        <v>9</v>
      </c>
      <c r="AA3" s="319">
        <v>1994</v>
      </c>
      <c r="AB3" s="318">
        <v>1995</v>
      </c>
      <c r="AC3" s="319">
        <v>1996</v>
      </c>
      <c r="AD3" s="318">
        <v>1997</v>
      </c>
      <c r="AE3" s="319">
        <v>1998</v>
      </c>
      <c r="AF3" s="318">
        <v>1999</v>
      </c>
      <c r="AG3" s="319" t="s">
        <v>195</v>
      </c>
      <c r="AH3" s="320">
        <v>2001</v>
      </c>
      <c r="AI3" s="321">
        <v>2002</v>
      </c>
      <c r="AJ3" s="320">
        <v>2003</v>
      </c>
      <c r="AK3" s="319">
        <v>2004</v>
      </c>
      <c r="AL3" s="322">
        <v>2005</v>
      </c>
      <c r="AM3" s="319">
        <v>2006</v>
      </c>
      <c r="AN3" s="322">
        <v>2007</v>
      </c>
      <c r="AO3" s="319">
        <v>2008</v>
      </c>
      <c r="AP3" s="322">
        <v>2009</v>
      </c>
      <c r="AQ3" s="425">
        <v>2009</v>
      </c>
      <c r="AR3" s="425">
        <v>2010</v>
      </c>
      <c r="AS3" s="425">
        <v>2011</v>
      </c>
      <c r="AT3" s="485">
        <v>2012</v>
      </c>
      <c r="AU3" s="485">
        <v>2013</v>
      </c>
      <c r="AV3" s="485">
        <v>2014</v>
      </c>
    </row>
    <row r="4" spans="1:48" s="291" customFormat="1" ht="15">
      <c r="A4" s="104" t="s">
        <v>243</v>
      </c>
      <c r="B4" s="105">
        <f t="shared" ref="B4:AS4" si="0">B5+B23+B38+B52+B63</f>
        <v>6800000</v>
      </c>
      <c r="C4" s="105">
        <f t="shared" si="0"/>
        <v>5732199</v>
      </c>
      <c r="D4" s="328">
        <v>0</v>
      </c>
      <c r="E4" s="328">
        <v>0</v>
      </c>
      <c r="F4" s="328">
        <v>0</v>
      </c>
      <c r="G4" s="328">
        <v>0</v>
      </c>
      <c r="H4" s="105">
        <f t="shared" si="0"/>
        <v>4600000</v>
      </c>
      <c r="I4" s="328">
        <v>0</v>
      </c>
      <c r="J4" s="328">
        <v>0</v>
      </c>
      <c r="K4" s="105">
        <f t="shared" si="0"/>
        <v>5085633</v>
      </c>
      <c r="L4" s="105">
        <f t="shared" si="0"/>
        <v>5023694</v>
      </c>
      <c r="M4" s="105">
        <f t="shared" si="0"/>
        <v>4961755</v>
      </c>
      <c r="N4" s="328">
        <v>0</v>
      </c>
      <c r="O4" s="328">
        <v>0</v>
      </c>
      <c r="P4" s="328">
        <v>0</v>
      </c>
      <c r="Q4" s="328">
        <v>0</v>
      </c>
      <c r="R4" s="328">
        <v>0</v>
      </c>
      <c r="S4" s="328">
        <v>0</v>
      </c>
      <c r="T4" s="328">
        <v>0</v>
      </c>
      <c r="U4" s="328">
        <v>0</v>
      </c>
      <c r="V4" s="105">
        <f t="shared" si="0"/>
        <v>4824738</v>
      </c>
      <c r="W4" s="105">
        <f t="shared" si="0"/>
        <v>4857114</v>
      </c>
      <c r="X4" s="105">
        <f t="shared" si="0"/>
        <v>4889490</v>
      </c>
      <c r="Y4" s="105">
        <f t="shared" si="0"/>
        <v>4862967.5</v>
      </c>
      <c r="Z4" s="105">
        <f t="shared" si="0"/>
        <v>4836445</v>
      </c>
      <c r="AA4" s="105">
        <f t="shared" si="0"/>
        <v>4934324.5</v>
      </c>
      <c r="AB4" s="105">
        <f t="shared" si="0"/>
        <v>5032204</v>
      </c>
      <c r="AC4" s="105">
        <f t="shared" si="0"/>
        <v>5488247</v>
      </c>
      <c r="AD4" s="105">
        <f t="shared" si="0"/>
        <v>5944290</v>
      </c>
      <c r="AE4" s="105">
        <f t="shared" si="0"/>
        <v>5981285</v>
      </c>
      <c r="AF4" s="105">
        <f t="shared" si="0"/>
        <v>6018280</v>
      </c>
      <c r="AG4" s="105">
        <f t="shared" si="0"/>
        <v>6168959.75</v>
      </c>
      <c r="AH4" s="105">
        <f t="shared" si="0"/>
        <v>6319639.5</v>
      </c>
      <c r="AI4" s="105">
        <f t="shared" si="0"/>
        <v>6209434.75</v>
      </c>
      <c r="AJ4" s="105">
        <f t="shared" si="0"/>
        <v>6099230</v>
      </c>
      <c r="AK4" s="105">
        <f t="shared" si="0"/>
        <v>6071240</v>
      </c>
      <c r="AL4" s="105">
        <f t="shared" si="0"/>
        <v>6043250</v>
      </c>
      <c r="AM4" s="105">
        <f t="shared" si="0"/>
        <v>5976715</v>
      </c>
      <c r="AN4" s="105">
        <f t="shared" si="0"/>
        <v>5910180</v>
      </c>
      <c r="AO4" s="105">
        <f t="shared" si="0"/>
        <v>5305150.5</v>
      </c>
      <c r="AP4" s="105">
        <f t="shared" si="0"/>
        <v>4700121</v>
      </c>
      <c r="AQ4" s="428">
        <f>AQ5+AQ23+AQ38+AQ52+AQ63</f>
        <v>5488500</v>
      </c>
      <c r="AR4" s="105">
        <f t="shared" si="0"/>
        <v>5378295</v>
      </c>
      <c r="AS4" s="429">
        <f t="shared" si="0"/>
        <v>5268090</v>
      </c>
      <c r="AT4" s="112">
        <f>AT5+AT23+AT38+AT52+AT63</f>
        <v>5331935</v>
      </c>
      <c r="AU4" s="112">
        <f>AU5+AU23+AU38+AU52+AU63</f>
        <v>5395780</v>
      </c>
    </row>
    <row r="5" spans="1:48" s="70" customFormat="1">
      <c r="A5" s="111" t="s">
        <v>108</v>
      </c>
      <c r="B5" s="112">
        <f t="shared" ref="B5:AS5" si="1">SUM(B7:B22)</f>
        <v>980600</v>
      </c>
      <c r="C5" s="112">
        <f t="shared" si="1"/>
        <v>1112516</v>
      </c>
      <c r="D5" s="329">
        <v>0</v>
      </c>
      <c r="E5" s="329">
        <v>0</v>
      </c>
      <c r="F5" s="329">
        <v>0</v>
      </c>
      <c r="G5" s="329">
        <v>0</v>
      </c>
      <c r="H5" s="112">
        <f t="shared" si="1"/>
        <v>830900</v>
      </c>
      <c r="I5" s="329">
        <v>0</v>
      </c>
      <c r="J5" s="329">
        <v>0</v>
      </c>
      <c r="K5" s="112">
        <f t="shared" si="1"/>
        <v>1235571</v>
      </c>
      <c r="L5" s="112">
        <f t="shared" si="1"/>
        <v>1222301</v>
      </c>
      <c r="M5" s="112">
        <f t="shared" si="1"/>
        <v>1209031</v>
      </c>
      <c r="N5" s="329">
        <v>0</v>
      </c>
      <c r="O5" s="329">
        <v>0</v>
      </c>
      <c r="P5" s="329">
        <v>0</v>
      </c>
      <c r="Q5" s="329">
        <v>0</v>
      </c>
      <c r="R5" s="329">
        <v>0</v>
      </c>
      <c r="S5" s="329">
        <v>0</v>
      </c>
      <c r="T5" s="329">
        <v>0</v>
      </c>
      <c r="U5" s="329">
        <v>0</v>
      </c>
      <c r="V5" s="112">
        <f t="shared" si="1"/>
        <v>1253346</v>
      </c>
      <c r="W5" s="112">
        <f t="shared" si="1"/>
        <v>1269617</v>
      </c>
      <c r="X5" s="112">
        <f t="shared" si="1"/>
        <v>1285888</v>
      </c>
      <c r="Y5" s="112">
        <f t="shared" si="1"/>
        <v>1328150.5</v>
      </c>
      <c r="Z5" s="112">
        <f t="shared" si="1"/>
        <v>1370413</v>
      </c>
      <c r="AA5" s="112">
        <f t="shared" si="1"/>
        <v>1398815.5</v>
      </c>
      <c r="AB5" s="112">
        <f t="shared" si="1"/>
        <v>1427218</v>
      </c>
      <c r="AC5" s="112">
        <f t="shared" si="1"/>
        <v>1606749</v>
      </c>
      <c r="AD5" s="112">
        <f t="shared" si="1"/>
        <v>1786280</v>
      </c>
      <c r="AE5" s="112">
        <f t="shared" si="1"/>
        <v>1816295</v>
      </c>
      <c r="AF5" s="112">
        <f t="shared" si="1"/>
        <v>1846310</v>
      </c>
      <c r="AG5" s="112">
        <f t="shared" si="1"/>
        <v>1893604.75</v>
      </c>
      <c r="AH5" s="112">
        <f t="shared" si="1"/>
        <v>1940899.5</v>
      </c>
      <c r="AI5" s="112">
        <f t="shared" si="1"/>
        <v>1930639.75</v>
      </c>
      <c r="AJ5" s="112">
        <f t="shared" si="1"/>
        <v>1920380</v>
      </c>
      <c r="AK5" s="112">
        <f t="shared" si="1"/>
        <v>1918185</v>
      </c>
      <c r="AL5" s="112">
        <f t="shared" si="1"/>
        <v>1915990</v>
      </c>
      <c r="AM5" s="112">
        <f t="shared" si="1"/>
        <v>1930900</v>
      </c>
      <c r="AN5" s="112">
        <f t="shared" si="1"/>
        <v>1945810</v>
      </c>
      <c r="AO5" s="112">
        <f t="shared" si="1"/>
        <v>1740224.5</v>
      </c>
      <c r="AP5" s="112">
        <f t="shared" si="1"/>
        <v>1534639</v>
      </c>
      <c r="AQ5" s="112">
        <f t="shared" si="1"/>
        <v>1824100</v>
      </c>
      <c r="AR5" s="112">
        <f t="shared" si="1"/>
        <v>1777270</v>
      </c>
      <c r="AS5" s="112">
        <f t="shared" si="1"/>
        <v>1730440</v>
      </c>
      <c r="AT5" s="112">
        <f>SUM(AT7:AT22)</f>
        <v>1775395</v>
      </c>
      <c r="AU5" s="112">
        <f>SUM(AU7:AU22)</f>
        <v>1820350</v>
      </c>
    </row>
    <row r="6" spans="1:48" s="60" customFormat="1">
      <c r="A6" s="108" t="s">
        <v>244</v>
      </c>
      <c r="B6" s="270">
        <f t="shared" ref="B6:AS6" si="2">(B5/B4)*100</f>
        <v>14.420588235294119</v>
      </c>
      <c r="C6" s="270">
        <f t="shared" si="2"/>
        <v>19.408188724780839</v>
      </c>
      <c r="D6" s="330">
        <v>0</v>
      </c>
      <c r="E6" s="330">
        <v>0</v>
      </c>
      <c r="F6" s="330">
        <v>0</v>
      </c>
      <c r="G6" s="330">
        <v>0</v>
      </c>
      <c r="H6" s="270">
        <f t="shared" si="2"/>
        <v>18.06304347826087</v>
      </c>
      <c r="I6" s="330">
        <v>0</v>
      </c>
      <c r="J6" s="330">
        <v>0</v>
      </c>
      <c r="K6" s="270">
        <f t="shared" si="2"/>
        <v>24.29532370896602</v>
      </c>
      <c r="L6" s="270">
        <f t="shared" si="2"/>
        <v>24.330721576592843</v>
      </c>
      <c r="M6" s="270">
        <f t="shared" si="2"/>
        <v>24.367003207534431</v>
      </c>
      <c r="N6" s="330">
        <v>0</v>
      </c>
      <c r="O6" s="330">
        <v>0</v>
      </c>
      <c r="P6" s="330">
        <v>0</v>
      </c>
      <c r="Q6" s="330">
        <v>0</v>
      </c>
      <c r="R6" s="330">
        <v>0</v>
      </c>
      <c r="S6" s="330">
        <v>0</v>
      </c>
      <c r="T6" s="330">
        <v>0</v>
      </c>
      <c r="U6" s="330">
        <v>0</v>
      </c>
      <c r="V6" s="270">
        <f t="shared" si="2"/>
        <v>25.977493492910909</v>
      </c>
      <c r="W6" s="270">
        <f t="shared" si="2"/>
        <v>26.139328827777152</v>
      </c>
      <c r="X6" s="270">
        <f t="shared" si="2"/>
        <v>26.299020961286352</v>
      </c>
      <c r="Y6" s="270">
        <f t="shared" si="2"/>
        <v>27.311523262287896</v>
      </c>
      <c r="Z6" s="270">
        <f t="shared" si="2"/>
        <v>28.335130452222657</v>
      </c>
      <c r="AA6" s="270">
        <f t="shared" si="2"/>
        <v>28.348672650126677</v>
      </c>
      <c r="AB6" s="270">
        <f t="shared" si="2"/>
        <v>28.361688039674064</v>
      </c>
      <c r="AC6" s="270">
        <f t="shared" si="2"/>
        <v>29.276178714259764</v>
      </c>
      <c r="AD6" s="270">
        <f t="shared" si="2"/>
        <v>30.050350840891006</v>
      </c>
      <c r="AE6" s="270">
        <f t="shared" si="2"/>
        <v>30.366300886849569</v>
      </c>
      <c r="AF6" s="270">
        <f t="shared" si="2"/>
        <v>30.678366576496941</v>
      </c>
      <c r="AG6" s="270">
        <f t="shared" si="2"/>
        <v>30.69568982031371</v>
      </c>
      <c r="AH6" s="270">
        <f t="shared" si="2"/>
        <v>30.712186984716457</v>
      </c>
      <c r="AI6" s="270">
        <f t="shared" si="2"/>
        <v>31.092037000630373</v>
      </c>
      <c r="AJ6" s="270">
        <f t="shared" si="2"/>
        <v>31.485613757802216</v>
      </c>
      <c r="AK6" s="270">
        <f t="shared" si="2"/>
        <v>31.59461658573866</v>
      </c>
      <c r="AL6" s="270">
        <f t="shared" si="2"/>
        <v>31.704629131675837</v>
      </c>
      <c r="AM6" s="270">
        <f t="shared" si="2"/>
        <v>32.307044923507313</v>
      </c>
      <c r="AN6" s="270">
        <f t="shared" si="2"/>
        <v>32.923024341052219</v>
      </c>
      <c r="AO6" s="270">
        <f t="shared" si="2"/>
        <v>32.802547260440583</v>
      </c>
      <c r="AP6" s="270">
        <f t="shared" si="2"/>
        <v>32.651053026081669</v>
      </c>
      <c r="AQ6" s="270">
        <f t="shared" si="2"/>
        <v>33.234945795754761</v>
      </c>
      <c r="AR6" s="270">
        <f t="shared" si="2"/>
        <v>33.045230877071639</v>
      </c>
      <c r="AS6" s="270">
        <f t="shared" si="2"/>
        <v>32.847578534155645</v>
      </c>
      <c r="AT6" s="270">
        <f>(AT5/AT4)*100</f>
        <v>33.29738640849898</v>
      </c>
      <c r="AU6" s="270">
        <f>(AU5/AU4)*100</f>
        <v>33.7365496740045</v>
      </c>
    </row>
    <row r="7" spans="1:48" s="60" customFormat="1">
      <c r="A7" s="111" t="s">
        <v>85</v>
      </c>
      <c r="B7" s="294">
        <v>33700</v>
      </c>
      <c r="C7" s="295">
        <v>51365</v>
      </c>
      <c r="D7" s="327">
        <v>0</v>
      </c>
      <c r="E7" s="327">
        <v>0</v>
      </c>
      <c r="F7" s="327">
        <v>0</v>
      </c>
      <c r="G7" s="327">
        <v>0</v>
      </c>
      <c r="H7" s="295">
        <v>48800</v>
      </c>
      <c r="I7" s="327">
        <v>0</v>
      </c>
      <c r="J7" s="327">
        <v>0</v>
      </c>
      <c r="K7" s="295">
        <v>66107</v>
      </c>
      <c r="L7" s="296">
        <f t="shared" ref="L7:L22" si="3">((M7-K7)/2)+K7</f>
        <v>64388</v>
      </c>
      <c r="M7" s="34">
        <v>62669</v>
      </c>
      <c r="N7" s="327">
        <v>0</v>
      </c>
      <c r="O7" s="327">
        <v>0</v>
      </c>
      <c r="P7" s="327">
        <v>0</v>
      </c>
      <c r="Q7" s="327">
        <v>0</v>
      </c>
      <c r="R7" s="327">
        <v>0</v>
      </c>
      <c r="S7" s="327">
        <v>0</v>
      </c>
      <c r="T7" s="327">
        <v>0</v>
      </c>
      <c r="U7" s="327">
        <v>0</v>
      </c>
      <c r="V7" s="295">
        <v>52816</v>
      </c>
      <c r="W7" s="296">
        <f t="shared" ref="W7:W22" si="4">((X7-V7)/2)+V7</f>
        <v>61128.5</v>
      </c>
      <c r="X7" s="295">
        <v>69441</v>
      </c>
      <c r="Y7" s="296">
        <f t="shared" ref="Y7:Y22" si="5">((Z7-X7)/2)+X7</f>
        <v>71035.5</v>
      </c>
      <c r="Z7" s="295">
        <v>72630</v>
      </c>
      <c r="AA7" s="296">
        <f t="shared" ref="AA7:AA22" si="6">((AB7-Z7)/2)+Z7</f>
        <v>69794</v>
      </c>
      <c r="AB7" s="297">
        <v>66958</v>
      </c>
      <c r="AC7" s="296">
        <f t="shared" ref="AC7:AC22" si="7">((AD7-AB7)/2)+AB7</f>
        <v>74509</v>
      </c>
      <c r="AD7" s="292">
        <v>82060</v>
      </c>
      <c r="AE7" s="296">
        <f t="shared" ref="AE7:AE22" si="8">((AF7-AD7)/2)+AD7</f>
        <v>81550</v>
      </c>
      <c r="AF7" s="292">
        <v>81040</v>
      </c>
      <c r="AG7" s="296">
        <f t="shared" ref="AG7:AG22" si="9">((AH7-AF7)/2)+AF7</f>
        <v>86709.75</v>
      </c>
      <c r="AH7" s="295">
        <v>92379.5</v>
      </c>
      <c r="AI7" s="296">
        <f t="shared" ref="AI7:AI22" si="10">((AJ7-AH7)/2)+AH7</f>
        <v>95979.75</v>
      </c>
      <c r="AJ7" s="295">
        <v>99580</v>
      </c>
      <c r="AK7" s="296">
        <f t="shared" ref="AK7:AK22" si="11">((AL7-AJ7)/2)+AJ7</f>
        <v>95930</v>
      </c>
      <c r="AL7" s="291">
        <v>92280</v>
      </c>
      <c r="AM7" s="296">
        <f t="shared" ref="AM7:AM22" si="12">((AN7-AL7)/2)+AL7</f>
        <v>88060</v>
      </c>
      <c r="AN7" s="291">
        <v>83840</v>
      </c>
      <c r="AO7" s="296">
        <f t="shared" ref="AO7:AO22" si="13">((AP7-AN7)/2)+AN7</f>
        <v>81095.5</v>
      </c>
      <c r="AP7" s="291">
        <v>78351</v>
      </c>
      <c r="AQ7" s="24">
        <v>95570</v>
      </c>
      <c r="AR7" s="296">
        <f t="shared" ref="AR7:AR22" si="14">((AS7-AQ7)/2)+AQ7</f>
        <v>88320</v>
      </c>
      <c r="AS7" s="426">
        <v>81070</v>
      </c>
      <c r="AT7" s="296">
        <f>(AU7-AS7)/2+AS7</f>
        <v>78735</v>
      </c>
      <c r="AU7" s="426">
        <v>76400</v>
      </c>
    </row>
    <row r="8" spans="1:48" s="60" customFormat="1">
      <c r="A8" s="111" t="s">
        <v>86</v>
      </c>
      <c r="B8" s="294">
        <v>13400</v>
      </c>
      <c r="C8" s="295">
        <v>18251</v>
      </c>
      <c r="D8" s="327">
        <v>0</v>
      </c>
      <c r="E8" s="327">
        <v>0</v>
      </c>
      <c r="F8" s="327">
        <v>0</v>
      </c>
      <c r="G8" s="327">
        <v>0</v>
      </c>
      <c r="H8" s="295">
        <v>10900</v>
      </c>
      <c r="I8" s="327">
        <v>0</v>
      </c>
      <c r="J8" s="327">
        <v>0</v>
      </c>
      <c r="K8" s="295">
        <v>21654</v>
      </c>
      <c r="L8" s="296">
        <f t="shared" si="3"/>
        <v>20038.5</v>
      </c>
      <c r="M8" s="34">
        <v>18423</v>
      </c>
      <c r="N8" s="327">
        <v>0</v>
      </c>
      <c r="O8" s="327">
        <v>0</v>
      </c>
      <c r="P8" s="327">
        <v>0</v>
      </c>
      <c r="Q8" s="327">
        <v>0</v>
      </c>
      <c r="R8" s="327">
        <v>0</v>
      </c>
      <c r="S8" s="327">
        <v>0</v>
      </c>
      <c r="T8" s="327">
        <v>0</v>
      </c>
      <c r="U8" s="327">
        <v>0</v>
      </c>
      <c r="V8" s="295">
        <v>19388</v>
      </c>
      <c r="W8" s="296">
        <f t="shared" si="4"/>
        <v>21090</v>
      </c>
      <c r="X8" s="295">
        <v>22792</v>
      </c>
      <c r="Y8" s="296">
        <f t="shared" si="5"/>
        <v>25901.5</v>
      </c>
      <c r="Z8" s="295">
        <v>29011</v>
      </c>
      <c r="AA8" s="296">
        <f t="shared" si="6"/>
        <v>28232.5</v>
      </c>
      <c r="AB8" s="297">
        <v>27454</v>
      </c>
      <c r="AC8" s="296">
        <f t="shared" si="7"/>
        <v>28932</v>
      </c>
      <c r="AD8" s="292">
        <v>30410</v>
      </c>
      <c r="AE8" s="296">
        <f t="shared" si="8"/>
        <v>29905</v>
      </c>
      <c r="AF8" s="292">
        <v>29400</v>
      </c>
      <c r="AG8" s="296">
        <f t="shared" si="9"/>
        <v>30985</v>
      </c>
      <c r="AH8" s="295">
        <v>32570</v>
      </c>
      <c r="AI8" s="296">
        <f t="shared" si="10"/>
        <v>31935</v>
      </c>
      <c r="AJ8" s="295">
        <v>31300</v>
      </c>
      <c r="AK8" s="296">
        <f t="shared" si="11"/>
        <v>33345</v>
      </c>
      <c r="AL8" s="291">
        <v>35390</v>
      </c>
      <c r="AM8" s="296">
        <f t="shared" si="12"/>
        <v>37755</v>
      </c>
      <c r="AN8" s="291">
        <v>40120</v>
      </c>
      <c r="AO8" s="296">
        <f t="shared" si="13"/>
        <v>32004.5</v>
      </c>
      <c r="AP8" s="291">
        <v>23889</v>
      </c>
      <c r="AQ8" s="24">
        <v>28900</v>
      </c>
      <c r="AR8" s="296">
        <f t="shared" si="14"/>
        <v>29415</v>
      </c>
      <c r="AS8" s="426">
        <v>29930</v>
      </c>
      <c r="AT8" s="296">
        <f>(AU8-AS8)/2+AS8</f>
        <v>30135</v>
      </c>
      <c r="AU8" s="426">
        <v>30340</v>
      </c>
    </row>
    <row r="9" spans="1:48" s="60" customFormat="1">
      <c r="A9" s="111" t="s">
        <v>106</v>
      </c>
      <c r="B9" s="294">
        <v>21400</v>
      </c>
      <c r="C9" s="295">
        <v>18525</v>
      </c>
      <c r="D9" s="327">
        <v>0</v>
      </c>
      <c r="E9" s="327">
        <v>0</v>
      </c>
      <c r="F9" s="327">
        <v>0</v>
      </c>
      <c r="G9" s="327">
        <v>0</v>
      </c>
      <c r="H9" s="295">
        <v>16700</v>
      </c>
      <c r="I9" s="327">
        <v>0</v>
      </c>
      <c r="J9" s="327">
        <v>0</v>
      </c>
      <c r="K9" s="295">
        <v>22196</v>
      </c>
      <c r="L9" s="296">
        <f t="shared" si="3"/>
        <v>22785</v>
      </c>
      <c r="M9" s="34">
        <v>23374</v>
      </c>
      <c r="N9" s="327">
        <v>0</v>
      </c>
      <c r="O9" s="327">
        <v>0</v>
      </c>
      <c r="P9" s="327">
        <v>0</v>
      </c>
      <c r="Q9" s="327">
        <v>0</v>
      </c>
      <c r="R9" s="327">
        <v>0</v>
      </c>
      <c r="S9" s="327">
        <v>0</v>
      </c>
      <c r="T9" s="327">
        <v>0</v>
      </c>
      <c r="U9" s="327">
        <v>0</v>
      </c>
      <c r="V9" s="295">
        <v>21953</v>
      </c>
      <c r="W9" s="296">
        <f t="shared" si="4"/>
        <v>22378</v>
      </c>
      <c r="X9" s="295">
        <v>22803</v>
      </c>
      <c r="Y9" s="296">
        <f t="shared" si="5"/>
        <v>22555.5</v>
      </c>
      <c r="Z9" s="295">
        <v>22308</v>
      </c>
      <c r="AA9" s="296">
        <f t="shared" si="6"/>
        <v>23918</v>
      </c>
      <c r="AB9" s="297">
        <v>25528</v>
      </c>
      <c r="AC9" s="296">
        <f t="shared" si="7"/>
        <v>31129</v>
      </c>
      <c r="AD9" s="292">
        <v>36730</v>
      </c>
      <c r="AE9" s="296">
        <f t="shared" si="8"/>
        <v>31835</v>
      </c>
      <c r="AF9" s="292">
        <v>26940</v>
      </c>
      <c r="AG9" s="296">
        <f t="shared" si="9"/>
        <v>29315</v>
      </c>
      <c r="AH9" s="295">
        <v>31690</v>
      </c>
      <c r="AI9" s="296">
        <f t="shared" si="10"/>
        <v>32355</v>
      </c>
      <c r="AJ9" s="295">
        <v>33020</v>
      </c>
      <c r="AK9" s="296">
        <f t="shared" si="11"/>
        <v>26450</v>
      </c>
      <c r="AL9" s="291">
        <v>19880</v>
      </c>
      <c r="AM9" s="296">
        <f t="shared" si="12"/>
        <v>26200</v>
      </c>
      <c r="AN9" s="291">
        <v>32520</v>
      </c>
      <c r="AO9" s="296">
        <f t="shared" si="13"/>
        <v>27639</v>
      </c>
      <c r="AP9" s="291">
        <v>22758</v>
      </c>
      <c r="AQ9" s="24">
        <v>26640</v>
      </c>
      <c r="AR9" s="296">
        <f t="shared" si="14"/>
        <v>25865</v>
      </c>
      <c r="AS9" s="426">
        <v>25090</v>
      </c>
      <c r="AT9" s="296">
        <f t="shared" ref="AT9:AT22" si="15">(AU9-AS9)/2+AS9</f>
        <v>24365</v>
      </c>
      <c r="AU9" s="426">
        <v>23640</v>
      </c>
    </row>
    <row r="10" spans="1:48" s="60" customFormat="1">
      <c r="A10" s="111" t="s">
        <v>87</v>
      </c>
      <c r="B10" s="294">
        <v>100000</v>
      </c>
      <c r="C10" s="295">
        <v>147051</v>
      </c>
      <c r="D10" s="327">
        <v>0</v>
      </c>
      <c r="E10" s="327">
        <v>0</v>
      </c>
      <c r="F10" s="327">
        <v>0</v>
      </c>
      <c r="G10" s="327">
        <v>0</v>
      </c>
      <c r="H10" s="295">
        <v>100900</v>
      </c>
      <c r="I10" s="327">
        <v>0</v>
      </c>
      <c r="J10" s="327">
        <v>0</v>
      </c>
      <c r="K10" s="295">
        <v>206299</v>
      </c>
      <c r="L10" s="296">
        <f t="shared" si="3"/>
        <v>205643.5</v>
      </c>
      <c r="M10" s="34">
        <v>204988</v>
      </c>
      <c r="N10" s="327">
        <v>0</v>
      </c>
      <c r="O10" s="327">
        <v>0</v>
      </c>
      <c r="P10" s="327">
        <v>0</v>
      </c>
      <c r="Q10" s="327">
        <v>0</v>
      </c>
      <c r="R10" s="327">
        <v>0</v>
      </c>
      <c r="S10" s="327">
        <v>0</v>
      </c>
      <c r="T10" s="327">
        <v>0</v>
      </c>
      <c r="U10" s="327">
        <v>0</v>
      </c>
      <c r="V10" s="295">
        <v>218961</v>
      </c>
      <c r="W10" s="296">
        <f t="shared" si="4"/>
        <v>212280.5</v>
      </c>
      <c r="X10" s="295">
        <v>205600</v>
      </c>
      <c r="Y10" s="296">
        <f t="shared" si="5"/>
        <v>219671.5</v>
      </c>
      <c r="Z10" s="295">
        <v>233743</v>
      </c>
      <c r="AA10" s="296">
        <f t="shared" si="6"/>
        <v>243787</v>
      </c>
      <c r="AB10" s="297">
        <v>253831</v>
      </c>
      <c r="AC10" s="296">
        <f t="shared" si="7"/>
        <v>291800.5</v>
      </c>
      <c r="AD10" s="292">
        <v>329770</v>
      </c>
      <c r="AE10" s="296">
        <f t="shared" si="8"/>
        <v>339475</v>
      </c>
      <c r="AF10" s="292">
        <v>349180</v>
      </c>
      <c r="AG10" s="296">
        <f t="shared" si="9"/>
        <v>357535</v>
      </c>
      <c r="AH10" s="295">
        <v>365890</v>
      </c>
      <c r="AI10" s="296">
        <f t="shared" si="10"/>
        <v>382305</v>
      </c>
      <c r="AJ10" s="295">
        <v>398720</v>
      </c>
      <c r="AK10" s="296">
        <f t="shared" si="11"/>
        <v>397755</v>
      </c>
      <c r="AL10" s="291">
        <v>396790</v>
      </c>
      <c r="AM10" s="296">
        <f t="shared" si="12"/>
        <v>394225</v>
      </c>
      <c r="AN10" s="291">
        <v>391660</v>
      </c>
      <c r="AO10" s="296">
        <f t="shared" si="13"/>
        <v>339674.5</v>
      </c>
      <c r="AP10" s="291">
        <v>287689</v>
      </c>
      <c r="AQ10" s="24">
        <v>343990</v>
      </c>
      <c r="AR10" s="296">
        <f t="shared" si="14"/>
        <v>342475</v>
      </c>
      <c r="AS10" s="426">
        <v>340960</v>
      </c>
      <c r="AT10" s="296">
        <f t="shared" si="15"/>
        <v>356875</v>
      </c>
      <c r="AU10" s="426">
        <v>372790</v>
      </c>
    </row>
    <row r="11" spans="1:48" s="60" customFormat="1">
      <c r="A11" s="111" t="s">
        <v>88</v>
      </c>
      <c r="B11" s="294">
        <v>29500</v>
      </c>
      <c r="C11" s="295">
        <v>57077</v>
      </c>
      <c r="D11" s="327">
        <v>0</v>
      </c>
      <c r="E11" s="327">
        <v>0</v>
      </c>
      <c r="F11" s="327">
        <v>0</v>
      </c>
      <c r="G11" s="327">
        <v>0</v>
      </c>
      <c r="H11" s="295">
        <v>29500</v>
      </c>
      <c r="I11" s="327">
        <v>0</v>
      </c>
      <c r="J11" s="327">
        <v>0</v>
      </c>
      <c r="K11" s="295">
        <v>83919</v>
      </c>
      <c r="L11" s="296">
        <f t="shared" si="3"/>
        <v>83212</v>
      </c>
      <c r="M11" s="34">
        <v>82505</v>
      </c>
      <c r="N11" s="327">
        <v>0</v>
      </c>
      <c r="O11" s="327">
        <v>0</v>
      </c>
      <c r="P11" s="327">
        <v>0</v>
      </c>
      <c r="Q11" s="327">
        <v>0</v>
      </c>
      <c r="R11" s="327">
        <v>0</v>
      </c>
      <c r="S11" s="327">
        <v>0</v>
      </c>
      <c r="T11" s="327">
        <v>0</v>
      </c>
      <c r="U11" s="327">
        <v>0</v>
      </c>
      <c r="V11" s="295">
        <v>84795</v>
      </c>
      <c r="W11" s="296">
        <f t="shared" si="4"/>
        <v>90739</v>
      </c>
      <c r="X11" s="295">
        <v>96683</v>
      </c>
      <c r="Y11" s="296">
        <f t="shared" si="5"/>
        <v>97204.5</v>
      </c>
      <c r="Z11" s="295">
        <v>97726</v>
      </c>
      <c r="AA11" s="296">
        <f t="shared" si="6"/>
        <v>97766.5</v>
      </c>
      <c r="AB11" s="297">
        <v>97807</v>
      </c>
      <c r="AC11" s="296">
        <f t="shared" si="7"/>
        <v>112163.5</v>
      </c>
      <c r="AD11" s="292">
        <v>126520</v>
      </c>
      <c r="AE11" s="296">
        <f t="shared" si="8"/>
        <v>131970</v>
      </c>
      <c r="AF11" s="292">
        <v>137420</v>
      </c>
      <c r="AG11" s="296">
        <f t="shared" si="9"/>
        <v>137240</v>
      </c>
      <c r="AH11" s="295">
        <v>137060</v>
      </c>
      <c r="AI11" s="296">
        <f t="shared" si="10"/>
        <v>140955</v>
      </c>
      <c r="AJ11" s="295">
        <v>144850</v>
      </c>
      <c r="AK11" s="296">
        <f t="shared" si="11"/>
        <v>148725</v>
      </c>
      <c r="AL11" s="291">
        <v>152600</v>
      </c>
      <c r="AM11" s="296">
        <f t="shared" si="12"/>
        <v>155015</v>
      </c>
      <c r="AN11" s="291">
        <v>157430</v>
      </c>
      <c r="AO11" s="296">
        <f t="shared" si="13"/>
        <v>143846.5</v>
      </c>
      <c r="AP11" s="291">
        <v>130263</v>
      </c>
      <c r="AQ11" s="24">
        <v>150300</v>
      </c>
      <c r="AR11" s="296">
        <f t="shared" si="14"/>
        <v>144190</v>
      </c>
      <c r="AS11" s="426">
        <v>138080</v>
      </c>
      <c r="AT11" s="296">
        <f t="shared" si="15"/>
        <v>144220</v>
      </c>
      <c r="AU11" s="426">
        <v>150360</v>
      </c>
    </row>
    <row r="12" spans="1:48" s="60" customFormat="1">
      <c r="A12" s="111" t="s">
        <v>89</v>
      </c>
      <c r="B12" s="294">
        <v>100800</v>
      </c>
      <c r="C12" s="295">
        <v>76460</v>
      </c>
      <c r="D12" s="327">
        <v>0</v>
      </c>
      <c r="E12" s="327">
        <v>0</v>
      </c>
      <c r="F12" s="327">
        <v>0</v>
      </c>
      <c r="G12" s="327">
        <v>0</v>
      </c>
      <c r="H12" s="295">
        <v>56400</v>
      </c>
      <c r="I12" s="327">
        <v>0</v>
      </c>
      <c r="J12" s="327">
        <v>0</v>
      </c>
      <c r="K12" s="295">
        <v>70972</v>
      </c>
      <c r="L12" s="296">
        <f t="shared" si="3"/>
        <v>70350</v>
      </c>
      <c r="M12" s="34">
        <v>69728</v>
      </c>
      <c r="N12" s="327">
        <v>0</v>
      </c>
      <c r="O12" s="327">
        <v>0</v>
      </c>
      <c r="P12" s="327">
        <v>0</v>
      </c>
      <c r="Q12" s="327">
        <v>0</v>
      </c>
      <c r="R12" s="327">
        <v>0</v>
      </c>
      <c r="S12" s="327">
        <v>0</v>
      </c>
      <c r="T12" s="327">
        <v>0</v>
      </c>
      <c r="U12" s="327">
        <v>0</v>
      </c>
      <c r="V12" s="295">
        <v>68540</v>
      </c>
      <c r="W12" s="296">
        <f t="shared" si="4"/>
        <v>67265</v>
      </c>
      <c r="X12" s="295">
        <v>65990</v>
      </c>
      <c r="Y12" s="296">
        <f t="shared" si="5"/>
        <v>62024</v>
      </c>
      <c r="Z12" s="295">
        <v>58058</v>
      </c>
      <c r="AA12" s="296">
        <f t="shared" si="6"/>
        <v>62619.5</v>
      </c>
      <c r="AB12" s="297">
        <v>67181</v>
      </c>
      <c r="AC12" s="296">
        <f t="shared" si="7"/>
        <v>74475.5</v>
      </c>
      <c r="AD12" s="292">
        <v>81770</v>
      </c>
      <c r="AE12" s="296">
        <f t="shared" si="8"/>
        <v>85535</v>
      </c>
      <c r="AF12" s="292">
        <v>89300</v>
      </c>
      <c r="AG12" s="296">
        <f t="shared" si="9"/>
        <v>87265</v>
      </c>
      <c r="AH12" s="295">
        <v>85230</v>
      </c>
      <c r="AI12" s="296">
        <f t="shared" si="10"/>
        <v>83665</v>
      </c>
      <c r="AJ12" s="295">
        <v>82100</v>
      </c>
      <c r="AK12" s="296">
        <f t="shared" si="11"/>
        <v>65490</v>
      </c>
      <c r="AL12" s="291">
        <v>48880</v>
      </c>
      <c r="AM12" s="296">
        <f t="shared" si="12"/>
        <v>62510</v>
      </c>
      <c r="AN12" s="291">
        <v>76140</v>
      </c>
      <c r="AO12" s="296">
        <f t="shared" si="13"/>
        <v>68762</v>
      </c>
      <c r="AP12" s="291">
        <v>61384</v>
      </c>
      <c r="AQ12" s="24">
        <v>70590</v>
      </c>
      <c r="AR12" s="296">
        <f t="shared" si="14"/>
        <v>70000</v>
      </c>
      <c r="AS12" s="426">
        <v>69410</v>
      </c>
      <c r="AT12" s="296">
        <f t="shared" si="15"/>
        <v>72080</v>
      </c>
      <c r="AU12" s="426">
        <v>74750</v>
      </c>
    </row>
    <row r="13" spans="1:48" s="60" customFormat="1">
      <c r="A13" s="111" t="s">
        <v>90</v>
      </c>
      <c r="B13" s="294">
        <v>160400</v>
      </c>
      <c r="C13" s="295">
        <v>147478</v>
      </c>
      <c r="D13" s="327">
        <v>0</v>
      </c>
      <c r="E13" s="327">
        <v>0</v>
      </c>
      <c r="F13" s="327">
        <v>0</v>
      </c>
      <c r="G13" s="327">
        <v>0</v>
      </c>
      <c r="H13" s="295">
        <v>126700</v>
      </c>
      <c r="I13" s="327">
        <v>0</v>
      </c>
      <c r="J13" s="327">
        <v>0</v>
      </c>
      <c r="K13" s="295">
        <v>159299</v>
      </c>
      <c r="L13" s="296">
        <f t="shared" si="3"/>
        <v>159110</v>
      </c>
      <c r="M13" s="34">
        <v>158921</v>
      </c>
      <c r="N13" s="327">
        <v>0</v>
      </c>
      <c r="O13" s="327">
        <v>0</v>
      </c>
      <c r="P13" s="327">
        <v>0</v>
      </c>
      <c r="Q13" s="327">
        <v>0</v>
      </c>
      <c r="R13" s="327">
        <v>0</v>
      </c>
      <c r="S13" s="327">
        <v>0</v>
      </c>
      <c r="T13" s="327">
        <v>0</v>
      </c>
      <c r="U13" s="327">
        <v>0</v>
      </c>
      <c r="V13" s="295">
        <v>136465</v>
      </c>
      <c r="W13" s="296">
        <f t="shared" si="4"/>
        <v>137856.5</v>
      </c>
      <c r="X13" s="295">
        <v>139248</v>
      </c>
      <c r="Y13" s="296">
        <f t="shared" si="5"/>
        <v>142380</v>
      </c>
      <c r="Z13" s="295">
        <v>145512</v>
      </c>
      <c r="AA13" s="296">
        <f t="shared" si="6"/>
        <v>146329.5</v>
      </c>
      <c r="AB13" s="297">
        <v>147147</v>
      </c>
      <c r="AC13" s="296">
        <f t="shared" si="7"/>
        <v>150428.5</v>
      </c>
      <c r="AD13" s="292">
        <v>153710</v>
      </c>
      <c r="AE13" s="296">
        <f t="shared" si="8"/>
        <v>150865</v>
      </c>
      <c r="AF13" s="292">
        <v>148020</v>
      </c>
      <c r="AG13" s="296">
        <f t="shared" si="9"/>
        <v>153965</v>
      </c>
      <c r="AH13" s="295">
        <v>159910</v>
      </c>
      <c r="AI13" s="296">
        <f t="shared" si="10"/>
        <v>157845</v>
      </c>
      <c r="AJ13" s="295">
        <v>155780</v>
      </c>
      <c r="AK13" s="296">
        <f t="shared" si="11"/>
        <v>147025</v>
      </c>
      <c r="AL13" s="291">
        <v>138270</v>
      </c>
      <c r="AM13" s="296">
        <f t="shared" si="12"/>
        <v>137865</v>
      </c>
      <c r="AN13" s="291">
        <v>137460</v>
      </c>
      <c r="AO13" s="296">
        <f t="shared" si="13"/>
        <v>134663</v>
      </c>
      <c r="AP13" s="291">
        <v>131866</v>
      </c>
      <c r="AQ13" s="24">
        <v>147040</v>
      </c>
      <c r="AR13" s="296">
        <f t="shared" si="14"/>
        <v>136380</v>
      </c>
      <c r="AS13" s="426">
        <v>125720</v>
      </c>
      <c r="AT13" s="296">
        <f t="shared" si="15"/>
        <v>127720</v>
      </c>
      <c r="AU13" s="426">
        <v>129720</v>
      </c>
    </row>
    <row r="14" spans="1:48" s="60" customFormat="1">
      <c r="A14" s="111" t="s">
        <v>91</v>
      </c>
      <c r="B14" s="294">
        <v>152400</v>
      </c>
      <c r="C14" s="295">
        <v>129179</v>
      </c>
      <c r="D14" s="327">
        <v>0</v>
      </c>
      <c r="E14" s="327">
        <v>0</v>
      </c>
      <c r="F14" s="327">
        <v>0</v>
      </c>
      <c r="G14" s="327">
        <v>0</v>
      </c>
      <c r="H14" s="295">
        <v>104300</v>
      </c>
      <c r="I14" s="327">
        <v>0</v>
      </c>
      <c r="J14" s="327">
        <v>0</v>
      </c>
      <c r="K14" s="295">
        <v>110329</v>
      </c>
      <c r="L14" s="296">
        <f t="shared" si="3"/>
        <v>108388</v>
      </c>
      <c r="M14" s="34">
        <v>106447</v>
      </c>
      <c r="N14" s="327">
        <v>0</v>
      </c>
      <c r="O14" s="327">
        <v>0</v>
      </c>
      <c r="P14" s="327">
        <v>0</v>
      </c>
      <c r="Q14" s="327">
        <v>0</v>
      </c>
      <c r="R14" s="327">
        <v>0</v>
      </c>
      <c r="S14" s="327">
        <v>0</v>
      </c>
      <c r="T14" s="327">
        <v>0</v>
      </c>
      <c r="U14" s="327">
        <v>0</v>
      </c>
      <c r="V14" s="295">
        <v>119464</v>
      </c>
      <c r="W14" s="296">
        <f t="shared" si="4"/>
        <v>116619</v>
      </c>
      <c r="X14" s="295">
        <v>113774</v>
      </c>
      <c r="Y14" s="296">
        <f t="shared" si="5"/>
        <v>113127.5</v>
      </c>
      <c r="Z14" s="295">
        <v>112481</v>
      </c>
      <c r="AA14" s="296">
        <f t="shared" si="6"/>
        <v>118786.5</v>
      </c>
      <c r="AB14" s="297">
        <v>125092</v>
      </c>
      <c r="AC14" s="296">
        <f t="shared" si="7"/>
        <v>140006</v>
      </c>
      <c r="AD14" s="292">
        <v>154920</v>
      </c>
      <c r="AE14" s="296">
        <f t="shared" si="8"/>
        <v>160745</v>
      </c>
      <c r="AF14" s="292">
        <v>166570</v>
      </c>
      <c r="AG14" s="296">
        <f t="shared" si="9"/>
        <v>171155</v>
      </c>
      <c r="AH14" s="295">
        <v>175740</v>
      </c>
      <c r="AI14" s="296">
        <f t="shared" si="10"/>
        <v>174050</v>
      </c>
      <c r="AJ14" s="295">
        <v>172360</v>
      </c>
      <c r="AK14" s="296">
        <f t="shared" si="11"/>
        <v>171355</v>
      </c>
      <c r="AL14" s="291">
        <v>170350</v>
      </c>
      <c r="AM14" s="296">
        <f t="shared" si="12"/>
        <v>168055</v>
      </c>
      <c r="AN14" s="291">
        <v>165760</v>
      </c>
      <c r="AO14" s="296">
        <f t="shared" si="13"/>
        <v>146087.5</v>
      </c>
      <c r="AP14" s="291">
        <v>126415</v>
      </c>
      <c r="AQ14" s="24">
        <v>145690</v>
      </c>
      <c r="AR14" s="296">
        <f t="shared" si="14"/>
        <v>141570</v>
      </c>
      <c r="AS14" s="426">
        <v>137450</v>
      </c>
      <c r="AT14" s="296">
        <f t="shared" si="15"/>
        <v>140490</v>
      </c>
      <c r="AU14" s="426">
        <v>143530</v>
      </c>
    </row>
    <row r="15" spans="1:48" s="60" customFormat="1">
      <c r="A15" s="111" t="s">
        <v>92</v>
      </c>
      <c r="B15" s="294">
        <v>21000</v>
      </c>
      <c r="C15" s="295">
        <v>42546</v>
      </c>
      <c r="D15" s="327">
        <v>0</v>
      </c>
      <c r="E15" s="327">
        <v>0</v>
      </c>
      <c r="F15" s="327">
        <v>0</v>
      </c>
      <c r="G15" s="327">
        <v>0</v>
      </c>
      <c r="H15" s="295">
        <v>61100</v>
      </c>
      <c r="I15" s="327">
        <v>0</v>
      </c>
      <c r="J15" s="327">
        <v>0</v>
      </c>
      <c r="K15" s="295">
        <v>51163</v>
      </c>
      <c r="L15" s="296">
        <f t="shared" si="3"/>
        <v>50639.5</v>
      </c>
      <c r="M15" s="34">
        <v>50116</v>
      </c>
      <c r="N15" s="327">
        <v>0</v>
      </c>
      <c r="O15" s="327">
        <v>0</v>
      </c>
      <c r="P15" s="327">
        <v>0</v>
      </c>
      <c r="Q15" s="327">
        <v>0</v>
      </c>
      <c r="R15" s="327">
        <v>0</v>
      </c>
      <c r="S15" s="327">
        <v>0</v>
      </c>
      <c r="T15" s="327">
        <v>0</v>
      </c>
      <c r="U15" s="327">
        <v>0</v>
      </c>
      <c r="V15" s="295">
        <v>55037</v>
      </c>
      <c r="W15" s="296">
        <f t="shared" si="4"/>
        <v>56897</v>
      </c>
      <c r="X15" s="295">
        <v>58757</v>
      </c>
      <c r="Y15" s="296">
        <f t="shared" si="5"/>
        <v>58706</v>
      </c>
      <c r="Z15" s="295">
        <v>58655</v>
      </c>
      <c r="AA15" s="296">
        <f t="shared" si="6"/>
        <v>54410.5</v>
      </c>
      <c r="AB15" s="297">
        <v>50166</v>
      </c>
      <c r="AC15" s="296">
        <f t="shared" si="7"/>
        <v>53658</v>
      </c>
      <c r="AD15" s="292">
        <v>57150</v>
      </c>
      <c r="AE15" s="296">
        <f t="shared" si="8"/>
        <v>62175</v>
      </c>
      <c r="AF15" s="292">
        <v>67200</v>
      </c>
      <c r="AG15" s="296">
        <f t="shared" si="9"/>
        <v>67290</v>
      </c>
      <c r="AH15" s="295">
        <v>67380</v>
      </c>
      <c r="AI15" s="296">
        <f t="shared" si="10"/>
        <v>62245</v>
      </c>
      <c r="AJ15" s="295">
        <v>57110</v>
      </c>
      <c r="AK15" s="296">
        <f t="shared" si="11"/>
        <v>57520</v>
      </c>
      <c r="AL15" s="291">
        <v>57930</v>
      </c>
      <c r="AM15" s="296">
        <f t="shared" si="12"/>
        <v>56600</v>
      </c>
      <c r="AN15" s="291">
        <v>55270</v>
      </c>
      <c r="AO15" s="296">
        <f t="shared" si="13"/>
        <v>51315.5</v>
      </c>
      <c r="AP15" s="291">
        <v>47361</v>
      </c>
      <c r="AQ15" s="24">
        <v>54650</v>
      </c>
      <c r="AR15" s="296">
        <f t="shared" si="14"/>
        <v>53355</v>
      </c>
      <c r="AS15" s="426">
        <v>52060</v>
      </c>
      <c r="AT15" s="296">
        <f t="shared" si="15"/>
        <v>51195</v>
      </c>
      <c r="AU15" s="426">
        <v>50330</v>
      </c>
    </row>
    <row r="16" spans="1:48" s="60" customFormat="1">
      <c r="A16" s="111" t="s">
        <v>93</v>
      </c>
      <c r="B16" s="294">
        <v>22100</v>
      </c>
      <c r="C16" s="295">
        <v>50521</v>
      </c>
      <c r="D16" s="327">
        <v>0</v>
      </c>
      <c r="E16" s="327">
        <v>0</v>
      </c>
      <c r="F16" s="327">
        <v>0</v>
      </c>
      <c r="G16" s="327">
        <v>0</v>
      </c>
      <c r="H16" s="295">
        <v>25500</v>
      </c>
      <c r="I16" s="327">
        <v>0</v>
      </c>
      <c r="J16" s="327">
        <v>0</v>
      </c>
      <c r="K16" s="295">
        <v>60006</v>
      </c>
      <c r="L16" s="296">
        <f t="shared" si="3"/>
        <v>59042</v>
      </c>
      <c r="M16" s="34">
        <v>58078</v>
      </c>
      <c r="N16" s="327">
        <v>0</v>
      </c>
      <c r="O16" s="327">
        <v>0</v>
      </c>
      <c r="P16" s="327">
        <v>0</v>
      </c>
      <c r="Q16" s="327">
        <v>0</v>
      </c>
      <c r="R16" s="327">
        <v>0</v>
      </c>
      <c r="S16" s="327">
        <v>0</v>
      </c>
      <c r="T16" s="327">
        <v>0</v>
      </c>
      <c r="U16" s="327">
        <v>0</v>
      </c>
      <c r="V16" s="295">
        <v>48350</v>
      </c>
      <c r="W16" s="296">
        <f t="shared" si="4"/>
        <v>55802.5</v>
      </c>
      <c r="X16" s="295">
        <v>63255</v>
      </c>
      <c r="Y16" s="296">
        <f t="shared" si="5"/>
        <v>66127.5</v>
      </c>
      <c r="Z16" s="295">
        <v>69000</v>
      </c>
      <c r="AA16" s="296">
        <f t="shared" si="6"/>
        <v>75218.5</v>
      </c>
      <c r="AB16" s="297">
        <v>81437</v>
      </c>
      <c r="AC16" s="296">
        <f t="shared" si="7"/>
        <v>93443.5</v>
      </c>
      <c r="AD16" s="292">
        <v>105450</v>
      </c>
      <c r="AE16" s="296">
        <f t="shared" si="8"/>
        <v>104910</v>
      </c>
      <c r="AF16" s="292">
        <v>104370</v>
      </c>
      <c r="AG16" s="296">
        <f t="shared" si="9"/>
        <v>110435</v>
      </c>
      <c r="AH16" s="295">
        <v>116500</v>
      </c>
      <c r="AI16" s="296">
        <f t="shared" si="10"/>
        <v>121365</v>
      </c>
      <c r="AJ16" s="295">
        <v>126230</v>
      </c>
      <c r="AK16" s="296">
        <f t="shared" si="11"/>
        <v>121755</v>
      </c>
      <c r="AL16" s="291">
        <v>117280</v>
      </c>
      <c r="AM16" s="296">
        <f t="shared" si="12"/>
        <v>119470</v>
      </c>
      <c r="AN16" s="291">
        <v>121660</v>
      </c>
      <c r="AO16" s="296">
        <f t="shared" si="13"/>
        <v>110121</v>
      </c>
      <c r="AP16" s="291">
        <v>98582</v>
      </c>
      <c r="AQ16" s="24">
        <v>110740</v>
      </c>
      <c r="AR16" s="296">
        <f t="shared" si="14"/>
        <v>114905</v>
      </c>
      <c r="AS16" s="426">
        <v>119070</v>
      </c>
      <c r="AT16" s="296">
        <f t="shared" si="15"/>
        <v>118580</v>
      </c>
      <c r="AU16" s="426">
        <v>118090</v>
      </c>
    </row>
    <row r="17" spans="1:47" s="60" customFormat="1">
      <c r="A17" s="111" t="s">
        <v>94</v>
      </c>
      <c r="B17" s="294">
        <v>22700</v>
      </c>
      <c r="C17" s="295">
        <v>17585</v>
      </c>
      <c r="D17" s="327">
        <v>0</v>
      </c>
      <c r="E17" s="327">
        <v>0</v>
      </c>
      <c r="F17" s="327">
        <v>0</v>
      </c>
      <c r="G17" s="327">
        <v>0</v>
      </c>
      <c r="H17" s="295">
        <v>11300</v>
      </c>
      <c r="I17" s="327">
        <v>0</v>
      </c>
      <c r="J17" s="327">
        <v>0</v>
      </c>
      <c r="K17" s="295">
        <v>16630</v>
      </c>
      <c r="L17" s="296">
        <f t="shared" si="3"/>
        <v>16482.5</v>
      </c>
      <c r="M17" s="34">
        <v>16335</v>
      </c>
      <c r="N17" s="327">
        <v>0</v>
      </c>
      <c r="O17" s="327">
        <v>0</v>
      </c>
      <c r="P17" s="327">
        <v>0</v>
      </c>
      <c r="Q17" s="327">
        <v>0</v>
      </c>
      <c r="R17" s="327">
        <v>0</v>
      </c>
      <c r="S17" s="327">
        <v>0</v>
      </c>
      <c r="T17" s="327">
        <v>0</v>
      </c>
      <c r="U17" s="327">
        <v>0</v>
      </c>
      <c r="V17" s="295">
        <v>19934</v>
      </c>
      <c r="W17" s="296">
        <f t="shared" si="4"/>
        <v>26979.5</v>
      </c>
      <c r="X17" s="295">
        <v>34025</v>
      </c>
      <c r="Y17" s="296">
        <f t="shared" si="5"/>
        <v>29931</v>
      </c>
      <c r="Z17" s="295">
        <v>25837</v>
      </c>
      <c r="AA17" s="296">
        <f t="shared" si="6"/>
        <v>25245</v>
      </c>
      <c r="AB17" s="297">
        <v>24653</v>
      </c>
      <c r="AC17" s="296">
        <f t="shared" si="7"/>
        <v>32116.5</v>
      </c>
      <c r="AD17" s="292">
        <v>39580</v>
      </c>
      <c r="AE17" s="296">
        <f t="shared" si="8"/>
        <v>42620</v>
      </c>
      <c r="AF17" s="292">
        <v>45660</v>
      </c>
      <c r="AG17" s="296">
        <f t="shared" si="9"/>
        <v>46115</v>
      </c>
      <c r="AH17" s="295">
        <v>46570</v>
      </c>
      <c r="AI17" s="296">
        <f t="shared" si="10"/>
        <v>40435</v>
      </c>
      <c r="AJ17" s="295">
        <v>34300</v>
      </c>
      <c r="AK17" s="296">
        <f t="shared" si="11"/>
        <v>34825</v>
      </c>
      <c r="AL17" s="291">
        <v>35350</v>
      </c>
      <c r="AM17" s="296">
        <f t="shared" si="12"/>
        <v>37835</v>
      </c>
      <c r="AN17" s="291">
        <v>40320</v>
      </c>
      <c r="AO17" s="296">
        <f t="shared" si="13"/>
        <v>34239.5</v>
      </c>
      <c r="AP17" s="291">
        <v>28159</v>
      </c>
      <c r="AQ17" s="24">
        <v>34000</v>
      </c>
      <c r="AR17" s="296">
        <f t="shared" si="14"/>
        <v>34875</v>
      </c>
      <c r="AS17" s="426">
        <v>35750</v>
      </c>
      <c r="AT17" s="296">
        <f t="shared" si="15"/>
        <v>34245</v>
      </c>
      <c r="AU17" s="426">
        <v>32740</v>
      </c>
    </row>
    <row r="18" spans="1:47" s="60" customFormat="1">
      <c r="A18" s="111" t="s">
        <v>95</v>
      </c>
      <c r="B18" s="294">
        <v>17100</v>
      </c>
      <c r="C18" s="295">
        <v>34079</v>
      </c>
      <c r="D18" s="327">
        <v>0</v>
      </c>
      <c r="E18" s="327">
        <v>0</v>
      </c>
      <c r="F18" s="327">
        <v>0</v>
      </c>
      <c r="G18" s="327">
        <v>0</v>
      </c>
      <c r="H18" s="295">
        <v>27500</v>
      </c>
      <c r="I18" s="327">
        <v>0</v>
      </c>
      <c r="J18" s="327">
        <v>0</v>
      </c>
      <c r="K18" s="295">
        <v>51470</v>
      </c>
      <c r="L18" s="296">
        <f t="shared" si="3"/>
        <v>50544.5</v>
      </c>
      <c r="M18" s="34">
        <v>49619</v>
      </c>
      <c r="N18" s="327">
        <v>0</v>
      </c>
      <c r="O18" s="327">
        <v>0</v>
      </c>
      <c r="P18" s="327">
        <v>0</v>
      </c>
      <c r="Q18" s="327">
        <v>0</v>
      </c>
      <c r="R18" s="327">
        <v>0</v>
      </c>
      <c r="S18" s="327">
        <v>0</v>
      </c>
      <c r="T18" s="327">
        <v>0</v>
      </c>
      <c r="U18" s="327">
        <v>0</v>
      </c>
      <c r="V18" s="295">
        <v>57024</v>
      </c>
      <c r="W18" s="296">
        <f t="shared" si="4"/>
        <v>51555</v>
      </c>
      <c r="X18" s="295">
        <v>46086</v>
      </c>
      <c r="Y18" s="296">
        <f t="shared" si="5"/>
        <v>48843</v>
      </c>
      <c r="Z18" s="295">
        <v>51600</v>
      </c>
      <c r="AA18" s="296">
        <f t="shared" si="6"/>
        <v>50881</v>
      </c>
      <c r="AB18" s="297">
        <v>50162</v>
      </c>
      <c r="AC18" s="296">
        <f t="shared" si="7"/>
        <v>66276</v>
      </c>
      <c r="AD18" s="292">
        <v>82390</v>
      </c>
      <c r="AE18" s="296">
        <f t="shared" si="8"/>
        <v>84600</v>
      </c>
      <c r="AF18" s="292">
        <v>86810</v>
      </c>
      <c r="AG18" s="296">
        <f t="shared" si="9"/>
        <v>78880</v>
      </c>
      <c r="AH18" s="295">
        <v>70950</v>
      </c>
      <c r="AI18" s="296">
        <f t="shared" si="10"/>
        <v>72375</v>
      </c>
      <c r="AJ18" s="295">
        <v>73800</v>
      </c>
      <c r="AK18" s="296">
        <f t="shared" si="11"/>
        <v>72020</v>
      </c>
      <c r="AL18" s="291">
        <v>70240</v>
      </c>
      <c r="AM18" s="296">
        <f t="shared" si="12"/>
        <v>70835</v>
      </c>
      <c r="AN18" s="291">
        <v>71430</v>
      </c>
      <c r="AO18" s="296">
        <f t="shared" si="13"/>
        <v>60316.5</v>
      </c>
      <c r="AP18" s="291">
        <v>49203</v>
      </c>
      <c r="AQ18" s="24">
        <v>62320</v>
      </c>
      <c r="AR18" s="296">
        <f t="shared" si="14"/>
        <v>61605</v>
      </c>
      <c r="AS18" s="426">
        <v>60890</v>
      </c>
      <c r="AT18" s="296">
        <f t="shared" si="15"/>
        <v>63120</v>
      </c>
      <c r="AU18" s="426">
        <v>65350</v>
      </c>
    </row>
    <row r="19" spans="1:47" s="60" customFormat="1">
      <c r="A19" s="111" t="s">
        <v>96</v>
      </c>
      <c r="B19" s="294">
        <v>35600</v>
      </c>
      <c r="C19" s="295">
        <v>49469</v>
      </c>
      <c r="D19" s="327">
        <v>0</v>
      </c>
      <c r="E19" s="327">
        <v>0</v>
      </c>
      <c r="F19" s="327">
        <v>0</v>
      </c>
      <c r="G19" s="327">
        <v>0</v>
      </c>
      <c r="H19" s="295">
        <v>31400</v>
      </c>
      <c r="I19" s="327">
        <v>0</v>
      </c>
      <c r="J19" s="327">
        <v>0</v>
      </c>
      <c r="K19" s="295">
        <v>74019</v>
      </c>
      <c r="L19" s="296">
        <f t="shared" si="3"/>
        <v>72818</v>
      </c>
      <c r="M19" s="34">
        <v>71617</v>
      </c>
      <c r="N19" s="327">
        <v>0</v>
      </c>
      <c r="O19" s="327">
        <v>0</v>
      </c>
      <c r="P19" s="327">
        <v>0</v>
      </c>
      <c r="Q19" s="327">
        <v>0</v>
      </c>
      <c r="R19" s="327">
        <v>0</v>
      </c>
      <c r="S19" s="327">
        <v>0</v>
      </c>
      <c r="T19" s="327">
        <v>0</v>
      </c>
      <c r="U19" s="327">
        <v>0</v>
      </c>
      <c r="V19" s="295">
        <v>73015</v>
      </c>
      <c r="W19" s="296">
        <f t="shared" si="4"/>
        <v>77992</v>
      </c>
      <c r="X19" s="295">
        <v>82969</v>
      </c>
      <c r="Y19" s="296">
        <f t="shared" si="5"/>
        <v>83753.5</v>
      </c>
      <c r="Z19" s="295">
        <v>84538</v>
      </c>
      <c r="AA19" s="296">
        <f t="shared" si="6"/>
        <v>82619.5</v>
      </c>
      <c r="AB19" s="297">
        <v>80701</v>
      </c>
      <c r="AC19" s="296">
        <f t="shared" si="7"/>
        <v>86290.5</v>
      </c>
      <c r="AD19" s="292">
        <v>91880</v>
      </c>
      <c r="AE19" s="296">
        <f t="shared" si="8"/>
        <v>98015</v>
      </c>
      <c r="AF19" s="292">
        <v>104150</v>
      </c>
      <c r="AG19" s="296">
        <f t="shared" si="9"/>
        <v>101470</v>
      </c>
      <c r="AH19" s="295">
        <v>98790</v>
      </c>
      <c r="AI19" s="296">
        <f t="shared" si="10"/>
        <v>96090</v>
      </c>
      <c r="AJ19" s="295">
        <v>93390</v>
      </c>
      <c r="AK19" s="296">
        <f t="shared" si="11"/>
        <v>99315</v>
      </c>
      <c r="AL19" s="291">
        <v>105240</v>
      </c>
      <c r="AM19" s="296">
        <f t="shared" si="12"/>
        <v>111390</v>
      </c>
      <c r="AN19" s="291">
        <v>117540</v>
      </c>
      <c r="AO19" s="296">
        <f t="shared" si="13"/>
        <v>102647</v>
      </c>
      <c r="AP19" s="291">
        <v>87754</v>
      </c>
      <c r="AQ19" s="24">
        <v>98310</v>
      </c>
      <c r="AR19" s="296">
        <f t="shared" si="14"/>
        <v>95370</v>
      </c>
      <c r="AS19" s="426">
        <v>92430</v>
      </c>
      <c r="AT19" s="296">
        <f t="shared" si="15"/>
        <v>93210</v>
      </c>
      <c r="AU19" s="426">
        <v>93990</v>
      </c>
    </row>
    <row r="20" spans="1:47" s="60" customFormat="1">
      <c r="A20" s="111" t="s">
        <v>97</v>
      </c>
      <c r="B20" s="294">
        <v>168400</v>
      </c>
      <c r="C20" s="295">
        <v>177410</v>
      </c>
      <c r="D20" s="327">
        <v>0</v>
      </c>
      <c r="E20" s="327">
        <v>0</v>
      </c>
      <c r="F20" s="327">
        <v>0</v>
      </c>
      <c r="G20" s="327">
        <v>0</v>
      </c>
      <c r="H20" s="295">
        <v>110000</v>
      </c>
      <c r="I20" s="327">
        <v>0</v>
      </c>
      <c r="J20" s="327">
        <v>0</v>
      </c>
      <c r="K20" s="295">
        <v>153270</v>
      </c>
      <c r="L20" s="296">
        <f t="shared" si="3"/>
        <v>150902</v>
      </c>
      <c r="M20" s="34">
        <v>148534</v>
      </c>
      <c r="N20" s="327">
        <v>0</v>
      </c>
      <c r="O20" s="327">
        <v>0</v>
      </c>
      <c r="P20" s="327">
        <v>0</v>
      </c>
      <c r="Q20" s="327">
        <v>0</v>
      </c>
      <c r="R20" s="327">
        <v>0</v>
      </c>
      <c r="S20" s="327">
        <v>0</v>
      </c>
      <c r="T20" s="327">
        <v>0</v>
      </c>
      <c r="U20" s="327">
        <v>0</v>
      </c>
      <c r="V20" s="295">
        <v>199524</v>
      </c>
      <c r="W20" s="296">
        <f t="shared" si="4"/>
        <v>185097</v>
      </c>
      <c r="X20" s="295">
        <v>170670</v>
      </c>
      <c r="Y20" s="296">
        <f t="shared" si="5"/>
        <v>191003.5</v>
      </c>
      <c r="Z20" s="295">
        <v>211337</v>
      </c>
      <c r="AA20" s="296">
        <f t="shared" si="6"/>
        <v>220345</v>
      </c>
      <c r="AB20" s="297">
        <v>229353</v>
      </c>
      <c r="AC20" s="296">
        <f t="shared" si="7"/>
        <v>256236.5</v>
      </c>
      <c r="AD20" s="292">
        <v>283120</v>
      </c>
      <c r="AE20" s="296">
        <f t="shared" si="8"/>
        <v>280445</v>
      </c>
      <c r="AF20" s="292">
        <v>277770</v>
      </c>
      <c r="AG20" s="296">
        <f t="shared" si="9"/>
        <v>295990</v>
      </c>
      <c r="AH20" s="295">
        <v>314210</v>
      </c>
      <c r="AI20" s="296">
        <f t="shared" si="10"/>
        <v>292795</v>
      </c>
      <c r="AJ20" s="295">
        <v>271380</v>
      </c>
      <c r="AK20" s="296">
        <f t="shared" si="11"/>
        <v>287775</v>
      </c>
      <c r="AL20" s="291">
        <v>304170</v>
      </c>
      <c r="AM20" s="296">
        <f t="shared" si="12"/>
        <v>300355</v>
      </c>
      <c r="AN20" s="291">
        <v>296540</v>
      </c>
      <c r="AO20" s="296">
        <f t="shared" si="13"/>
        <v>271054</v>
      </c>
      <c r="AP20" s="291">
        <v>245568</v>
      </c>
      <c r="AQ20" s="24">
        <v>313360</v>
      </c>
      <c r="AR20" s="296">
        <f t="shared" si="14"/>
        <v>299340</v>
      </c>
      <c r="AS20" s="426">
        <v>285320</v>
      </c>
      <c r="AT20" s="296">
        <f t="shared" si="15"/>
        <v>298980</v>
      </c>
      <c r="AU20" s="426">
        <v>312640</v>
      </c>
    </row>
    <row r="21" spans="1:47" s="60" customFormat="1">
      <c r="A21" s="111" t="s">
        <v>98</v>
      </c>
      <c r="B21" s="294">
        <v>62600</v>
      </c>
      <c r="C21" s="295">
        <v>77663</v>
      </c>
      <c r="D21" s="327">
        <v>0</v>
      </c>
      <c r="E21" s="327">
        <v>0</v>
      </c>
      <c r="F21" s="327">
        <v>0</v>
      </c>
      <c r="G21" s="327">
        <v>0</v>
      </c>
      <c r="H21" s="295">
        <v>59300</v>
      </c>
      <c r="I21" s="327">
        <v>0</v>
      </c>
      <c r="J21" s="327">
        <v>0</v>
      </c>
      <c r="K21" s="295">
        <v>74225</v>
      </c>
      <c r="L21" s="296">
        <f t="shared" si="3"/>
        <v>74647</v>
      </c>
      <c r="M21" s="34">
        <v>75069</v>
      </c>
      <c r="N21" s="327">
        <v>0</v>
      </c>
      <c r="O21" s="327">
        <v>0</v>
      </c>
      <c r="P21" s="327">
        <v>0</v>
      </c>
      <c r="Q21" s="327">
        <v>0</v>
      </c>
      <c r="R21" s="327">
        <v>0</v>
      </c>
      <c r="S21" s="327">
        <v>0</v>
      </c>
      <c r="T21" s="327">
        <v>0</v>
      </c>
      <c r="U21" s="327">
        <v>0</v>
      </c>
      <c r="V21" s="295">
        <v>66847</v>
      </c>
      <c r="W21" s="296">
        <f t="shared" si="4"/>
        <v>73867</v>
      </c>
      <c r="X21" s="295">
        <v>80887</v>
      </c>
      <c r="Y21" s="296">
        <f t="shared" si="5"/>
        <v>82662.5</v>
      </c>
      <c r="Z21" s="295">
        <v>84438</v>
      </c>
      <c r="AA21" s="296">
        <f t="shared" si="6"/>
        <v>85472.5</v>
      </c>
      <c r="AB21" s="297">
        <v>86507</v>
      </c>
      <c r="AC21" s="296">
        <f t="shared" si="7"/>
        <v>101033.5</v>
      </c>
      <c r="AD21" s="292">
        <v>115560</v>
      </c>
      <c r="AE21" s="296">
        <f t="shared" si="8"/>
        <v>115835</v>
      </c>
      <c r="AF21" s="292">
        <v>116110</v>
      </c>
      <c r="AG21" s="296">
        <f t="shared" si="9"/>
        <v>122790</v>
      </c>
      <c r="AH21" s="295">
        <v>129470</v>
      </c>
      <c r="AI21" s="296">
        <f t="shared" si="10"/>
        <v>130315</v>
      </c>
      <c r="AJ21" s="295">
        <v>131160</v>
      </c>
      <c r="AK21" s="296">
        <f t="shared" si="11"/>
        <v>143190</v>
      </c>
      <c r="AL21" s="291">
        <v>155220</v>
      </c>
      <c r="AM21" s="296">
        <f t="shared" si="12"/>
        <v>149180</v>
      </c>
      <c r="AN21" s="291">
        <v>143140</v>
      </c>
      <c r="AO21" s="296">
        <f t="shared" si="13"/>
        <v>123108</v>
      </c>
      <c r="AP21" s="291">
        <v>103076</v>
      </c>
      <c r="AQ21" s="24">
        <v>128140</v>
      </c>
      <c r="AR21" s="296">
        <f t="shared" si="14"/>
        <v>125960</v>
      </c>
      <c r="AS21" s="426">
        <v>123780</v>
      </c>
      <c r="AT21" s="296">
        <f t="shared" si="15"/>
        <v>127555</v>
      </c>
      <c r="AU21" s="426">
        <v>131330</v>
      </c>
    </row>
    <row r="22" spans="1:47" s="60" customFormat="1">
      <c r="A22" s="298" t="s">
        <v>99</v>
      </c>
      <c r="B22" s="299">
        <v>19500</v>
      </c>
      <c r="C22" s="300">
        <v>17857</v>
      </c>
      <c r="D22" s="331">
        <v>0</v>
      </c>
      <c r="E22" s="331">
        <v>0</v>
      </c>
      <c r="F22" s="331">
        <v>0</v>
      </c>
      <c r="G22" s="331">
        <v>0</v>
      </c>
      <c r="H22" s="300">
        <v>10600</v>
      </c>
      <c r="I22" s="331">
        <v>0</v>
      </c>
      <c r="J22" s="331">
        <v>0</v>
      </c>
      <c r="K22" s="300">
        <v>14013</v>
      </c>
      <c r="L22" s="301">
        <f t="shared" si="3"/>
        <v>13310.5</v>
      </c>
      <c r="M22" s="35">
        <v>12608</v>
      </c>
      <c r="N22" s="331">
        <v>0</v>
      </c>
      <c r="O22" s="331">
        <v>0</v>
      </c>
      <c r="P22" s="331">
        <v>0</v>
      </c>
      <c r="Q22" s="331">
        <v>0</v>
      </c>
      <c r="R22" s="331">
        <v>0</v>
      </c>
      <c r="S22" s="331">
        <v>0</v>
      </c>
      <c r="T22" s="331">
        <v>0</v>
      </c>
      <c r="U22" s="331">
        <v>0</v>
      </c>
      <c r="V22" s="300">
        <v>11233</v>
      </c>
      <c r="W22" s="301">
        <f t="shared" si="4"/>
        <v>12070.5</v>
      </c>
      <c r="X22" s="300">
        <v>12908</v>
      </c>
      <c r="Y22" s="301">
        <f t="shared" si="5"/>
        <v>13223.5</v>
      </c>
      <c r="Z22" s="300">
        <v>13539</v>
      </c>
      <c r="AA22" s="301">
        <f t="shared" si="6"/>
        <v>13390</v>
      </c>
      <c r="AB22" s="35">
        <v>13241</v>
      </c>
      <c r="AC22" s="301">
        <f t="shared" si="7"/>
        <v>14250.5</v>
      </c>
      <c r="AD22" s="300">
        <v>15260</v>
      </c>
      <c r="AE22" s="301">
        <f t="shared" si="8"/>
        <v>15815</v>
      </c>
      <c r="AF22" s="300">
        <v>16370</v>
      </c>
      <c r="AG22" s="301">
        <f t="shared" si="9"/>
        <v>16465</v>
      </c>
      <c r="AH22" s="300">
        <v>16560</v>
      </c>
      <c r="AI22" s="301">
        <f t="shared" si="10"/>
        <v>15930</v>
      </c>
      <c r="AJ22" s="300">
        <v>15300</v>
      </c>
      <c r="AK22" s="301">
        <f t="shared" si="11"/>
        <v>15710</v>
      </c>
      <c r="AL22" s="302">
        <v>16120</v>
      </c>
      <c r="AM22" s="301">
        <f t="shared" si="12"/>
        <v>15550</v>
      </c>
      <c r="AN22" s="302">
        <v>14980</v>
      </c>
      <c r="AO22" s="301">
        <f t="shared" si="13"/>
        <v>13650.5</v>
      </c>
      <c r="AP22" s="302">
        <v>12321</v>
      </c>
      <c r="AQ22" s="25">
        <v>13860</v>
      </c>
      <c r="AR22" s="301">
        <f t="shared" si="14"/>
        <v>13645</v>
      </c>
      <c r="AS22" s="427">
        <v>13430</v>
      </c>
      <c r="AT22" s="296">
        <f t="shared" si="15"/>
        <v>13890</v>
      </c>
      <c r="AU22" s="426">
        <v>14350</v>
      </c>
    </row>
    <row r="23" spans="1:47" s="60" customFormat="1">
      <c r="A23" s="111" t="s">
        <v>245</v>
      </c>
      <c r="B23" s="112">
        <f t="shared" ref="B23:AS23" si="16">SUM(B25:B37)</f>
        <v>743700</v>
      </c>
      <c r="C23" s="112">
        <f t="shared" si="16"/>
        <v>646818</v>
      </c>
      <c r="D23" s="329">
        <v>0</v>
      </c>
      <c r="E23" s="329">
        <v>0</v>
      </c>
      <c r="F23" s="329">
        <v>0</v>
      </c>
      <c r="G23" s="329">
        <v>0</v>
      </c>
      <c r="H23" s="112">
        <f t="shared" si="16"/>
        <v>482800</v>
      </c>
      <c r="I23" s="329">
        <v>0</v>
      </c>
      <c r="J23" s="329">
        <v>0</v>
      </c>
      <c r="K23" s="112">
        <f t="shared" si="16"/>
        <v>732780</v>
      </c>
      <c r="L23" s="112">
        <f t="shared" si="16"/>
        <v>746724.5</v>
      </c>
      <c r="M23" s="112">
        <f t="shared" si="16"/>
        <v>760669</v>
      </c>
      <c r="N23" s="329">
        <v>0</v>
      </c>
      <c r="O23" s="329">
        <v>0</v>
      </c>
      <c r="P23" s="329">
        <v>0</v>
      </c>
      <c r="Q23" s="329">
        <v>0</v>
      </c>
      <c r="R23" s="329">
        <v>0</v>
      </c>
      <c r="S23" s="329">
        <v>0</v>
      </c>
      <c r="T23" s="329">
        <v>0</v>
      </c>
      <c r="U23" s="329">
        <v>0</v>
      </c>
      <c r="V23" s="112">
        <f t="shared" si="16"/>
        <v>840192</v>
      </c>
      <c r="W23" s="112">
        <f t="shared" si="16"/>
        <v>874527</v>
      </c>
      <c r="X23" s="112">
        <f t="shared" si="16"/>
        <v>908862</v>
      </c>
      <c r="Y23" s="112">
        <f t="shared" si="16"/>
        <v>886951.5</v>
      </c>
      <c r="Z23" s="112">
        <f t="shared" si="16"/>
        <v>865041</v>
      </c>
      <c r="AA23" s="112">
        <f t="shared" si="16"/>
        <v>907232.5</v>
      </c>
      <c r="AB23" s="112">
        <f t="shared" si="16"/>
        <v>949424</v>
      </c>
      <c r="AC23" s="112">
        <f t="shared" si="16"/>
        <v>1032782</v>
      </c>
      <c r="AD23" s="112">
        <f t="shared" si="16"/>
        <v>1116140</v>
      </c>
      <c r="AE23" s="112">
        <f t="shared" si="16"/>
        <v>1121770</v>
      </c>
      <c r="AF23" s="112">
        <f t="shared" si="16"/>
        <v>1127400</v>
      </c>
      <c r="AG23" s="112">
        <f t="shared" si="16"/>
        <v>1167945</v>
      </c>
      <c r="AH23" s="112">
        <f t="shared" si="16"/>
        <v>1208490</v>
      </c>
      <c r="AI23" s="112">
        <f t="shared" si="16"/>
        <v>1195030</v>
      </c>
      <c r="AJ23" s="112">
        <f t="shared" si="16"/>
        <v>1181570</v>
      </c>
      <c r="AK23" s="112">
        <f t="shared" si="16"/>
        <v>1207610</v>
      </c>
      <c r="AL23" s="112">
        <f t="shared" si="16"/>
        <v>1233650</v>
      </c>
      <c r="AM23" s="112">
        <f t="shared" si="16"/>
        <v>1200180</v>
      </c>
      <c r="AN23" s="112">
        <f t="shared" si="16"/>
        <v>1166710</v>
      </c>
      <c r="AO23" s="112">
        <f t="shared" si="16"/>
        <v>1022417.5</v>
      </c>
      <c r="AP23" s="112">
        <f t="shared" si="16"/>
        <v>878125</v>
      </c>
      <c r="AQ23" s="112">
        <f t="shared" si="16"/>
        <v>1040820</v>
      </c>
      <c r="AR23" s="112">
        <f t="shared" si="16"/>
        <v>1023555</v>
      </c>
      <c r="AS23" s="112">
        <f t="shared" si="16"/>
        <v>1006290</v>
      </c>
      <c r="AT23" s="112">
        <f>SUM(AT25:AT37)</f>
        <v>1017315</v>
      </c>
      <c r="AU23" s="112">
        <f>SUM(AU25:AU37)</f>
        <v>1028340</v>
      </c>
    </row>
    <row r="24" spans="1:47" s="60" customFormat="1">
      <c r="A24" s="108" t="s">
        <v>244</v>
      </c>
      <c r="B24" s="270">
        <f t="shared" ref="B24:AS24" si="17">(B23/B4)*100</f>
        <v>10.936764705882354</v>
      </c>
      <c r="C24" s="270">
        <f t="shared" si="17"/>
        <v>11.283941817093231</v>
      </c>
      <c r="D24" s="330">
        <v>0</v>
      </c>
      <c r="E24" s="330">
        <v>0</v>
      </c>
      <c r="F24" s="330">
        <v>0</v>
      </c>
      <c r="G24" s="330">
        <v>0</v>
      </c>
      <c r="H24" s="270">
        <f t="shared" si="17"/>
        <v>10.495652173913044</v>
      </c>
      <c r="I24" s="330">
        <v>0</v>
      </c>
      <c r="J24" s="330">
        <v>0</v>
      </c>
      <c r="K24" s="270">
        <f t="shared" si="17"/>
        <v>14.408825803985462</v>
      </c>
      <c r="L24" s="270">
        <f t="shared" si="17"/>
        <v>14.864052229295813</v>
      </c>
      <c r="M24" s="270">
        <f t="shared" si="17"/>
        <v>15.330644096695625</v>
      </c>
      <c r="N24" s="330">
        <v>0</v>
      </c>
      <c r="O24" s="330">
        <v>0</v>
      </c>
      <c r="P24" s="330">
        <v>0</v>
      </c>
      <c r="Q24" s="330">
        <v>0</v>
      </c>
      <c r="R24" s="330">
        <v>0</v>
      </c>
      <c r="S24" s="330">
        <v>0</v>
      </c>
      <c r="T24" s="330">
        <v>0</v>
      </c>
      <c r="U24" s="330">
        <v>0</v>
      </c>
      <c r="V24" s="270">
        <f t="shared" si="17"/>
        <v>17.414251302350511</v>
      </c>
      <c r="W24" s="270">
        <f t="shared" si="17"/>
        <v>18.005074618384498</v>
      </c>
      <c r="X24" s="270">
        <f t="shared" si="17"/>
        <v>18.588073602768386</v>
      </c>
      <c r="Y24" s="270">
        <f t="shared" si="17"/>
        <v>18.238894255410919</v>
      </c>
      <c r="Z24" s="270">
        <f t="shared" si="17"/>
        <v>17.885885190465313</v>
      </c>
      <c r="AA24" s="270">
        <f t="shared" si="17"/>
        <v>18.386153971024807</v>
      </c>
      <c r="AB24" s="270">
        <f t="shared" si="17"/>
        <v>18.866961673254899</v>
      </c>
      <c r="AC24" s="270">
        <f t="shared" si="17"/>
        <v>18.818067043994194</v>
      </c>
      <c r="AD24" s="270">
        <f t="shared" si="17"/>
        <v>18.776674758465685</v>
      </c>
      <c r="AE24" s="270">
        <f t="shared" si="17"/>
        <v>18.754665594433302</v>
      </c>
      <c r="AF24" s="270">
        <f t="shared" si="17"/>
        <v>18.732927015692191</v>
      </c>
      <c r="AG24" s="270">
        <f t="shared" si="17"/>
        <v>18.932608532581202</v>
      </c>
      <c r="AH24" s="270">
        <f t="shared" si="17"/>
        <v>19.122767999662006</v>
      </c>
      <c r="AI24" s="270">
        <f t="shared" si="17"/>
        <v>19.245391055925019</v>
      </c>
      <c r="AJ24" s="270">
        <f t="shared" si="17"/>
        <v>19.372445374252159</v>
      </c>
      <c r="AK24" s="270">
        <f t="shared" si="17"/>
        <v>19.89066483947266</v>
      </c>
      <c r="AL24" s="270">
        <f t="shared" si="17"/>
        <v>20.413684689529639</v>
      </c>
      <c r="AM24" s="270">
        <f t="shared" si="17"/>
        <v>20.080930745401108</v>
      </c>
      <c r="AN24" s="270">
        <f t="shared" si="17"/>
        <v>19.740684716878334</v>
      </c>
      <c r="AO24" s="270">
        <f t="shared" si="17"/>
        <v>19.272167679314659</v>
      </c>
      <c r="AP24" s="270">
        <f t="shared" si="17"/>
        <v>18.68302964966221</v>
      </c>
      <c r="AQ24" s="270">
        <f t="shared" si="17"/>
        <v>18.963651270839026</v>
      </c>
      <c r="AR24" s="270">
        <f t="shared" si="17"/>
        <v>19.031217142235597</v>
      </c>
      <c r="AS24" s="270">
        <f t="shared" si="17"/>
        <v>19.101609881380156</v>
      </c>
      <c r="AT24" s="270">
        <f>(AT23/AT4)*100</f>
        <v>19.079658698014885</v>
      </c>
      <c r="AU24" s="270">
        <f>(AU23/AU4)*100</f>
        <v>19.058226984791819</v>
      </c>
    </row>
    <row r="25" spans="1:47" s="60" customFormat="1">
      <c r="A25" s="305" t="s">
        <v>129</v>
      </c>
      <c r="B25" s="303">
        <v>2600</v>
      </c>
      <c r="C25" s="23">
        <v>2472</v>
      </c>
      <c r="D25" s="332">
        <v>0</v>
      </c>
      <c r="E25" s="332">
        <v>0</v>
      </c>
      <c r="F25" s="332">
        <v>0</v>
      </c>
      <c r="G25" s="332">
        <v>0</v>
      </c>
      <c r="H25" s="23">
        <v>500</v>
      </c>
      <c r="I25" s="332">
        <v>0</v>
      </c>
      <c r="J25" s="332">
        <v>0</v>
      </c>
      <c r="K25" s="23">
        <v>4175</v>
      </c>
      <c r="L25" s="296">
        <f t="shared" ref="L25:L37" si="18">((M25-K25)/2)+K25</f>
        <v>3987.5</v>
      </c>
      <c r="M25" s="23">
        <v>3800</v>
      </c>
      <c r="N25" s="332">
        <v>0</v>
      </c>
      <c r="O25" s="332">
        <v>0</v>
      </c>
      <c r="P25" s="332">
        <v>0</v>
      </c>
      <c r="Q25" s="332">
        <v>0</v>
      </c>
      <c r="R25" s="332">
        <v>0</v>
      </c>
      <c r="S25" s="332">
        <v>0</v>
      </c>
      <c r="T25" s="332">
        <v>0</v>
      </c>
      <c r="U25" s="332">
        <v>0</v>
      </c>
      <c r="V25" s="23">
        <v>4023</v>
      </c>
      <c r="W25" s="296">
        <f t="shared" ref="W25:W37" si="19">((X25-V25)/2)+V25</f>
        <v>4771.5</v>
      </c>
      <c r="X25" s="23">
        <v>5520</v>
      </c>
      <c r="Y25" s="296">
        <f t="shared" ref="Y25:Y37" si="20">((Z25-X25)/2)+X25</f>
        <v>5702</v>
      </c>
      <c r="Z25" s="23">
        <v>5884</v>
      </c>
      <c r="AA25" s="296">
        <f t="shared" ref="AA25:AA37" si="21">((AB25-Z25)/2)+Z25</f>
        <v>5998.5</v>
      </c>
      <c r="AB25" s="24">
        <v>6113</v>
      </c>
      <c r="AC25" s="296">
        <f t="shared" ref="AC25:AC37" si="22">((AD25-AB25)/2)+AB25</f>
        <v>6671.5</v>
      </c>
      <c r="AD25" s="24">
        <v>7230</v>
      </c>
      <c r="AE25" s="296">
        <f t="shared" ref="AE25:AE37" si="23">((AF25-AD25)/2)+AD25</f>
        <v>7105</v>
      </c>
      <c r="AF25" s="24">
        <v>6980</v>
      </c>
      <c r="AG25" s="296">
        <f t="shared" ref="AG25:AG37" si="24">((AH25-AF25)/2)+AF25</f>
        <v>7200</v>
      </c>
      <c r="AH25" s="295">
        <v>7420</v>
      </c>
      <c r="AI25" s="296">
        <f t="shared" ref="AI25:AI37" si="25">((AJ25-AH25)/2)+AH25</f>
        <v>7395</v>
      </c>
      <c r="AJ25" s="295">
        <v>7370</v>
      </c>
      <c r="AK25" s="296">
        <f t="shared" ref="AK25:AK37" si="26">((AL25-AJ25)/2)+AJ25</f>
        <v>7435</v>
      </c>
      <c r="AL25" s="291">
        <v>7500</v>
      </c>
      <c r="AM25" s="296">
        <f t="shared" ref="AM25:AM37" si="27">((AN25-AL25)/2)+AL25</f>
        <v>6245</v>
      </c>
      <c r="AN25" s="291">
        <v>4990</v>
      </c>
      <c r="AO25" s="296">
        <f t="shared" ref="AO25:AO37" si="28">((AP25-AN25)/2)+AN25</f>
        <v>4708</v>
      </c>
      <c r="AP25" s="291">
        <v>4426</v>
      </c>
      <c r="AQ25" s="24">
        <v>7510</v>
      </c>
      <c r="AR25" s="296">
        <f t="shared" ref="AR25:AR37" si="29">((AS25-AQ25)/2)+AQ25</f>
        <v>6340</v>
      </c>
      <c r="AS25" s="426">
        <v>5170</v>
      </c>
      <c r="AT25" s="296">
        <f>(AU25-AS25)/2+AS25</f>
        <v>5125</v>
      </c>
      <c r="AU25" s="426">
        <v>5080</v>
      </c>
    </row>
    <row r="26" spans="1:47" s="60" customFormat="1">
      <c r="A26" s="305" t="s">
        <v>130</v>
      </c>
      <c r="B26" s="303">
        <v>36300</v>
      </c>
      <c r="C26" s="23">
        <v>36962</v>
      </c>
      <c r="D26" s="332">
        <v>0</v>
      </c>
      <c r="E26" s="332">
        <v>0</v>
      </c>
      <c r="F26" s="332">
        <v>0</v>
      </c>
      <c r="G26" s="332">
        <v>0</v>
      </c>
      <c r="H26" s="23">
        <v>26800</v>
      </c>
      <c r="I26" s="332">
        <v>0</v>
      </c>
      <c r="J26" s="332">
        <v>0</v>
      </c>
      <c r="K26" s="23">
        <v>37644</v>
      </c>
      <c r="L26" s="296">
        <f t="shared" si="18"/>
        <v>38952.5</v>
      </c>
      <c r="M26" s="23">
        <v>40261</v>
      </c>
      <c r="N26" s="332">
        <v>0</v>
      </c>
      <c r="O26" s="332">
        <v>0</v>
      </c>
      <c r="P26" s="332">
        <v>0</v>
      </c>
      <c r="Q26" s="332">
        <v>0</v>
      </c>
      <c r="R26" s="332">
        <v>0</v>
      </c>
      <c r="S26" s="332">
        <v>0</v>
      </c>
      <c r="T26" s="332">
        <v>0</v>
      </c>
      <c r="U26" s="332">
        <v>0</v>
      </c>
      <c r="V26" s="23">
        <v>31618</v>
      </c>
      <c r="W26" s="296">
        <f t="shared" si="19"/>
        <v>35539</v>
      </c>
      <c r="X26" s="23">
        <v>39460</v>
      </c>
      <c r="Y26" s="296">
        <f t="shared" si="20"/>
        <v>40708.5</v>
      </c>
      <c r="Z26" s="23">
        <v>41957</v>
      </c>
      <c r="AA26" s="296">
        <f t="shared" si="21"/>
        <v>43045.5</v>
      </c>
      <c r="AB26" s="24">
        <v>44134</v>
      </c>
      <c r="AC26" s="296">
        <f t="shared" si="22"/>
        <v>51932</v>
      </c>
      <c r="AD26" s="24">
        <v>59730</v>
      </c>
      <c r="AE26" s="296">
        <f t="shared" si="23"/>
        <v>59235</v>
      </c>
      <c r="AF26" s="24">
        <v>58740</v>
      </c>
      <c r="AG26" s="296">
        <f t="shared" si="24"/>
        <v>68700</v>
      </c>
      <c r="AH26" s="295">
        <v>78660</v>
      </c>
      <c r="AI26" s="296">
        <f t="shared" si="25"/>
        <v>77010</v>
      </c>
      <c r="AJ26" s="295">
        <v>75360</v>
      </c>
      <c r="AK26" s="296">
        <f t="shared" si="26"/>
        <v>71100</v>
      </c>
      <c r="AL26" s="291">
        <v>66840</v>
      </c>
      <c r="AM26" s="296">
        <f t="shared" si="27"/>
        <v>65875</v>
      </c>
      <c r="AN26" s="291">
        <v>64910</v>
      </c>
      <c r="AO26" s="296">
        <f t="shared" si="28"/>
        <v>54734.5</v>
      </c>
      <c r="AP26" s="291">
        <v>44559</v>
      </c>
      <c r="AQ26" s="24">
        <v>55390</v>
      </c>
      <c r="AR26" s="296">
        <f t="shared" si="29"/>
        <v>54255</v>
      </c>
      <c r="AS26" s="426">
        <v>53120</v>
      </c>
      <c r="AT26" s="296">
        <f>(AU26-AS26)/2+AS26</f>
        <v>54095</v>
      </c>
      <c r="AU26" s="426">
        <v>55070</v>
      </c>
    </row>
    <row r="27" spans="1:47" s="60" customFormat="1">
      <c r="A27" s="305" t="s">
        <v>131</v>
      </c>
      <c r="B27" s="303">
        <v>441300</v>
      </c>
      <c r="C27" s="23">
        <v>398949</v>
      </c>
      <c r="D27" s="332">
        <v>0</v>
      </c>
      <c r="E27" s="332">
        <v>0</v>
      </c>
      <c r="F27" s="332">
        <v>0</v>
      </c>
      <c r="G27" s="332">
        <v>0</v>
      </c>
      <c r="H27" s="23">
        <v>302700</v>
      </c>
      <c r="I27" s="332">
        <v>0</v>
      </c>
      <c r="J27" s="332">
        <v>0</v>
      </c>
      <c r="K27" s="23">
        <v>483954</v>
      </c>
      <c r="L27" s="296">
        <f t="shared" si="18"/>
        <v>498831.5</v>
      </c>
      <c r="M27" s="23">
        <v>513709</v>
      </c>
      <c r="N27" s="332">
        <v>0</v>
      </c>
      <c r="O27" s="332">
        <v>0</v>
      </c>
      <c r="P27" s="332">
        <v>0</v>
      </c>
      <c r="Q27" s="332">
        <v>0</v>
      </c>
      <c r="R27" s="332">
        <v>0</v>
      </c>
      <c r="S27" s="332">
        <v>0</v>
      </c>
      <c r="T27" s="332">
        <v>0</v>
      </c>
      <c r="U27" s="332">
        <v>0</v>
      </c>
      <c r="V27" s="23">
        <v>560588</v>
      </c>
      <c r="W27" s="296">
        <f t="shared" si="19"/>
        <v>586828</v>
      </c>
      <c r="X27" s="23">
        <v>613068</v>
      </c>
      <c r="Y27" s="296">
        <f t="shared" si="20"/>
        <v>591065</v>
      </c>
      <c r="Z27" s="23">
        <v>569062</v>
      </c>
      <c r="AA27" s="296">
        <f t="shared" si="21"/>
        <v>599203</v>
      </c>
      <c r="AB27" s="24">
        <v>629344</v>
      </c>
      <c r="AC27" s="296">
        <f t="shared" si="22"/>
        <v>675277</v>
      </c>
      <c r="AD27" s="24">
        <v>721210</v>
      </c>
      <c r="AE27" s="296">
        <f t="shared" si="23"/>
        <v>722610</v>
      </c>
      <c r="AF27" s="24">
        <v>724010</v>
      </c>
      <c r="AG27" s="296">
        <f t="shared" si="24"/>
        <v>740880</v>
      </c>
      <c r="AH27" s="295">
        <v>757750</v>
      </c>
      <c r="AI27" s="296">
        <f t="shared" si="25"/>
        <v>749105</v>
      </c>
      <c r="AJ27" s="295">
        <v>740460</v>
      </c>
      <c r="AK27" s="296">
        <f t="shared" si="26"/>
        <v>738975</v>
      </c>
      <c r="AL27" s="291">
        <v>737490</v>
      </c>
      <c r="AM27" s="296">
        <f t="shared" si="27"/>
        <v>720650</v>
      </c>
      <c r="AN27" s="291">
        <v>703810</v>
      </c>
      <c r="AO27" s="296">
        <f t="shared" si="28"/>
        <v>621768</v>
      </c>
      <c r="AP27" s="291">
        <v>539726</v>
      </c>
      <c r="AQ27" s="24">
        <v>623150</v>
      </c>
      <c r="AR27" s="296">
        <f t="shared" si="29"/>
        <v>615610</v>
      </c>
      <c r="AS27" s="426">
        <v>608070</v>
      </c>
      <c r="AT27" s="296">
        <f t="shared" ref="AT27:AT37" si="30">(AU27-AS27)/2+AS27</f>
        <v>602115</v>
      </c>
      <c r="AU27" s="426">
        <v>596160</v>
      </c>
    </row>
    <row r="28" spans="1:47" s="60" customFormat="1">
      <c r="A28" s="305" t="s">
        <v>132</v>
      </c>
      <c r="B28" s="303">
        <v>48600</v>
      </c>
      <c r="C28" s="23">
        <v>40483</v>
      </c>
      <c r="D28" s="332">
        <v>0</v>
      </c>
      <c r="E28" s="332">
        <v>0</v>
      </c>
      <c r="F28" s="332">
        <v>0</v>
      </c>
      <c r="G28" s="332">
        <v>0</v>
      </c>
      <c r="H28" s="23">
        <v>31800</v>
      </c>
      <c r="I28" s="332">
        <v>0</v>
      </c>
      <c r="J28" s="332">
        <v>0</v>
      </c>
      <c r="K28" s="23">
        <v>37016</v>
      </c>
      <c r="L28" s="296">
        <f t="shared" si="18"/>
        <v>36133</v>
      </c>
      <c r="M28" s="23">
        <v>35250</v>
      </c>
      <c r="N28" s="332">
        <v>0</v>
      </c>
      <c r="O28" s="332">
        <v>0</v>
      </c>
      <c r="P28" s="332">
        <v>0</v>
      </c>
      <c r="Q28" s="332">
        <v>0</v>
      </c>
      <c r="R28" s="332">
        <v>0</v>
      </c>
      <c r="S28" s="332">
        <v>0</v>
      </c>
      <c r="T28" s="332">
        <v>0</v>
      </c>
      <c r="U28" s="332">
        <v>0</v>
      </c>
      <c r="V28" s="23">
        <v>35781</v>
      </c>
      <c r="W28" s="296">
        <f t="shared" si="19"/>
        <v>46566.5</v>
      </c>
      <c r="X28" s="23">
        <v>57352</v>
      </c>
      <c r="Y28" s="296">
        <f t="shared" si="20"/>
        <v>55542</v>
      </c>
      <c r="Z28" s="23">
        <v>53732</v>
      </c>
      <c r="AA28" s="296">
        <f t="shared" si="21"/>
        <v>51354.5</v>
      </c>
      <c r="AB28" s="24">
        <v>48977</v>
      </c>
      <c r="AC28" s="296">
        <f t="shared" si="22"/>
        <v>57193.5</v>
      </c>
      <c r="AD28" s="24">
        <v>65410</v>
      </c>
      <c r="AE28" s="296">
        <f t="shared" si="23"/>
        <v>65550</v>
      </c>
      <c r="AF28" s="24">
        <v>65690</v>
      </c>
      <c r="AG28" s="296">
        <f t="shared" si="24"/>
        <v>65195</v>
      </c>
      <c r="AH28" s="295">
        <v>64700</v>
      </c>
      <c r="AI28" s="296">
        <f t="shared" si="25"/>
        <v>63390</v>
      </c>
      <c r="AJ28" s="295">
        <v>62080</v>
      </c>
      <c r="AK28" s="296">
        <f t="shared" si="26"/>
        <v>66425</v>
      </c>
      <c r="AL28" s="291">
        <v>70770</v>
      </c>
      <c r="AM28" s="296">
        <f t="shared" si="27"/>
        <v>67755</v>
      </c>
      <c r="AN28" s="291">
        <v>64740</v>
      </c>
      <c r="AO28" s="296">
        <f t="shared" si="28"/>
        <v>56642.5</v>
      </c>
      <c r="AP28" s="291">
        <v>48545</v>
      </c>
      <c r="AQ28" s="24">
        <v>63720</v>
      </c>
      <c r="AR28" s="296">
        <f t="shared" si="29"/>
        <v>62430</v>
      </c>
      <c r="AS28" s="426">
        <v>61140</v>
      </c>
      <c r="AT28" s="296">
        <f t="shared" si="30"/>
        <v>60915</v>
      </c>
      <c r="AU28" s="426">
        <v>60690</v>
      </c>
    </row>
    <row r="29" spans="1:47" s="60" customFormat="1">
      <c r="A29" s="305" t="s">
        <v>134</v>
      </c>
      <c r="B29" s="303">
        <v>33400</v>
      </c>
      <c r="C29" s="23">
        <v>22765</v>
      </c>
      <c r="D29" s="332">
        <v>0</v>
      </c>
      <c r="E29" s="332">
        <v>0</v>
      </c>
      <c r="F29" s="332">
        <v>0</v>
      </c>
      <c r="G29" s="332">
        <v>0</v>
      </c>
      <c r="H29" s="23">
        <v>19600</v>
      </c>
      <c r="I29" s="332">
        <v>0</v>
      </c>
      <c r="J29" s="332">
        <v>0</v>
      </c>
      <c r="K29" s="23">
        <v>34667</v>
      </c>
      <c r="L29" s="296">
        <f t="shared" si="18"/>
        <v>35907</v>
      </c>
      <c r="M29" s="23">
        <v>37147</v>
      </c>
      <c r="N29" s="332">
        <v>0</v>
      </c>
      <c r="O29" s="332">
        <v>0</v>
      </c>
      <c r="P29" s="332">
        <v>0</v>
      </c>
      <c r="Q29" s="332">
        <v>0</v>
      </c>
      <c r="R29" s="332">
        <v>0</v>
      </c>
      <c r="S29" s="332">
        <v>0</v>
      </c>
      <c r="T29" s="332">
        <v>0</v>
      </c>
      <c r="U29" s="332">
        <v>0</v>
      </c>
      <c r="V29" s="23">
        <v>35932</v>
      </c>
      <c r="W29" s="296">
        <f t="shared" si="19"/>
        <v>36119</v>
      </c>
      <c r="X29" s="23">
        <v>36306</v>
      </c>
      <c r="Y29" s="296">
        <f t="shared" si="20"/>
        <v>33421.5</v>
      </c>
      <c r="Z29" s="23">
        <v>30537</v>
      </c>
      <c r="AA29" s="296">
        <f t="shared" si="21"/>
        <v>32539</v>
      </c>
      <c r="AB29" s="24">
        <v>34541</v>
      </c>
      <c r="AC29" s="296">
        <f t="shared" si="22"/>
        <v>35035.5</v>
      </c>
      <c r="AD29" s="24">
        <v>35530</v>
      </c>
      <c r="AE29" s="296">
        <f t="shared" si="23"/>
        <v>35540</v>
      </c>
      <c r="AF29" s="24">
        <v>35550</v>
      </c>
      <c r="AG29" s="296">
        <f t="shared" si="24"/>
        <v>39265</v>
      </c>
      <c r="AH29" s="295">
        <v>42980</v>
      </c>
      <c r="AI29" s="296">
        <f t="shared" si="25"/>
        <v>41460</v>
      </c>
      <c r="AJ29" s="295">
        <v>39940</v>
      </c>
      <c r="AK29" s="296">
        <f t="shared" si="26"/>
        <v>36375</v>
      </c>
      <c r="AL29" s="291">
        <v>32810</v>
      </c>
      <c r="AM29" s="296">
        <f t="shared" si="27"/>
        <v>35055</v>
      </c>
      <c r="AN29" s="291">
        <v>37300</v>
      </c>
      <c r="AO29" s="296">
        <f t="shared" si="28"/>
        <v>35418</v>
      </c>
      <c r="AP29" s="291">
        <v>33536</v>
      </c>
      <c r="AQ29" s="24">
        <v>37130</v>
      </c>
      <c r="AR29" s="296">
        <f t="shared" si="29"/>
        <v>37330</v>
      </c>
      <c r="AS29" s="426">
        <v>37530</v>
      </c>
      <c r="AT29" s="296">
        <f t="shared" si="30"/>
        <v>35675</v>
      </c>
      <c r="AU29" s="426">
        <v>33820</v>
      </c>
    </row>
    <row r="30" spans="1:47" s="60" customFormat="1">
      <c r="A30" s="305" t="s">
        <v>135</v>
      </c>
      <c r="B30" s="303">
        <v>10300</v>
      </c>
      <c r="C30" s="23">
        <v>9488</v>
      </c>
      <c r="D30" s="332">
        <v>0</v>
      </c>
      <c r="E30" s="332">
        <v>0</v>
      </c>
      <c r="F30" s="332">
        <v>0</v>
      </c>
      <c r="G30" s="332">
        <v>0</v>
      </c>
      <c r="H30" s="23">
        <v>5600</v>
      </c>
      <c r="I30" s="332">
        <v>0</v>
      </c>
      <c r="J30" s="332">
        <v>0</v>
      </c>
      <c r="K30" s="23">
        <v>6189</v>
      </c>
      <c r="L30" s="296">
        <f t="shared" si="18"/>
        <v>6014</v>
      </c>
      <c r="M30" s="23">
        <v>5839</v>
      </c>
      <c r="N30" s="332">
        <v>0</v>
      </c>
      <c r="O30" s="332">
        <v>0</v>
      </c>
      <c r="P30" s="332">
        <v>0</v>
      </c>
      <c r="Q30" s="332">
        <v>0</v>
      </c>
      <c r="R30" s="332">
        <v>0</v>
      </c>
      <c r="S30" s="332">
        <v>0</v>
      </c>
      <c r="T30" s="332">
        <v>0</v>
      </c>
      <c r="U30" s="332">
        <v>0</v>
      </c>
      <c r="V30" s="23">
        <v>9844</v>
      </c>
      <c r="W30" s="296">
        <f t="shared" si="19"/>
        <v>8244</v>
      </c>
      <c r="X30" s="23">
        <v>6644</v>
      </c>
      <c r="Y30" s="296">
        <f t="shared" si="20"/>
        <v>7331.5</v>
      </c>
      <c r="Z30" s="23">
        <v>8019</v>
      </c>
      <c r="AA30" s="296">
        <f t="shared" si="21"/>
        <v>8614.5</v>
      </c>
      <c r="AB30" s="24">
        <v>9210</v>
      </c>
      <c r="AC30" s="296">
        <f t="shared" si="22"/>
        <v>10175</v>
      </c>
      <c r="AD30" s="24">
        <v>11140</v>
      </c>
      <c r="AE30" s="296">
        <f t="shared" si="23"/>
        <v>11930</v>
      </c>
      <c r="AF30" s="24">
        <v>12720</v>
      </c>
      <c r="AG30" s="296">
        <f t="shared" si="24"/>
        <v>12385</v>
      </c>
      <c r="AH30" s="295">
        <v>12050</v>
      </c>
      <c r="AI30" s="296">
        <f t="shared" si="25"/>
        <v>12310</v>
      </c>
      <c r="AJ30" s="295">
        <v>12570</v>
      </c>
      <c r="AK30" s="296">
        <f t="shared" si="26"/>
        <v>13945</v>
      </c>
      <c r="AL30" s="291">
        <v>15320</v>
      </c>
      <c r="AM30" s="296">
        <f t="shared" si="27"/>
        <v>20010</v>
      </c>
      <c r="AN30" s="291">
        <v>24700</v>
      </c>
      <c r="AO30" s="296">
        <f t="shared" si="28"/>
        <v>19603.5</v>
      </c>
      <c r="AP30" s="291">
        <v>14507</v>
      </c>
      <c r="AQ30" s="24">
        <v>18680</v>
      </c>
      <c r="AR30" s="296">
        <f t="shared" si="29"/>
        <v>16175</v>
      </c>
      <c r="AS30" s="426">
        <v>13670</v>
      </c>
      <c r="AT30" s="296">
        <f t="shared" si="30"/>
        <v>16125</v>
      </c>
      <c r="AU30" s="426">
        <v>18580</v>
      </c>
    </row>
    <row r="31" spans="1:47" s="60" customFormat="1">
      <c r="A31" s="305" t="s">
        <v>145</v>
      </c>
      <c r="B31" s="306">
        <v>23300</v>
      </c>
      <c r="C31" s="34">
        <v>13754</v>
      </c>
      <c r="D31" s="327">
        <v>0</v>
      </c>
      <c r="E31" s="327">
        <v>0</v>
      </c>
      <c r="F31" s="327">
        <v>0</v>
      </c>
      <c r="G31" s="327">
        <v>0</v>
      </c>
      <c r="H31" s="34">
        <v>9900</v>
      </c>
      <c r="I31" s="327">
        <v>0</v>
      </c>
      <c r="J31" s="327">
        <v>0</v>
      </c>
      <c r="K31" s="34">
        <v>9747</v>
      </c>
      <c r="L31" s="296">
        <f t="shared" si="18"/>
        <v>8707.5</v>
      </c>
      <c r="M31" s="34">
        <v>7668</v>
      </c>
      <c r="N31" s="327">
        <v>0</v>
      </c>
      <c r="O31" s="327">
        <v>0</v>
      </c>
      <c r="P31" s="327">
        <v>0</v>
      </c>
      <c r="Q31" s="327">
        <v>0</v>
      </c>
      <c r="R31" s="327">
        <v>0</v>
      </c>
      <c r="S31" s="327">
        <v>0</v>
      </c>
      <c r="T31" s="327">
        <v>0</v>
      </c>
      <c r="U31" s="327">
        <v>0</v>
      </c>
      <c r="V31" s="23">
        <v>13969</v>
      </c>
      <c r="W31" s="296">
        <f t="shared" si="19"/>
        <v>11806.5</v>
      </c>
      <c r="X31" s="34">
        <v>9644</v>
      </c>
      <c r="Y31" s="296">
        <f t="shared" si="20"/>
        <v>9377.5</v>
      </c>
      <c r="Z31" s="34">
        <v>9111</v>
      </c>
      <c r="AA31" s="296">
        <f t="shared" si="21"/>
        <v>8784.5</v>
      </c>
      <c r="AB31" s="297">
        <v>8458</v>
      </c>
      <c r="AC31" s="296">
        <f t="shared" si="22"/>
        <v>8754</v>
      </c>
      <c r="AD31" s="297">
        <v>9050</v>
      </c>
      <c r="AE31" s="296">
        <f t="shared" si="23"/>
        <v>9610</v>
      </c>
      <c r="AF31" s="297">
        <v>10170</v>
      </c>
      <c r="AG31" s="296">
        <f t="shared" si="24"/>
        <v>11550</v>
      </c>
      <c r="AH31" s="295">
        <v>12930</v>
      </c>
      <c r="AI31" s="296">
        <f t="shared" si="25"/>
        <v>12720</v>
      </c>
      <c r="AJ31" s="295">
        <v>12510</v>
      </c>
      <c r="AK31" s="296">
        <f t="shared" si="26"/>
        <v>24245</v>
      </c>
      <c r="AL31" s="291">
        <v>35980</v>
      </c>
      <c r="AM31" s="296">
        <f t="shared" si="27"/>
        <v>25505</v>
      </c>
      <c r="AN31" s="291">
        <v>15030</v>
      </c>
      <c r="AO31" s="296">
        <f t="shared" si="28"/>
        <v>11508.5</v>
      </c>
      <c r="AP31" s="291">
        <v>7987</v>
      </c>
      <c r="AQ31" s="24">
        <v>10390</v>
      </c>
      <c r="AR31" s="296">
        <f t="shared" si="29"/>
        <v>10470</v>
      </c>
      <c r="AS31" s="426">
        <v>10550</v>
      </c>
      <c r="AT31" s="296">
        <f t="shared" si="30"/>
        <v>10555</v>
      </c>
      <c r="AU31" s="426">
        <v>10560</v>
      </c>
    </row>
    <row r="32" spans="1:47" s="60" customFormat="1">
      <c r="A32" s="305" t="s">
        <v>147</v>
      </c>
      <c r="B32" s="306">
        <v>4500</v>
      </c>
      <c r="C32" s="34">
        <v>4364</v>
      </c>
      <c r="D32" s="327">
        <v>0</v>
      </c>
      <c r="E32" s="327">
        <v>0</v>
      </c>
      <c r="F32" s="327">
        <v>0</v>
      </c>
      <c r="G32" s="327">
        <v>0</v>
      </c>
      <c r="H32" s="34">
        <v>2700</v>
      </c>
      <c r="I32" s="327">
        <v>0</v>
      </c>
      <c r="J32" s="327">
        <v>0</v>
      </c>
      <c r="K32" s="34">
        <v>6067</v>
      </c>
      <c r="L32" s="296">
        <f t="shared" si="18"/>
        <v>6333</v>
      </c>
      <c r="M32" s="34">
        <v>6599</v>
      </c>
      <c r="N32" s="327">
        <v>0</v>
      </c>
      <c r="O32" s="327">
        <v>0</v>
      </c>
      <c r="P32" s="327">
        <v>0</v>
      </c>
      <c r="Q32" s="327">
        <v>0</v>
      </c>
      <c r="R32" s="327">
        <v>0</v>
      </c>
      <c r="S32" s="327">
        <v>0</v>
      </c>
      <c r="T32" s="327">
        <v>0</v>
      </c>
      <c r="U32" s="327">
        <v>0</v>
      </c>
      <c r="V32" s="34">
        <v>9713</v>
      </c>
      <c r="W32" s="296">
        <f t="shared" si="19"/>
        <v>9097.5</v>
      </c>
      <c r="X32" s="34">
        <v>8482</v>
      </c>
      <c r="Y32" s="296">
        <f t="shared" si="20"/>
        <v>9602.5</v>
      </c>
      <c r="Z32" s="34">
        <v>10723</v>
      </c>
      <c r="AA32" s="296">
        <f t="shared" si="21"/>
        <v>11487</v>
      </c>
      <c r="AB32" s="297">
        <v>12251</v>
      </c>
      <c r="AC32" s="296">
        <f t="shared" si="22"/>
        <v>13805.5</v>
      </c>
      <c r="AD32" s="297">
        <v>15360</v>
      </c>
      <c r="AE32" s="296">
        <f t="shared" si="23"/>
        <v>16355</v>
      </c>
      <c r="AF32" s="297">
        <v>17350</v>
      </c>
      <c r="AG32" s="296">
        <f t="shared" si="24"/>
        <v>18860</v>
      </c>
      <c r="AH32" s="295">
        <v>20370</v>
      </c>
      <c r="AI32" s="296">
        <f t="shared" si="25"/>
        <v>22150</v>
      </c>
      <c r="AJ32" s="295">
        <v>23930</v>
      </c>
      <c r="AK32" s="296">
        <f t="shared" si="26"/>
        <v>26525</v>
      </c>
      <c r="AL32" s="291">
        <v>29120</v>
      </c>
      <c r="AM32" s="296">
        <f t="shared" si="27"/>
        <v>29470</v>
      </c>
      <c r="AN32" s="291">
        <v>29820</v>
      </c>
      <c r="AO32" s="296">
        <f t="shared" si="28"/>
        <v>24964</v>
      </c>
      <c r="AP32" s="291">
        <v>20108</v>
      </c>
      <c r="AQ32" s="24">
        <v>25060</v>
      </c>
      <c r="AR32" s="296">
        <f t="shared" si="29"/>
        <v>25595</v>
      </c>
      <c r="AS32" s="426">
        <v>26130</v>
      </c>
      <c r="AT32" s="296">
        <f t="shared" si="30"/>
        <v>24055</v>
      </c>
      <c r="AU32" s="426">
        <v>21980</v>
      </c>
    </row>
    <row r="33" spans="1:47" s="291" customFormat="1">
      <c r="A33" s="305" t="s">
        <v>150</v>
      </c>
      <c r="B33" s="306">
        <v>30400</v>
      </c>
      <c r="C33" s="34">
        <v>16973</v>
      </c>
      <c r="D33" s="327">
        <v>0</v>
      </c>
      <c r="E33" s="327">
        <v>0</v>
      </c>
      <c r="F33" s="327">
        <v>0</v>
      </c>
      <c r="G33" s="327">
        <v>0</v>
      </c>
      <c r="H33" s="34">
        <v>12400</v>
      </c>
      <c r="I33" s="327">
        <v>0</v>
      </c>
      <c r="J33" s="327">
        <v>0</v>
      </c>
      <c r="K33" s="34">
        <v>19014</v>
      </c>
      <c r="L33" s="296">
        <f t="shared" si="18"/>
        <v>18520.5</v>
      </c>
      <c r="M33" s="34">
        <v>18027</v>
      </c>
      <c r="N33" s="327">
        <v>0</v>
      </c>
      <c r="O33" s="327">
        <v>0</v>
      </c>
      <c r="P33" s="327">
        <v>0</v>
      </c>
      <c r="Q33" s="327">
        <v>0</v>
      </c>
      <c r="R33" s="327">
        <v>0</v>
      </c>
      <c r="S33" s="327">
        <v>0</v>
      </c>
      <c r="T33" s="327">
        <v>0</v>
      </c>
      <c r="U33" s="327">
        <v>0</v>
      </c>
      <c r="V33" s="34">
        <v>33036</v>
      </c>
      <c r="W33" s="296">
        <f t="shared" si="19"/>
        <v>28136</v>
      </c>
      <c r="X33" s="34">
        <v>23236</v>
      </c>
      <c r="Y33" s="296">
        <f t="shared" si="20"/>
        <v>21621.5</v>
      </c>
      <c r="Z33" s="34">
        <v>20007</v>
      </c>
      <c r="AA33" s="296">
        <f t="shared" si="21"/>
        <v>21450</v>
      </c>
      <c r="AB33" s="297">
        <v>22893</v>
      </c>
      <c r="AC33" s="296">
        <f t="shared" si="22"/>
        <v>23236.5</v>
      </c>
      <c r="AD33" s="297">
        <v>23580</v>
      </c>
      <c r="AE33" s="296">
        <f t="shared" si="23"/>
        <v>26075</v>
      </c>
      <c r="AF33" s="297">
        <v>28570</v>
      </c>
      <c r="AG33" s="296">
        <f t="shared" si="24"/>
        <v>27540</v>
      </c>
      <c r="AH33" s="295">
        <v>26510</v>
      </c>
      <c r="AI33" s="296">
        <f t="shared" si="25"/>
        <v>27910</v>
      </c>
      <c r="AJ33" s="295">
        <v>29310</v>
      </c>
      <c r="AK33" s="296">
        <f t="shared" si="26"/>
        <v>27170</v>
      </c>
      <c r="AL33" s="291">
        <v>25030</v>
      </c>
      <c r="AM33" s="296">
        <f t="shared" si="27"/>
        <v>26160</v>
      </c>
      <c r="AN33" s="291">
        <v>27290</v>
      </c>
      <c r="AO33" s="296">
        <f t="shared" si="28"/>
        <v>23919</v>
      </c>
      <c r="AP33" s="291">
        <v>20548</v>
      </c>
      <c r="AQ33" s="24">
        <v>23730</v>
      </c>
      <c r="AR33" s="296">
        <f t="shared" si="29"/>
        <v>23205</v>
      </c>
      <c r="AS33" s="426">
        <v>22680</v>
      </c>
      <c r="AT33" s="296">
        <f t="shared" si="30"/>
        <v>22215</v>
      </c>
      <c r="AU33" s="426">
        <v>21750</v>
      </c>
    </row>
    <row r="34" spans="1:47" s="291" customFormat="1">
      <c r="A34" s="305" t="s">
        <v>154</v>
      </c>
      <c r="B34" s="306">
        <v>38400</v>
      </c>
      <c r="C34" s="34">
        <v>38465</v>
      </c>
      <c r="D34" s="327">
        <v>0</v>
      </c>
      <c r="E34" s="327">
        <v>0</v>
      </c>
      <c r="F34" s="327">
        <v>0</v>
      </c>
      <c r="G34" s="327">
        <v>0</v>
      </c>
      <c r="H34" s="34">
        <v>23100</v>
      </c>
      <c r="I34" s="327">
        <v>0</v>
      </c>
      <c r="J34" s="327">
        <v>0</v>
      </c>
      <c r="K34" s="34">
        <v>26663</v>
      </c>
      <c r="L34" s="296">
        <f t="shared" si="18"/>
        <v>27245.5</v>
      </c>
      <c r="M34" s="34">
        <v>27828</v>
      </c>
      <c r="N34" s="327">
        <v>0</v>
      </c>
      <c r="O34" s="327">
        <v>0</v>
      </c>
      <c r="P34" s="327">
        <v>0</v>
      </c>
      <c r="Q34" s="327">
        <v>0</v>
      </c>
      <c r="R34" s="327">
        <v>0</v>
      </c>
      <c r="S34" s="327">
        <v>0</v>
      </c>
      <c r="T34" s="327">
        <v>0</v>
      </c>
      <c r="U34" s="327">
        <v>0</v>
      </c>
      <c r="V34" s="34">
        <v>32991</v>
      </c>
      <c r="W34" s="296">
        <f t="shared" si="19"/>
        <v>31954.5</v>
      </c>
      <c r="X34" s="34">
        <v>30918</v>
      </c>
      <c r="Y34" s="296">
        <f t="shared" si="20"/>
        <v>32505</v>
      </c>
      <c r="Z34" s="34">
        <v>34092</v>
      </c>
      <c r="AA34" s="296">
        <f t="shared" si="21"/>
        <v>38796.5</v>
      </c>
      <c r="AB34" s="297">
        <v>43501</v>
      </c>
      <c r="AC34" s="296">
        <f t="shared" si="22"/>
        <v>50895.5</v>
      </c>
      <c r="AD34" s="297">
        <v>58290</v>
      </c>
      <c r="AE34" s="296">
        <f t="shared" si="23"/>
        <v>59645</v>
      </c>
      <c r="AF34" s="297">
        <v>61000</v>
      </c>
      <c r="AG34" s="296">
        <f t="shared" si="24"/>
        <v>66250</v>
      </c>
      <c r="AH34" s="295">
        <v>71500</v>
      </c>
      <c r="AI34" s="296">
        <f t="shared" si="25"/>
        <v>62910</v>
      </c>
      <c r="AJ34" s="295">
        <v>54320</v>
      </c>
      <c r="AK34" s="296">
        <f t="shared" si="26"/>
        <v>61970</v>
      </c>
      <c r="AL34" s="291">
        <v>69620</v>
      </c>
      <c r="AM34" s="296">
        <f t="shared" si="27"/>
        <v>67940</v>
      </c>
      <c r="AN34" s="291">
        <v>66260</v>
      </c>
      <c r="AO34" s="296">
        <f t="shared" si="28"/>
        <v>56691.5</v>
      </c>
      <c r="AP34" s="291">
        <v>47123</v>
      </c>
      <c r="AQ34" s="24">
        <v>56820</v>
      </c>
      <c r="AR34" s="296">
        <f t="shared" si="29"/>
        <v>55010</v>
      </c>
      <c r="AS34" s="426">
        <v>53200</v>
      </c>
      <c r="AT34" s="296">
        <f t="shared" si="30"/>
        <v>56015</v>
      </c>
      <c r="AU34" s="426">
        <v>58830</v>
      </c>
    </row>
    <row r="35" spans="1:47" s="291" customFormat="1">
      <c r="A35" s="305" t="s">
        <v>158</v>
      </c>
      <c r="B35" s="306">
        <v>6800</v>
      </c>
      <c r="C35" s="34">
        <v>6284</v>
      </c>
      <c r="D35" s="327">
        <v>0</v>
      </c>
      <c r="E35" s="327">
        <v>0</v>
      </c>
      <c r="F35" s="327">
        <v>0</v>
      </c>
      <c r="G35" s="327">
        <v>0</v>
      </c>
      <c r="H35" s="34">
        <v>4300</v>
      </c>
      <c r="I35" s="327">
        <v>0</v>
      </c>
      <c r="J35" s="327">
        <v>0</v>
      </c>
      <c r="K35" s="34">
        <v>5951</v>
      </c>
      <c r="L35" s="296">
        <f t="shared" si="18"/>
        <v>5753</v>
      </c>
      <c r="M35" s="34">
        <v>5555</v>
      </c>
      <c r="N35" s="327">
        <v>0</v>
      </c>
      <c r="O35" s="327">
        <v>0</v>
      </c>
      <c r="P35" s="327">
        <v>0</v>
      </c>
      <c r="Q35" s="327">
        <v>0</v>
      </c>
      <c r="R35" s="327">
        <v>0</v>
      </c>
      <c r="S35" s="327">
        <v>0</v>
      </c>
      <c r="T35" s="327">
        <v>0</v>
      </c>
      <c r="U35" s="327">
        <v>0</v>
      </c>
      <c r="V35" s="34">
        <v>6254</v>
      </c>
      <c r="W35" s="296">
        <f t="shared" si="19"/>
        <v>8045</v>
      </c>
      <c r="X35" s="34">
        <v>9836</v>
      </c>
      <c r="Y35" s="296">
        <f t="shared" si="20"/>
        <v>9814.5</v>
      </c>
      <c r="Z35" s="34">
        <v>9793</v>
      </c>
      <c r="AA35" s="296">
        <f t="shared" si="21"/>
        <v>11316.5</v>
      </c>
      <c r="AB35" s="297">
        <v>12840</v>
      </c>
      <c r="AC35" s="296">
        <f t="shared" si="22"/>
        <v>15545</v>
      </c>
      <c r="AD35" s="297">
        <v>18250</v>
      </c>
      <c r="AE35" s="296">
        <f t="shared" si="23"/>
        <v>17075</v>
      </c>
      <c r="AF35" s="297">
        <v>15900</v>
      </c>
      <c r="AG35" s="296">
        <f t="shared" si="24"/>
        <v>17970</v>
      </c>
      <c r="AH35" s="295">
        <v>20040</v>
      </c>
      <c r="AI35" s="296">
        <f t="shared" si="25"/>
        <v>20015</v>
      </c>
      <c r="AJ35" s="295">
        <v>19990</v>
      </c>
      <c r="AK35" s="296">
        <f t="shared" si="26"/>
        <v>20605</v>
      </c>
      <c r="AL35" s="291">
        <v>21220</v>
      </c>
      <c r="AM35" s="296">
        <f t="shared" si="27"/>
        <v>21040</v>
      </c>
      <c r="AN35" s="291">
        <v>20860</v>
      </c>
      <c r="AO35" s="296">
        <f t="shared" si="28"/>
        <v>19449</v>
      </c>
      <c r="AP35" s="291">
        <v>18038</v>
      </c>
      <c r="AQ35" s="24">
        <v>21990</v>
      </c>
      <c r="AR35" s="296">
        <f t="shared" si="29"/>
        <v>20325</v>
      </c>
      <c r="AS35" s="426">
        <v>18660</v>
      </c>
      <c r="AT35" s="296">
        <f t="shared" si="30"/>
        <v>20985</v>
      </c>
      <c r="AU35" s="426">
        <v>23310</v>
      </c>
    </row>
    <row r="36" spans="1:47" s="291" customFormat="1">
      <c r="A36" s="305" t="s">
        <v>160</v>
      </c>
      <c r="B36" s="294">
        <v>63400</v>
      </c>
      <c r="C36" s="34">
        <v>52845</v>
      </c>
      <c r="D36" s="327">
        <v>0</v>
      </c>
      <c r="E36" s="327">
        <v>0</v>
      </c>
      <c r="F36" s="327">
        <v>0</v>
      </c>
      <c r="G36" s="327">
        <v>0</v>
      </c>
      <c r="H36" s="34">
        <v>41400</v>
      </c>
      <c r="I36" s="327">
        <v>0</v>
      </c>
      <c r="J36" s="327">
        <v>0</v>
      </c>
      <c r="K36" s="34">
        <v>57748</v>
      </c>
      <c r="L36" s="296">
        <f t="shared" si="18"/>
        <v>56849</v>
      </c>
      <c r="M36" s="34">
        <v>55950</v>
      </c>
      <c r="N36" s="327">
        <v>0</v>
      </c>
      <c r="O36" s="327">
        <v>0</v>
      </c>
      <c r="P36" s="327">
        <v>0</v>
      </c>
      <c r="Q36" s="327">
        <v>0</v>
      </c>
      <c r="R36" s="327">
        <v>0</v>
      </c>
      <c r="S36" s="327">
        <v>0</v>
      </c>
      <c r="T36" s="327">
        <v>0</v>
      </c>
      <c r="U36" s="327">
        <v>0</v>
      </c>
      <c r="V36" s="34">
        <v>64491</v>
      </c>
      <c r="W36" s="296">
        <f t="shared" si="19"/>
        <v>65523.5</v>
      </c>
      <c r="X36" s="34">
        <v>66556</v>
      </c>
      <c r="Y36" s="296">
        <f t="shared" si="20"/>
        <v>68380.5</v>
      </c>
      <c r="Z36" s="34">
        <v>70205</v>
      </c>
      <c r="AA36" s="296">
        <f t="shared" si="21"/>
        <v>72547.5</v>
      </c>
      <c r="AB36" s="297">
        <v>74890</v>
      </c>
      <c r="AC36" s="296">
        <f t="shared" si="22"/>
        <v>81525</v>
      </c>
      <c r="AD36" s="292">
        <v>88160</v>
      </c>
      <c r="AE36" s="296">
        <f t="shared" si="23"/>
        <v>88120</v>
      </c>
      <c r="AF36" s="292">
        <v>88080</v>
      </c>
      <c r="AG36" s="296">
        <f t="shared" si="24"/>
        <v>89615</v>
      </c>
      <c r="AH36" s="295">
        <v>91150</v>
      </c>
      <c r="AI36" s="296">
        <f t="shared" si="25"/>
        <v>96140</v>
      </c>
      <c r="AJ36" s="295">
        <v>101130</v>
      </c>
      <c r="AK36" s="296">
        <f t="shared" si="26"/>
        <v>110385</v>
      </c>
      <c r="AL36" s="291">
        <v>119640</v>
      </c>
      <c r="AM36" s="296">
        <f t="shared" si="27"/>
        <v>111855</v>
      </c>
      <c r="AN36" s="291">
        <v>104070</v>
      </c>
      <c r="AO36" s="296">
        <f t="shared" si="28"/>
        <v>90547</v>
      </c>
      <c r="AP36" s="291">
        <v>77024</v>
      </c>
      <c r="AQ36" s="24">
        <v>94340</v>
      </c>
      <c r="AR36" s="296">
        <f t="shared" si="29"/>
        <v>93985</v>
      </c>
      <c r="AS36" s="426">
        <v>93630</v>
      </c>
      <c r="AT36" s="296">
        <f t="shared" si="30"/>
        <v>106680</v>
      </c>
      <c r="AU36" s="426">
        <v>119730</v>
      </c>
    </row>
    <row r="37" spans="1:47" s="291" customFormat="1">
      <c r="A37" s="307" t="s">
        <v>162</v>
      </c>
      <c r="B37" s="294">
        <v>4400</v>
      </c>
      <c r="C37" s="34">
        <v>3014</v>
      </c>
      <c r="D37" s="327">
        <v>0</v>
      </c>
      <c r="E37" s="327">
        <v>0</v>
      </c>
      <c r="F37" s="327">
        <v>0</v>
      </c>
      <c r="G37" s="327">
        <v>0</v>
      </c>
      <c r="H37" s="34">
        <v>2000</v>
      </c>
      <c r="I37" s="327">
        <v>0</v>
      </c>
      <c r="J37" s="327">
        <v>0</v>
      </c>
      <c r="K37" s="34">
        <v>3945</v>
      </c>
      <c r="L37" s="296">
        <f t="shared" si="18"/>
        <v>3490.5</v>
      </c>
      <c r="M37" s="34">
        <v>3036</v>
      </c>
      <c r="N37" s="327">
        <v>0</v>
      </c>
      <c r="O37" s="327">
        <v>0</v>
      </c>
      <c r="P37" s="327">
        <v>0</v>
      </c>
      <c r="Q37" s="327">
        <v>0</v>
      </c>
      <c r="R37" s="327">
        <v>0</v>
      </c>
      <c r="S37" s="327">
        <v>0</v>
      </c>
      <c r="T37" s="327">
        <v>0</v>
      </c>
      <c r="U37" s="327">
        <v>0</v>
      </c>
      <c r="V37" s="34">
        <v>1952</v>
      </c>
      <c r="W37" s="296">
        <f t="shared" si="19"/>
        <v>1896</v>
      </c>
      <c r="X37" s="34">
        <v>1840</v>
      </c>
      <c r="Y37" s="296">
        <f t="shared" si="20"/>
        <v>1879.5</v>
      </c>
      <c r="Z37" s="34">
        <v>1919</v>
      </c>
      <c r="AA37" s="296">
        <f t="shared" si="21"/>
        <v>2095.5</v>
      </c>
      <c r="AB37" s="297">
        <v>2272</v>
      </c>
      <c r="AC37" s="296">
        <f t="shared" si="22"/>
        <v>2736</v>
      </c>
      <c r="AD37" s="292">
        <v>3200</v>
      </c>
      <c r="AE37" s="296">
        <f t="shared" si="23"/>
        <v>2920</v>
      </c>
      <c r="AF37" s="292">
        <v>2640</v>
      </c>
      <c r="AG37" s="296">
        <f t="shared" si="24"/>
        <v>2535</v>
      </c>
      <c r="AH37" s="295">
        <v>2430</v>
      </c>
      <c r="AI37" s="296">
        <f t="shared" si="25"/>
        <v>2515</v>
      </c>
      <c r="AJ37" s="295">
        <v>2600</v>
      </c>
      <c r="AK37" s="296">
        <f t="shared" si="26"/>
        <v>2455</v>
      </c>
      <c r="AL37" s="291">
        <v>2310</v>
      </c>
      <c r="AM37" s="296">
        <f t="shared" si="27"/>
        <v>2620</v>
      </c>
      <c r="AN37" s="291">
        <v>2930</v>
      </c>
      <c r="AO37" s="296">
        <f t="shared" si="28"/>
        <v>2464</v>
      </c>
      <c r="AP37" s="291">
        <v>1998</v>
      </c>
      <c r="AQ37" s="25">
        <v>2910</v>
      </c>
      <c r="AR37" s="296">
        <f t="shared" si="29"/>
        <v>2825</v>
      </c>
      <c r="AS37" s="427">
        <v>2740</v>
      </c>
      <c r="AT37" s="296">
        <f t="shared" si="30"/>
        <v>2760</v>
      </c>
      <c r="AU37" s="426">
        <v>2780</v>
      </c>
    </row>
    <row r="38" spans="1:47" s="291" customFormat="1">
      <c r="A38" s="111" t="s">
        <v>246</v>
      </c>
      <c r="B38" s="112">
        <f t="shared" ref="B38:AS38" si="31">SUM(B40:B51)</f>
        <v>2509000</v>
      </c>
      <c r="C38" s="112">
        <f t="shared" si="31"/>
        <v>1889668</v>
      </c>
      <c r="D38" s="329">
        <v>0</v>
      </c>
      <c r="E38" s="329">
        <v>0</v>
      </c>
      <c r="F38" s="329">
        <v>0</v>
      </c>
      <c r="G38" s="329">
        <v>0</v>
      </c>
      <c r="H38" s="112">
        <f t="shared" si="31"/>
        <v>1547400</v>
      </c>
      <c r="I38" s="329">
        <v>0</v>
      </c>
      <c r="J38" s="329">
        <v>0</v>
      </c>
      <c r="K38" s="112">
        <f t="shared" si="31"/>
        <v>1508449</v>
      </c>
      <c r="L38" s="112">
        <f t="shared" si="31"/>
        <v>1482633.5</v>
      </c>
      <c r="M38" s="112">
        <f t="shared" si="31"/>
        <v>1456818</v>
      </c>
      <c r="N38" s="329">
        <v>0</v>
      </c>
      <c r="O38" s="329">
        <v>0</v>
      </c>
      <c r="P38" s="329">
        <v>0</v>
      </c>
      <c r="Q38" s="329">
        <v>0</v>
      </c>
      <c r="R38" s="329">
        <v>0</v>
      </c>
      <c r="S38" s="329">
        <v>0</v>
      </c>
      <c r="T38" s="329">
        <v>0</v>
      </c>
      <c r="U38" s="329">
        <v>0</v>
      </c>
      <c r="V38" s="112">
        <f t="shared" si="31"/>
        <v>1365151</v>
      </c>
      <c r="W38" s="112">
        <f t="shared" si="31"/>
        <v>1359277.5</v>
      </c>
      <c r="X38" s="112">
        <f t="shared" si="31"/>
        <v>1353404</v>
      </c>
      <c r="Y38" s="112">
        <f t="shared" si="31"/>
        <v>1331308</v>
      </c>
      <c r="Z38" s="112">
        <f t="shared" si="31"/>
        <v>1309212</v>
      </c>
      <c r="AA38" s="112">
        <f t="shared" si="31"/>
        <v>1328975</v>
      </c>
      <c r="AB38" s="112">
        <f t="shared" si="31"/>
        <v>1348738</v>
      </c>
      <c r="AC38" s="112">
        <f t="shared" si="31"/>
        <v>1438529</v>
      </c>
      <c r="AD38" s="112">
        <f t="shared" si="31"/>
        <v>1528320</v>
      </c>
      <c r="AE38" s="112">
        <f t="shared" si="31"/>
        <v>1524385</v>
      </c>
      <c r="AF38" s="112">
        <f t="shared" si="31"/>
        <v>1520450</v>
      </c>
      <c r="AG38" s="112">
        <f t="shared" si="31"/>
        <v>1538045</v>
      </c>
      <c r="AH38" s="112">
        <f t="shared" si="31"/>
        <v>1555640</v>
      </c>
      <c r="AI38" s="112">
        <f t="shared" si="31"/>
        <v>1508060</v>
      </c>
      <c r="AJ38" s="112">
        <f t="shared" si="31"/>
        <v>1460480</v>
      </c>
      <c r="AK38" s="112">
        <f t="shared" si="31"/>
        <v>1447295</v>
      </c>
      <c r="AL38" s="112">
        <f t="shared" si="31"/>
        <v>1434110</v>
      </c>
      <c r="AM38" s="112">
        <f t="shared" si="31"/>
        <v>1393090</v>
      </c>
      <c r="AN38" s="112">
        <f t="shared" si="31"/>
        <v>1352070</v>
      </c>
      <c r="AO38" s="112">
        <f t="shared" si="31"/>
        <v>1243400</v>
      </c>
      <c r="AP38" s="112">
        <f t="shared" si="31"/>
        <v>1134730</v>
      </c>
      <c r="AQ38" s="112">
        <f t="shared" si="31"/>
        <v>1296080</v>
      </c>
      <c r="AR38" s="112">
        <f t="shared" si="31"/>
        <v>1279375</v>
      </c>
      <c r="AS38" s="112">
        <f t="shared" si="31"/>
        <v>1262670</v>
      </c>
      <c r="AT38" s="112">
        <f>SUM(AT40:AT51)</f>
        <v>1294580</v>
      </c>
      <c r="AU38" s="112">
        <f>SUM(AU40:AU51)</f>
        <v>1326490</v>
      </c>
    </row>
    <row r="39" spans="1:47" s="291" customFormat="1">
      <c r="A39" s="108" t="s">
        <v>244</v>
      </c>
      <c r="B39" s="270">
        <f t="shared" ref="B39:AS39" si="32">(B38/B4)*100</f>
        <v>36.897058823529413</v>
      </c>
      <c r="C39" s="270">
        <f t="shared" si="32"/>
        <v>32.965847836057335</v>
      </c>
      <c r="D39" s="330">
        <v>0</v>
      </c>
      <c r="E39" s="330">
        <v>0</v>
      </c>
      <c r="F39" s="330">
        <v>0</v>
      </c>
      <c r="G39" s="330">
        <v>0</v>
      </c>
      <c r="H39" s="270">
        <f t="shared" si="32"/>
        <v>33.639130434782608</v>
      </c>
      <c r="I39" s="330">
        <v>0</v>
      </c>
      <c r="J39" s="330">
        <v>0</v>
      </c>
      <c r="K39" s="270">
        <f t="shared" si="32"/>
        <v>29.660988120849456</v>
      </c>
      <c r="L39" s="270">
        <f t="shared" si="32"/>
        <v>29.512814673823684</v>
      </c>
      <c r="M39" s="270">
        <f t="shared" si="32"/>
        <v>29.360941844166028</v>
      </c>
      <c r="N39" s="330">
        <v>0</v>
      </c>
      <c r="O39" s="330">
        <v>0</v>
      </c>
      <c r="P39" s="330">
        <v>0</v>
      </c>
      <c r="Q39" s="330">
        <v>0</v>
      </c>
      <c r="R39" s="330">
        <v>0</v>
      </c>
      <c r="S39" s="330">
        <v>0</v>
      </c>
      <c r="T39" s="330">
        <v>0</v>
      </c>
      <c r="U39" s="330">
        <v>0</v>
      </c>
      <c r="V39" s="270">
        <f t="shared" si="32"/>
        <v>28.29482139755568</v>
      </c>
      <c r="W39" s="270">
        <f t="shared" si="32"/>
        <v>27.98529126555399</v>
      </c>
      <c r="X39" s="270">
        <f t="shared" si="32"/>
        <v>27.67986027172568</v>
      </c>
      <c r="Y39" s="270">
        <f t="shared" si="32"/>
        <v>27.376452752357483</v>
      </c>
      <c r="Z39" s="270">
        <f t="shared" si="32"/>
        <v>27.069717530128017</v>
      </c>
      <c r="AA39" s="270">
        <f t="shared" si="32"/>
        <v>26.933271210679393</v>
      </c>
      <c r="AB39" s="270">
        <f t="shared" si="32"/>
        <v>26.802132822914178</v>
      </c>
      <c r="AC39" s="270">
        <f t="shared" si="32"/>
        <v>26.211083429736309</v>
      </c>
      <c r="AD39" s="270">
        <f t="shared" si="32"/>
        <v>25.710724073017971</v>
      </c>
      <c r="AE39" s="270">
        <f t="shared" si="32"/>
        <v>25.485911472200375</v>
      </c>
      <c r="AF39" s="270">
        <f t="shared" si="32"/>
        <v>25.263862764776647</v>
      </c>
      <c r="AG39" s="270">
        <f t="shared" si="32"/>
        <v>24.931999272648845</v>
      </c>
      <c r="AH39" s="270">
        <f t="shared" si="32"/>
        <v>24.615961084489076</v>
      </c>
      <c r="AI39" s="270">
        <f t="shared" si="32"/>
        <v>24.286590659479916</v>
      </c>
      <c r="AJ39" s="270">
        <f t="shared" si="32"/>
        <v>23.94531768764254</v>
      </c>
      <c r="AK39" s="270">
        <f t="shared" si="32"/>
        <v>23.83854039701939</v>
      </c>
      <c r="AL39" s="270">
        <f t="shared" si="32"/>
        <v>23.730774004054108</v>
      </c>
      <c r="AM39" s="270">
        <f t="shared" si="32"/>
        <v>23.308623549893209</v>
      </c>
      <c r="AN39" s="270">
        <f t="shared" si="32"/>
        <v>22.876968214166066</v>
      </c>
      <c r="AO39" s="270">
        <f t="shared" si="32"/>
        <v>23.437600874847941</v>
      </c>
      <c r="AP39" s="270">
        <f t="shared" si="32"/>
        <v>24.142569946603501</v>
      </c>
      <c r="AQ39" s="270">
        <f t="shared" si="32"/>
        <v>23.614466612006922</v>
      </c>
      <c r="AR39" s="270">
        <f t="shared" si="32"/>
        <v>23.787743141646192</v>
      </c>
      <c r="AS39" s="270">
        <f t="shared" si="32"/>
        <v>23.968269334806351</v>
      </c>
      <c r="AT39" s="270">
        <f>(AT38/AT4)*100</f>
        <v>24.279740844552681</v>
      </c>
      <c r="AU39" s="270">
        <f>(AU38/AU4)*100</f>
        <v>24.583841446463715</v>
      </c>
    </row>
    <row r="40" spans="1:47" s="291" customFormat="1">
      <c r="A40" s="305" t="s">
        <v>136</v>
      </c>
      <c r="B40" s="303">
        <v>599100</v>
      </c>
      <c r="C40" s="23">
        <v>458417</v>
      </c>
      <c r="D40" s="332">
        <v>0</v>
      </c>
      <c r="E40" s="332">
        <v>0</v>
      </c>
      <c r="F40" s="332">
        <v>0</v>
      </c>
      <c r="G40" s="332">
        <v>0</v>
      </c>
      <c r="H40" s="23">
        <v>398200</v>
      </c>
      <c r="I40" s="332">
        <v>0</v>
      </c>
      <c r="J40" s="332">
        <v>0</v>
      </c>
      <c r="K40" s="23">
        <v>361986</v>
      </c>
      <c r="L40" s="296">
        <f t="shared" ref="L40:L51" si="33">((M40-K40)/2)+K40</f>
        <v>355724.5</v>
      </c>
      <c r="M40" s="23">
        <v>349463</v>
      </c>
      <c r="N40" s="332">
        <v>0</v>
      </c>
      <c r="O40" s="332">
        <v>0</v>
      </c>
      <c r="P40" s="332">
        <v>0</v>
      </c>
      <c r="Q40" s="332">
        <v>0</v>
      </c>
      <c r="R40" s="332">
        <v>0</v>
      </c>
      <c r="S40" s="332">
        <v>0</v>
      </c>
      <c r="T40" s="332">
        <v>0</v>
      </c>
      <c r="U40" s="332">
        <v>0</v>
      </c>
      <c r="V40" s="23">
        <v>307973</v>
      </c>
      <c r="W40" s="296">
        <f t="shared" ref="W40:W51" si="34">((X40-V40)/2)+V40</f>
        <v>304673.5</v>
      </c>
      <c r="X40" s="23">
        <v>301374</v>
      </c>
      <c r="Y40" s="296">
        <f t="shared" ref="Y40:Y51" si="35">((Z40-X40)/2)+X40</f>
        <v>297206</v>
      </c>
      <c r="Z40" s="23">
        <v>293038</v>
      </c>
      <c r="AA40" s="296">
        <f t="shared" ref="AA40:AA51" si="36">((AB40-Z40)/2)+Z40</f>
        <v>297009.5</v>
      </c>
      <c r="AB40" s="24">
        <v>300981</v>
      </c>
      <c r="AC40" s="296">
        <f t="shared" ref="AC40:AC51" si="37">((AD40-AB40)/2)+AB40</f>
        <v>323115.5</v>
      </c>
      <c r="AD40" s="24">
        <v>345250</v>
      </c>
      <c r="AE40" s="296">
        <f t="shared" ref="AE40:AE51" si="38">((AF40-AD40)/2)+AD40</f>
        <v>346500</v>
      </c>
      <c r="AF40" s="24">
        <v>347750</v>
      </c>
      <c r="AG40" s="296">
        <f t="shared" ref="AG40:AG51" si="39">((AH40-AF40)/2)+AF40</f>
        <v>352570</v>
      </c>
      <c r="AH40" s="295">
        <v>357390</v>
      </c>
      <c r="AI40" s="296">
        <f t="shared" ref="AI40:AI51" si="40">((AJ40-AH40)/2)+AH40</f>
        <v>336910</v>
      </c>
      <c r="AJ40" s="295">
        <v>316430</v>
      </c>
      <c r="AK40" s="296">
        <f t="shared" ref="AK40:AK51" si="41">((AL40-AJ40)/2)+AJ40</f>
        <v>317185</v>
      </c>
      <c r="AL40" s="291">
        <v>317940</v>
      </c>
      <c r="AM40" s="296">
        <f t="shared" ref="AM40:AM51" si="42">((AN40-AL40)/2)+AL40</f>
        <v>315105</v>
      </c>
      <c r="AN40" s="291">
        <v>312270</v>
      </c>
      <c r="AO40" s="296">
        <f t="shared" ref="AO40:AO51" si="43">((AP40-AN40)/2)+AN40</f>
        <v>277837.5</v>
      </c>
      <c r="AP40" s="291">
        <v>243405</v>
      </c>
      <c r="AQ40" s="24">
        <v>289720</v>
      </c>
      <c r="AR40" s="296">
        <f t="shared" ref="AR40:AR51" si="44">((AS40-AQ40)/2)+AQ40</f>
        <v>280375</v>
      </c>
      <c r="AS40" s="426">
        <v>271030</v>
      </c>
      <c r="AT40" s="296">
        <f>(AU40-AS40)/2+AS40</f>
        <v>276195</v>
      </c>
      <c r="AU40" s="426">
        <v>281360</v>
      </c>
    </row>
    <row r="41" spans="1:47" s="291" customFormat="1">
      <c r="A41" s="305" t="s">
        <v>137</v>
      </c>
      <c r="B41" s="303">
        <v>149100</v>
      </c>
      <c r="C41" s="23">
        <v>124742</v>
      </c>
      <c r="D41" s="332">
        <v>0</v>
      </c>
      <c r="E41" s="332">
        <v>0</v>
      </c>
      <c r="F41" s="332">
        <v>0</v>
      </c>
      <c r="G41" s="332">
        <v>0</v>
      </c>
      <c r="H41" s="23">
        <v>96100</v>
      </c>
      <c r="I41" s="332">
        <v>0</v>
      </c>
      <c r="J41" s="332">
        <v>0</v>
      </c>
      <c r="K41" s="23">
        <v>105658</v>
      </c>
      <c r="L41" s="296">
        <f t="shared" si="33"/>
        <v>102946</v>
      </c>
      <c r="M41" s="23">
        <v>100234</v>
      </c>
      <c r="N41" s="332">
        <v>0</v>
      </c>
      <c r="O41" s="332">
        <v>0</v>
      </c>
      <c r="P41" s="332">
        <v>0</v>
      </c>
      <c r="Q41" s="332">
        <v>0</v>
      </c>
      <c r="R41" s="332">
        <v>0</v>
      </c>
      <c r="S41" s="332">
        <v>0</v>
      </c>
      <c r="T41" s="332">
        <v>0</v>
      </c>
      <c r="U41" s="332">
        <v>0</v>
      </c>
      <c r="V41" s="23">
        <v>89857</v>
      </c>
      <c r="W41" s="296">
        <f t="shared" si="34"/>
        <v>94653.5</v>
      </c>
      <c r="X41" s="23">
        <v>99450</v>
      </c>
      <c r="Y41" s="296">
        <f t="shared" si="35"/>
        <v>95718</v>
      </c>
      <c r="Z41" s="23">
        <v>91986</v>
      </c>
      <c r="AA41" s="296">
        <f t="shared" si="36"/>
        <v>95622</v>
      </c>
      <c r="AB41" s="24">
        <v>99258</v>
      </c>
      <c r="AC41" s="296">
        <f t="shared" si="37"/>
        <v>110844</v>
      </c>
      <c r="AD41" s="24">
        <v>122430</v>
      </c>
      <c r="AE41" s="296">
        <f t="shared" si="38"/>
        <v>122195</v>
      </c>
      <c r="AF41" s="24">
        <v>121960</v>
      </c>
      <c r="AG41" s="296">
        <f t="shared" si="39"/>
        <v>125600</v>
      </c>
      <c r="AH41" s="295">
        <v>129240</v>
      </c>
      <c r="AI41" s="296">
        <f t="shared" si="40"/>
        <v>126870</v>
      </c>
      <c r="AJ41" s="295">
        <v>124500</v>
      </c>
      <c r="AK41" s="296">
        <f t="shared" si="41"/>
        <v>131935</v>
      </c>
      <c r="AL41" s="291">
        <v>139370</v>
      </c>
      <c r="AM41" s="296">
        <f t="shared" si="42"/>
        <v>129640</v>
      </c>
      <c r="AN41" s="291">
        <v>119910</v>
      </c>
      <c r="AO41" s="296">
        <f t="shared" si="43"/>
        <v>112039.5</v>
      </c>
      <c r="AP41" s="291">
        <v>104169</v>
      </c>
      <c r="AQ41" s="24">
        <v>120770</v>
      </c>
      <c r="AR41" s="296">
        <f t="shared" si="44"/>
        <v>124945</v>
      </c>
      <c r="AS41" s="426">
        <v>129120</v>
      </c>
      <c r="AT41" s="296">
        <f t="shared" ref="AT41:AT51" si="45">(AU41-AS41)/2+AS41</f>
        <v>125175</v>
      </c>
      <c r="AU41" s="426">
        <v>121230</v>
      </c>
    </row>
    <row r="42" spans="1:47" s="291" customFormat="1">
      <c r="A42" s="305" t="s">
        <v>138</v>
      </c>
      <c r="B42" s="303">
        <v>110400</v>
      </c>
      <c r="C42" s="23">
        <v>71972</v>
      </c>
      <c r="D42" s="332">
        <v>0</v>
      </c>
      <c r="E42" s="332">
        <v>0</v>
      </c>
      <c r="F42" s="332">
        <v>0</v>
      </c>
      <c r="G42" s="332">
        <v>0</v>
      </c>
      <c r="H42" s="23">
        <v>64100</v>
      </c>
      <c r="I42" s="332">
        <v>0</v>
      </c>
      <c r="J42" s="332">
        <v>0</v>
      </c>
      <c r="K42" s="23">
        <v>61094</v>
      </c>
      <c r="L42" s="296">
        <f t="shared" si="33"/>
        <v>58160.5</v>
      </c>
      <c r="M42" s="23">
        <v>55227</v>
      </c>
      <c r="N42" s="332">
        <v>0</v>
      </c>
      <c r="O42" s="332">
        <v>0</v>
      </c>
      <c r="P42" s="332">
        <v>0</v>
      </c>
      <c r="Q42" s="332">
        <v>0</v>
      </c>
      <c r="R42" s="332">
        <v>0</v>
      </c>
      <c r="S42" s="332">
        <v>0</v>
      </c>
      <c r="T42" s="332">
        <v>0</v>
      </c>
      <c r="U42" s="332">
        <v>0</v>
      </c>
      <c r="V42" s="23">
        <v>60658</v>
      </c>
      <c r="W42" s="296">
        <f t="shared" si="34"/>
        <v>56044.5</v>
      </c>
      <c r="X42" s="23">
        <v>51431</v>
      </c>
      <c r="Y42" s="296">
        <f t="shared" si="35"/>
        <v>51016.5</v>
      </c>
      <c r="Z42" s="23">
        <v>50602</v>
      </c>
      <c r="AA42" s="296">
        <f t="shared" si="36"/>
        <v>50031.5</v>
      </c>
      <c r="AB42" s="24">
        <v>49461</v>
      </c>
      <c r="AC42" s="296">
        <f t="shared" si="37"/>
        <v>56890.5</v>
      </c>
      <c r="AD42" s="24">
        <v>64320</v>
      </c>
      <c r="AE42" s="296">
        <f t="shared" si="38"/>
        <v>59480</v>
      </c>
      <c r="AF42" s="24">
        <v>54640</v>
      </c>
      <c r="AG42" s="296">
        <f t="shared" si="39"/>
        <v>53090</v>
      </c>
      <c r="AH42" s="295">
        <v>51540</v>
      </c>
      <c r="AI42" s="296">
        <f t="shared" si="40"/>
        <v>52695</v>
      </c>
      <c r="AJ42" s="295">
        <v>53850</v>
      </c>
      <c r="AK42" s="296">
        <f t="shared" si="41"/>
        <v>57405</v>
      </c>
      <c r="AL42" s="291">
        <v>60960</v>
      </c>
      <c r="AM42" s="296">
        <f t="shared" si="42"/>
        <v>54390</v>
      </c>
      <c r="AN42" s="291">
        <v>47820</v>
      </c>
      <c r="AO42" s="296">
        <f t="shared" si="43"/>
        <v>43757</v>
      </c>
      <c r="AP42" s="291">
        <v>39694</v>
      </c>
      <c r="AQ42" s="24">
        <v>45160</v>
      </c>
      <c r="AR42" s="296">
        <f t="shared" si="44"/>
        <v>54500</v>
      </c>
      <c r="AS42" s="426">
        <v>63840</v>
      </c>
      <c r="AT42" s="296">
        <f t="shared" si="45"/>
        <v>59995</v>
      </c>
      <c r="AU42" s="426">
        <v>56150</v>
      </c>
    </row>
    <row r="43" spans="1:47" s="291" customFormat="1">
      <c r="A43" s="305" t="s">
        <v>139</v>
      </c>
      <c r="B43" s="303">
        <v>57900</v>
      </c>
      <c r="C43" s="23">
        <v>39600</v>
      </c>
      <c r="D43" s="332">
        <v>0</v>
      </c>
      <c r="E43" s="332">
        <v>0</v>
      </c>
      <c r="F43" s="332">
        <v>0</v>
      </c>
      <c r="G43" s="332">
        <v>0</v>
      </c>
      <c r="H43" s="23">
        <v>31300</v>
      </c>
      <c r="I43" s="332">
        <v>0</v>
      </c>
      <c r="J43" s="332">
        <v>0</v>
      </c>
      <c r="K43" s="23">
        <v>32395</v>
      </c>
      <c r="L43" s="296">
        <f t="shared" si="33"/>
        <v>33142</v>
      </c>
      <c r="M43" s="23">
        <v>33889</v>
      </c>
      <c r="N43" s="332">
        <v>0</v>
      </c>
      <c r="O43" s="332">
        <v>0</v>
      </c>
      <c r="P43" s="332">
        <v>0</v>
      </c>
      <c r="Q43" s="332">
        <v>0</v>
      </c>
      <c r="R43" s="332">
        <v>0</v>
      </c>
      <c r="S43" s="332">
        <v>0</v>
      </c>
      <c r="T43" s="332">
        <v>0</v>
      </c>
      <c r="U43" s="332">
        <v>0</v>
      </c>
      <c r="V43" s="23">
        <v>34719</v>
      </c>
      <c r="W43" s="296">
        <f t="shared" si="34"/>
        <v>34898</v>
      </c>
      <c r="X43" s="23">
        <v>35077</v>
      </c>
      <c r="Y43" s="296">
        <f t="shared" si="35"/>
        <v>36061</v>
      </c>
      <c r="Z43" s="23">
        <v>37045</v>
      </c>
      <c r="AA43" s="296">
        <f t="shared" si="36"/>
        <v>38175.5</v>
      </c>
      <c r="AB43" s="24">
        <v>39306</v>
      </c>
      <c r="AC43" s="296">
        <f t="shared" si="37"/>
        <v>42368</v>
      </c>
      <c r="AD43" s="24">
        <v>45430</v>
      </c>
      <c r="AE43" s="296">
        <f t="shared" si="38"/>
        <v>51135</v>
      </c>
      <c r="AF43" s="24">
        <v>56840</v>
      </c>
      <c r="AG43" s="296">
        <f t="shared" si="39"/>
        <v>54190</v>
      </c>
      <c r="AH43" s="295">
        <v>51540</v>
      </c>
      <c r="AI43" s="296">
        <f t="shared" si="40"/>
        <v>49625</v>
      </c>
      <c r="AJ43" s="295">
        <v>47710</v>
      </c>
      <c r="AK43" s="296">
        <f t="shared" si="41"/>
        <v>47420</v>
      </c>
      <c r="AL43" s="291">
        <v>47130</v>
      </c>
      <c r="AM43" s="296">
        <f t="shared" si="42"/>
        <v>47455</v>
      </c>
      <c r="AN43" s="291">
        <v>47780</v>
      </c>
      <c r="AO43" s="296">
        <f t="shared" si="43"/>
        <v>44016</v>
      </c>
      <c r="AP43" s="291">
        <v>40252</v>
      </c>
      <c r="AQ43" s="24">
        <v>44680</v>
      </c>
      <c r="AR43" s="296">
        <f t="shared" si="44"/>
        <v>43890</v>
      </c>
      <c r="AS43" s="426">
        <v>43100</v>
      </c>
      <c r="AT43" s="296">
        <f t="shared" si="45"/>
        <v>42310</v>
      </c>
      <c r="AU43" s="426">
        <v>41520</v>
      </c>
    </row>
    <row r="44" spans="1:47" s="291" customFormat="1">
      <c r="A44" s="305" t="s">
        <v>142</v>
      </c>
      <c r="B44" s="308">
        <v>373800</v>
      </c>
      <c r="C44" s="23">
        <v>292290</v>
      </c>
      <c r="D44" s="332">
        <v>0</v>
      </c>
      <c r="E44" s="332">
        <v>0</v>
      </c>
      <c r="F44" s="332">
        <v>0</v>
      </c>
      <c r="G44" s="332">
        <v>0</v>
      </c>
      <c r="H44" s="23">
        <v>239200</v>
      </c>
      <c r="I44" s="332">
        <v>0</v>
      </c>
      <c r="J44" s="332">
        <v>0</v>
      </c>
      <c r="K44" s="23">
        <v>216744</v>
      </c>
      <c r="L44" s="296">
        <f t="shared" si="33"/>
        <v>214307.5</v>
      </c>
      <c r="M44" s="23">
        <v>211871</v>
      </c>
      <c r="N44" s="332">
        <v>0</v>
      </c>
      <c r="O44" s="332">
        <v>0</v>
      </c>
      <c r="P44" s="332">
        <v>0</v>
      </c>
      <c r="Q44" s="332">
        <v>0</v>
      </c>
      <c r="R44" s="332">
        <v>0</v>
      </c>
      <c r="S44" s="332">
        <v>0</v>
      </c>
      <c r="T44" s="332">
        <v>0</v>
      </c>
      <c r="U44" s="332">
        <v>0</v>
      </c>
      <c r="V44" s="23">
        <v>189629</v>
      </c>
      <c r="W44" s="296">
        <f t="shared" si="34"/>
        <v>188362</v>
      </c>
      <c r="X44" s="23">
        <v>187095</v>
      </c>
      <c r="Y44" s="296">
        <f t="shared" si="35"/>
        <v>187418</v>
      </c>
      <c r="Z44" s="23">
        <v>187741</v>
      </c>
      <c r="AA44" s="296">
        <f t="shared" si="36"/>
        <v>188403</v>
      </c>
      <c r="AB44" s="24">
        <v>189065</v>
      </c>
      <c r="AC44" s="296">
        <f t="shared" si="37"/>
        <v>200507.5</v>
      </c>
      <c r="AD44" s="24">
        <v>211950</v>
      </c>
      <c r="AE44" s="296">
        <f t="shared" si="38"/>
        <v>210210</v>
      </c>
      <c r="AF44" s="24">
        <v>208470</v>
      </c>
      <c r="AG44" s="296">
        <f t="shared" si="39"/>
        <v>203425</v>
      </c>
      <c r="AH44" s="295">
        <v>198380</v>
      </c>
      <c r="AI44" s="296">
        <f t="shared" si="40"/>
        <v>189230</v>
      </c>
      <c r="AJ44" s="295">
        <v>180080</v>
      </c>
      <c r="AK44" s="296">
        <f t="shared" si="41"/>
        <v>173515</v>
      </c>
      <c r="AL44" s="291">
        <v>166950</v>
      </c>
      <c r="AM44" s="296">
        <f t="shared" si="42"/>
        <v>163025</v>
      </c>
      <c r="AN44" s="291">
        <v>159100</v>
      </c>
      <c r="AO44" s="296">
        <f t="shared" si="43"/>
        <v>146612.5</v>
      </c>
      <c r="AP44" s="291">
        <v>134125</v>
      </c>
      <c r="AQ44" s="24">
        <v>153230</v>
      </c>
      <c r="AR44" s="296">
        <f t="shared" si="44"/>
        <v>144405</v>
      </c>
      <c r="AS44" s="426">
        <v>135580</v>
      </c>
      <c r="AT44" s="296">
        <f t="shared" si="45"/>
        <v>138585</v>
      </c>
      <c r="AU44" s="426">
        <v>141590</v>
      </c>
    </row>
    <row r="45" spans="1:47" s="291" customFormat="1">
      <c r="A45" s="305" t="s">
        <v>143</v>
      </c>
      <c r="B45" s="308">
        <v>186000</v>
      </c>
      <c r="C45" s="23">
        <v>120282</v>
      </c>
      <c r="D45" s="332">
        <v>0</v>
      </c>
      <c r="E45" s="332">
        <v>0</v>
      </c>
      <c r="F45" s="332">
        <v>0</v>
      </c>
      <c r="G45" s="332">
        <v>0</v>
      </c>
      <c r="H45" s="23">
        <v>105200</v>
      </c>
      <c r="I45" s="332">
        <v>0</v>
      </c>
      <c r="J45" s="332">
        <v>0</v>
      </c>
      <c r="K45" s="23">
        <v>91898</v>
      </c>
      <c r="L45" s="296">
        <f t="shared" si="33"/>
        <v>90432</v>
      </c>
      <c r="M45" s="23">
        <v>88966</v>
      </c>
      <c r="N45" s="332">
        <v>0</v>
      </c>
      <c r="O45" s="332">
        <v>0</v>
      </c>
      <c r="P45" s="332">
        <v>0</v>
      </c>
      <c r="Q45" s="332">
        <v>0</v>
      </c>
      <c r="R45" s="332">
        <v>0</v>
      </c>
      <c r="S45" s="332">
        <v>0</v>
      </c>
      <c r="T45" s="332">
        <v>0</v>
      </c>
      <c r="U45" s="332">
        <v>0</v>
      </c>
      <c r="V45" s="23">
        <v>96593</v>
      </c>
      <c r="W45" s="296">
        <f t="shared" si="34"/>
        <v>94998.5</v>
      </c>
      <c r="X45" s="23">
        <v>93404</v>
      </c>
      <c r="Y45" s="296">
        <f t="shared" si="35"/>
        <v>89727.5</v>
      </c>
      <c r="Z45" s="23">
        <v>86051</v>
      </c>
      <c r="AA45" s="296">
        <f t="shared" si="36"/>
        <v>86264</v>
      </c>
      <c r="AB45" s="24">
        <v>86477</v>
      </c>
      <c r="AC45" s="296">
        <f t="shared" si="37"/>
        <v>91973.5</v>
      </c>
      <c r="AD45" s="24">
        <v>97470</v>
      </c>
      <c r="AE45" s="296">
        <f t="shared" si="38"/>
        <v>99415</v>
      </c>
      <c r="AF45" s="24">
        <v>101360</v>
      </c>
      <c r="AG45" s="296">
        <f t="shared" si="39"/>
        <v>106835</v>
      </c>
      <c r="AH45" s="295">
        <v>112310</v>
      </c>
      <c r="AI45" s="296">
        <f t="shared" si="40"/>
        <v>109160</v>
      </c>
      <c r="AJ45" s="295">
        <v>106010</v>
      </c>
      <c r="AK45" s="296">
        <f t="shared" si="41"/>
        <v>105370</v>
      </c>
      <c r="AL45" s="291">
        <v>104730</v>
      </c>
      <c r="AM45" s="296">
        <f t="shared" si="42"/>
        <v>103235</v>
      </c>
      <c r="AN45" s="291">
        <v>101740</v>
      </c>
      <c r="AO45" s="296">
        <f t="shared" si="43"/>
        <v>90064.5</v>
      </c>
      <c r="AP45" s="291">
        <v>78389</v>
      </c>
      <c r="AQ45" s="24">
        <v>89530</v>
      </c>
      <c r="AR45" s="296">
        <f t="shared" si="44"/>
        <v>88575</v>
      </c>
      <c r="AS45" s="426">
        <v>87620</v>
      </c>
      <c r="AT45" s="296">
        <f t="shared" si="45"/>
        <v>86440</v>
      </c>
      <c r="AU45" s="426">
        <v>85260</v>
      </c>
    </row>
    <row r="46" spans="1:47" s="291" customFormat="1">
      <c r="A46" s="305" t="s">
        <v>144</v>
      </c>
      <c r="B46" s="308">
        <v>189500</v>
      </c>
      <c r="C46" s="23">
        <v>144950</v>
      </c>
      <c r="D46" s="332">
        <v>0</v>
      </c>
      <c r="E46" s="332">
        <v>0</v>
      </c>
      <c r="F46" s="332">
        <v>0</v>
      </c>
      <c r="G46" s="332">
        <v>0</v>
      </c>
      <c r="H46" s="23">
        <v>93600</v>
      </c>
      <c r="I46" s="332">
        <v>0</v>
      </c>
      <c r="J46" s="332">
        <v>0</v>
      </c>
      <c r="K46" s="23">
        <v>130886</v>
      </c>
      <c r="L46" s="296">
        <f t="shared" si="33"/>
        <v>128602.5</v>
      </c>
      <c r="M46" s="34">
        <v>126319</v>
      </c>
      <c r="N46" s="332">
        <v>0</v>
      </c>
      <c r="O46" s="332">
        <v>0</v>
      </c>
      <c r="P46" s="332">
        <v>0</v>
      </c>
      <c r="Q46" s="332">
        <v>0</v>
      </c>
      <c r="R46" s="332">
        <v>0</v>
      </c>
      <c r="S46" s="332">
        <v>0</v>
      </c>
      <c r="T46" s="332">
        <v>0</v>
      </c>
      <c r="U46" s="332">
        <v>0</v>
      </c>
      <c r="V46" s="23">
        <v>124085</v>
      </c>
      <c r="W46" s="296">
        <f t="shared" si="34"/>
        <v>120262.5</v>
      </c>
      <c r="X46" s="23">
        <v>116440</v>
      </c>
      <c r="Y46" s="296">
        <f t="shared" si="35"/>
        <v>116953</v>
      </c>
      <c r="Z46" s="23">
        <v>117466</v>
      </c>
      <c r="AA46" s="296">
        <f t="shared" si="36"/>
        <v>122225.5</v>
      </c>
      <c r="AB46" s="24">
        <v>126985</v>
      </c>
      <c r="AC46" s="296">
        <f t="shared" si="37"/>
        <v>132722.5</v>
      </c>
      <c r="AD46" s="24">
        <v>138460</v>
      </c>
      <c r="AE46" s="296">
        <f t="shared" si="38"/>
        <v>135105</v>
      </c>
      <c r="AF46" s="24">
        <v>131750</v>
      </c>
      <c r="AG46" s="296">
        <f t="shared" si="39"/>
        <v>134945</v>
      </c>
      <c r="AH46" s="295">
        <v>138140</v>
      </c>
      <c r="AI46" s="296">
        <f t="shared" si="40"/>
        <v>139835</v>
      </c>
      <c r="AJ46" s="295">
        <v>141530</v>
      </c>
      <c r="AK46" s="296">
        <f t="shared" si="41"/>
        <v>139670</v>
      </c>
      <c r="AL46" s="291">
        <v>137810</v>
      </c>
      <c r="AM46" s="296">
        <f t="shared" si="42"/>
        <v>131710</v>
      </c>
      <c r="AN46" s="291">
        <v>125610</v>
      </c>
      <c r="AO46" s="296">
        <f t="shared" si="43"/>
        <v>115579</v>
      </c>
      <c r="AP46" s="291">
        <v>105548</v>
      </c>
      <c r="AQ46" s="24">
        <v>117970</v>
      </c>
      <c r="AR46" s="296">
        <f t="shared" si="44"/>
        <v>124050</v>
      </c>
      <c r="AS46" s="426">
        <v>130130</v>
      </c>
      <c r="AT46" s="296">
        <f t="shared" si="45"/>
        <v>134850</v>
      </c>
      <c r="AU46" s="426">
        <v>139570</v>
      </c>
    </row>
    <row r="47" spans="1:47" s="291" customFormat="1">
      <c r="A47" s="305" t="s">
        <v>146</v>
      </c>
      <c r="B47" s="306">
        <v>64100</v>
      </c>
      <c r="C47" s="34">
        <v>50410</v>
      </c>
      <c r="D47" s="327">
        <v>0</v>
      </c>
      <c r="E47" s="327">
        <v>0</v>
      </c>
      <c r="F47" s="327">
        <v>0</v>
      </c>
      <c r="G47" s="327">
        <v>0</v>
      </c>
      <c r="H47" s="34">
        <v>40200</v>
      </c>
      <c r="I47" s="327">
        <v>0</v>
      </c>
      <c r="J47" s="327">
        <v>0</v>
      </c>
      <c r="K47" s="34">
        <v>38992</v>
      </c>
      <c r="L47" s="296">
        <f t="shared" si="33"/>
        <v>38783</v>
      </c>
      <c r="M47" s="34">
        <v>38574</v>
      </c>
      <c r="N47" s="327">
        <v>0</v>
      </c>
      <c r="O47" s="327">
        <v>0</v>
      </c>
      <c r="P47" s="327">
        <v>0</v>
      </c>
      <c r="Q47" s="327">
        <v>0</v>
      </c>
      <c r="R47" s="327">
        <v>0</v>
      </c>
      <c r="S47" s="327">
        <v>0</v>
      </c>
      <c r="T47" s="327">
        <v>0</v>
      </c>
      <c r="U47" s="327">
        <v>0</v>
      </c>
      <c r="V47" s="34">
        <v>36458</v>
      </c>
      <c r="W47" s="296">
        <f t="shared" si="34"/>
        <v>38065.5</v>
      </c>
      <c r="X47" s="34">
        <v>39673</v>
      </c>
      <c r="Y47" s="296">
        <f t="shared" si="35"/>
        <v>39618.5</v>
      </c>
      <c r="Z47" s="34">
        <v>39564</v>
      </c>
      <c r="AA47" s="296">
        <f t="shared" si="36"/>
        <v>40442</v>
      </c>
      <c r="AB47" s="297">
        <v>41320</v>
      </c>
      <c r="AC47" s="296">
        <f t="shared" si="37"/>
        <v>42265</v>
      </c>
      <c r="AD47" s="297">
        <v>43210</v>
      </c>
      <c r="AE47" s="296">
        <f t="shared" si="38"/>
        <v>43885</v>
      </c>
      <c r="AF47" s="297">
        <v>44560</v>
      </c>
      <c r="AG47" s="296">
        <f t="shared" si="39"/>
        <v>45075</v>
      </c>
      <c r="AH47" s="295">
        <v>45590</v>
      </c>
      <c r="AI47" s="296">
        <f t="shared" si="40"/>
        <v>43620</v>
      </c>
      <c r="AJ47" s="295">
        <v>41650</v>
      </c>
      <c r="AK47" s="296">
        <f t="shared" si="41"/>
        <v>42035</v>
      </c>
      <c r="AL47" s="291">
        <v>42420</v>
      </c>
      <c r="AM47" s="296">
        <f t="shared" si="42"/>
        <v>41370</v>
      </c>
      <c r="AN47" s="291">
        <v>40320</v>
      </c>
      <c r="AO47" s="296">
        <f t="shared" si="43"/>
        <v>37569.5</v>
      </c>
      <c r="AP47" s="291">
        <v>34819</v>
      </c>
      <c r="AQ47" s="24">
        <v>39040</v>
      </c>
      <c r="AR47" s="296">
        <f t="shared" si="44"/>
        <v>39895</v>
      </c>
      <c r="AS47" s="426">
        <v>40750</v>
      </c>
      <c r="AT47" s="296">
        <f t="shared" si="45"/>
        <v>41525</v>
      </c>
      <c r="AU47" s="426">
        <v>42300</v>
      </c>
    </row>
    <row r="48" spans="1:47" s="291" customFormat="1">
      <c r="A48" s="305" t="s">
        <v>152</v>
      </c>
      <c r="B48" s="306">
        <v>23000</v>
      </c>
      <c r="C48" s="34">
        <v>13265</v>
      </c>
      <c r="D48" s="327">
        <v>0</v>
      </c>
      <c r="E48" s="327">
        <v>0</v>
      </c>
      <c r="F48" s="327">
        <v>0</v>
      </c>
      <c r="G48" s="327">
        <v>0</v>
      </c>
      <c r="H48" s="34">
        <v>10800</v>
      </c>
      <c r="I48" s="327">
        <v>0</v>
      </c>
      <c r="J48" s="327">
        <v>0</v>
      </c>
      <c r="K48" s="34">
        <v>11108</v>
      </c>
      <c r="L48" s="296">
        <f t="shared" si="33"/>
        <v>10883.5</v>
      </c>
      <c r="M48" s="34">
        <v>10659</v>
      </c>
      <c r="N48" s="327">
        <v>0</v>
      </c>
      <c r="O48" s="327">
        <v>0</v>
      </c>
      <c r="P48" s="327">
        <v>0</v>
      </c>
      <c r="Q48" s="327">
        <v>0</v>
      </c>
      <c r="R48" s="327">
        <v>0</v>
      </c>
      <c r="S48" s="327">
        <v>0</v>
      </c>
      <c r="T48" s="327">
        <v>0</v>
      </c>
      <c r="U48" s="327">
        <v>0</v>
      </c>
      <c r="V48" s="34">
        <v>7045</v>
      </c>
      <c r="W48" s="296">
        <f t="shared" si="34"/>
        <v>7281.5</v>
      </c>
      <c r="X48" s="34">
        <v>7518</v>
      </c>
      <c r="Y48" s="296">
        <f t="shared" si="35"/>
        <v>7547.5</v>
      </c>
      <c r="Z48" s="34">
        <v>7577</v>
      </c>
      <c r="AA48" s="296">
        <f t="shared" si="36"/>
        <v>7449</v>
      </c>
      <c r="AB48" s="297">
        <v>7321</v>
      </c>
      <c r="AC48" s="296">
        <f t="shared" si="37"/>
        <v>7645.5</v>
      </c>
      <c r="AD48" s="297">
        <v>7970</v>
      </c>
      <c r="AE48" s="296">
        <f t="shared" si="38"/>
        <v>7850</v>
      </c>
      <c r="AF48" s="297">
        <v>7730</v>
      </c>
      <c r="AG48" s="296">
        <f t="shared" si="39"/>
        <v>7455</v>
      </c>
      <c r="AH48" s="295">
        <v>7180</v>
      </c>
      <c r="AI48" s="296">
        <f t="shared" si="40"/>
        <v>7010</v>
      </c>
      <c r="AJ48" s="295">
        <v>6840</v>
      </c>
      <c r="AK48" s="296">
        <f t="shared" si="41"/>
        <v>7065</v>
      </c>
      <c r="AL48" s="291">
        <v>7290</v>
      </c>
      <c r="AM48" s="296">
        <f t="shared" si="42"/>
        <v>7360</v>
      </c>
      <c r="AN48" s="291">
        <v>7430</v>
      </c>
      <c r="AO48" s="296">
        <f t="shared" si="43"/>
        <v>7081</v>
      </c>
      <c r="AP48" s="291">
        <v>6732</v>
      </c>
      <c r="AQ48" s="24">
        <v>7750</v>
      </c>
      <c r="AR48" s="296">
        <f t="shared" si="44"/>
        <v>7760</v>
      </c>
      <c r="AS48" s="426">
        <v>7770</v>
      </c>
      <c r="AT48" s="296">
        <f t="shared" si="45"/>
        <v>8030</v>
      </c>
      <c r="AU48" s="426">
        <v>8290</v>
      </c>
    </row>
    <row r="49" spans="1:47" s="60" customFormat="1">
      <c r="A49" s="305" t="s">
        <v>153</v>
      </c>
      <c r="B49" s="306">
        <v>442000</v>
      </c>
      <c r="C49" s="34">
        <v>358335</v>
      </c>
      <c r="D49" s="327">
        <v>0</v>
      </c>
      <c r="E49" s="327">
        <v>0</v>
      </c>
      <c r="F49" s="327">
        <v>0</v>
      </c>
      <c r="G49" s="327">
        <v>0</v>
      </c>
      <c r="H49" s="34">
        <v>287700</v>
      </c>
      <c r="I49" s="327">
        <v>0</v>
      </c>
      <c r="J49" s="327">
        <v>0</v>
      </c>
      <c r="K49" s="34">
        <v>273832</v>
      </c>
      <c r="L49" s="296">
        <f t="shared" si="33"/>
        <v>271094.5</v>
      </c>
      <c r="M49" s="34">
        <v>268357</v>
      </c>
      <c r="N49" s="327">
        <v>0</v>
      </c>
      <c r="O49" s="327">
        <v>0</v>
      </c>
      <c r="P49" s="327">
        <v>0</v>
      </c>
      <c r="Q49" s="327">
        <v>0</v>
      </c>
      <c r="R49" s="327">
        <v>0</v>
      </c>
      <c r="S49" s="327">
        <v>0</v>
      </c>
      <c r="T49" s="327">
        <v>0</v>
      </c>
      <c r="U49" s="327">
        <v>0</v>
      </c>
      <c r="V49" s="34">
        <v>263379</v>
      </c>
      <c r="W49" s="296">
        <f t="shared" si="34"/>
        <v>266221.5</v>
      </c>
      <c r="X49" s="34">
        <v>269064</v>
      </c>
      <c r="Y49" s="296">
        <f t="shared" si="35"/>
        <v>257934.5</v>
      </c>
      <c r="Z49" s="34">
        <v>246805</v>
      </c>
      <c r="AA49" s="296">
        <f t="shared" si="36"/>
        <v>251041</v>
      </c>
      <c r="AB49" s="297">
        <v>255277</v>
      </c>
      <c r="AC49" s="296">
        <f t="shared" si="37"/>
        <v>270213.5</v>
      </c>
      <c r="AD49" s="297">
        <v>285150</v>
      </c>
      <c r="AE49" s="296">
        <f t="shared" si="38"/>
        <v>283040</v>
      </c>
      <c r="AF49" s="297">
        <v>280930</v>
      </c>
      <c r="AG49" s="296">
        <f t="shared" si="39"/>
        <v>285650</v>
      </c>
      <c r="AH49" s="295">
        <v>290370</v>
      </c>
      <c r="AI49" s="296">
        <f t="shared" si="40"/>
        <v>280515</v>
      </c>
      <c r="AJ49" s="295">
        <v>270660</v>
      </c>
      <c r="AK49" s="296">
        <f t="shared" si="41"/>
        <v>262595</v>
      </c>
      <c r="AL49" s="291">
        <v>254530</v>
      </c>
      <c r="AM49" s="296">
        <f t="shared" si="42"/>
        <v>247025</v>
      </c>
      <c r="AN49" s="291">
        <v>239520</v>
      </c>
      <c r="AO49" s="296">
        <f t="shared" si="43"/>
        <v>230869</v>
      </c>
      <c r="AP49" s="291">
        <v>222218</v>
      </c>
      <c r="AQ49" s="24">
        <v>246250</v>
      </c>
      <c r="AR49" s="296">
        <f t="shared" si="44"/>
        <v>230120</v>
      </c>
      <c r="AS49" s="426">
        <v>213990</v>
      </c>
      <c r="AT49" s="296">
        <f t="shared" si="45"/>
        <v>226305</v>
      </c>
      <c r="AU49" s="426">
        <v>238620</v>
      </c>
    </row>
    <row r="50" spans="1:47" s="60" customFormat="1">
      <c r="A50" s="305" t="s">
        <v>157</v>
      </c>
      <c r="B50" s="306">
        <v>26500</v>
      </c>
      <c r="C50" s="34">
        <v>11657</v>
      </c>
      <c r="D50" s="327">
        <v>0</v>
      </c>
      <c r="E50" s="327">
        <v>0</v>
      </c>
      <c r="F50" s="327">
        <v>0</v>
      </c>
      <c r="G50" s="327">
        <v>0</v>
      </c>
      <c r="H50" s="34">
        <v>10800</v>
      </c>
      <c r="I50" s="327">
        <v>0</v>
      </c>
      <c r="J50" s="327">
        <v>0</v>
      </c>
      <c r="K50" s="34">
        <v>12798</v>
      </c>
      <c r="L50" s="296">
        <f t="shared" si="33"/>
        <v>11848</v>
      </c>
      <c r="M50" s="34">
        <v>10898</v>
      </c>
      <c r="N50" s="327">
        <v>0</v>
      </c>
      <c r="O50" s="327">
        <v>0</v>
      </c>
      <c r="P50" s="327">
        <v>0</v>
      </c>
      <c r="Q50" s="327">
        <v>0</v>
      </c>
      <c r="R50" s="327">
        <v>0</v>
      </c>
      <c r="S50" s="327">
        <v>0</v>
      </c>
      <c r="T50" s="327">
        <v>0</v>
      </c>
      <c r="U50" s="327">
        <v>0</v>
      </c>
      <c r="V50" s="34">
        <v>16854</v>
      </c>
      <c r="W50" s="296">
        <f t="shared" si="34"/>
        <v>13696.5</v>
      </c>
      <c r="X50" s="34">
        <v>10539</v>
      </c>
      <c r="Y50" s="296">
        <f t="shared" si="35"/>
        <v>10057</v>
      </c>
      <c r="Z50" s="34">
        <v>9575</v>
      </c>
      <c r="AA50" s="296">
        <f t="shared" si="36"/>
        <v>9815.5</v>
      </c>
      <c r="AB50" s="297">
        <v>10056</v>
      </c>
      <c r="AC50" s="296">
        <f t="shared" si="37"/>
        <v>10203</v>
      </c>
      <c r="AD50" s="297">
        <v>10350</v>
      </c>
      <c r="AE50" s="296">
        <f t="shared" si="38"/>
        <v>10235</v>
      </c>
      <c r="AF50" s="297">
        <v>10120</v>
      </c>
      <c r="AG50" s="296">
        <f t="shared" si="39"/>
        <v>10930</v>
      </c>
      <c r="AH50" s="295">
        <v>11740</v>
      </c>
      <c r="AI50" s="296">
        <f t="shared" si="40"/>
        <v>11860</v>
      </c>
      <c r="AJ50" s="295">
        <v>11980</v>
      </c>
      <c r="AK50" s="296">
        <f t="shared" si="41"/>
        <v>12340</v>
      </c>
      <c r="AL50" s="291">
        <v>12700</v>
      </c>
      <c r="AM50" s="296">
        <f t="shared" si="42"/>
        <v>12490</v>
      </c>
      <c r="AN50" s="291">
        <v>12280</v>
      </c>
      <c r="AO50" s="296">
        <f t="shared" si="43"/>
        <v>10837</v>
      </c>
      <c r="AP50" s="291">
        <v>9394</v>
      </c>
      <c r="AQ50" s="24">
        <v>11470</v>
      </c>
      <c r="AR50" s="296">
        <f t="shared" si="44"/>
        <v>11980</v>
      </c>
      <c r="AS50" s="426">
        <v>12490</v>
      </c>
      <c r="AT50" s="296">
        <f t="shared" si="45"/>
        <v>11220</v>
      </c>
      <c r="AU50" s="426">
        <v>9950</v>
      </c>
    </row>
    <row r="51" spans="1:47" s="60" customFormat="1">
      <c r="A51" s="307" t="s">
        <v>161</v>
      </c>
      <c r="B51" s="294">
        <v>287600</v>
      </c>
      <c r="C51" s="34">
        <v>203748</v>
      </c>
      <c r="D51" s="327">
        <v>0</v>
      </c>
      <c r="E51" s="327">
        <v>0</v>
      </c>
      <c r="F51" s="327">
        <v>0</v>
      </c>
      <c r="G51" s="327">
        <v>0</v>
      </c>
      <c r="H51" s="34">
        <v>170200</v>
      </c>
      <c r="I51" s="327">
        <v>0</v>
      </c>
      <c r="J51" s="327">
        <v>0</v>
      </c>
      <c r="K51" s="34">
        <v>171058</v>
      </c>
      <c r="L51" s="296">
        <f t="shared" si="33"/>
        <v>166709.5</v>
      </c>
      <c r="M51" s="34">
        <v>162361</v>
      </c>
      <c r="N51" s="327">
        <v>0</v>
      </c>
      <c r="O51" s="327">
        <v>0</v>
      </c>
      <c r="P51" s="327">
        <v>0</v>
      </c>
      <c r="Q51" s="327">
        <v>0</v>
      </c>
      <c r="R51" s="327">
        <v>0</v>
      </c>
      <c r="S51" s="327">
        <v>0</v>
      </c>
      <c r="T51" s="327">
        <v>0</v>
      </c>
      <c r="U51" s="327">
        <v>0</v>
      </c>
      <c r="V51" s="34">
        <v>137901</v>
      </c>
      <c r="W51" s="296">
        <f t="shared" si="34"/>
        <v>140120</v>
      </c>
      <c r="X51" s="34">
        <v>142339</v>
      </c>
      <c r="Y51" s="296">
        <f t="shared" si="35"/>
        <v>142050.5</v>
      </c>
      <c r="Z51" s="34">
        <v>141762</v>
      </c>
      <c r="AA51" s="296">
        <f t="shared" si="36"/>
        <v>142496.5</v>
      </c>
      <c r="AB51" s="297">
        <v>143231</v>
      </c>
      <c r="AC51" s="296">
        <f t="shared" si="37"/>
        <v>149780.5</v>
      </c>
      <c r="AD51" s="292">
        <v>156330</v>
      </c>
      <c r="AE51" s="296">
        <f t="shared" si="38"/>
        <v>155335</v>
      </c>
      <c r="AF51" s="292">
        <v>154340</v>
      </c>
      <c r="AG51" s="296">
        <f t="shared" si="39"/>
        <v>158280</v>
      </c>
      <c r="AH51" s="295">
        <v>162220</v>
      </c>
      <c r="AI51" s="296">
        <f t="shared" si="40"/>
        <v>160730</v>
      </c>
      <c r="AJ51" s="295">
        <v>159240</v>
      </c>
      <c r="AK51" s="296">
        <f t="shared" si="41"/>
        <v>150760</v>
      </c>
      <c r="AL51" s="291">
        <v>142280</v>
      </c>
      <c r="AM51" s="296">
        <f t="shared" si="42"/>
        <v>140285</v>
      </c>
      <c r="AN51" s="291">
        <v>138290</v>
      </c>
      <c r="AO51" s="296">
        <f t="shared" si="43"/>
        <v>127137.5</v>
      </c>
      <c r="AP51" s="291">
        <v>115985</v>
      </c>
      <c r="AQ51" s="25">
        <v>130510</v>
      </c>
      <c r="AR51" s="296">
        <f t="shared" si="44"/>
        <v>128880</v>
      </c>
      <c r="AS51" s="427">
        <v>127250</v>
      </c>
      <c r="AT51" s="296">
        <f t="shared" si="45"/>
        <v>143950</v>
      </c>
      <c r="AU51" s="426">
        <v>160650</v>
      </c>
    </row>
    <row r="52" spans="1:47" s="60" customFormat="1">
      <c r="A52" s="111" t="s">
        <v>247</v>
      </c>
      <c r="B52" s="112">
        <f t="shared" ref="B52:AS52" si="46">SUM(B54:B62)</f>
        <v>2539600</v>
      </c>
      <c r="C52" s="112">
        <f t="shared" si="46"/>
        <v>2064609</v>
      </c>
      <c r="D52" s="329">
        <v>0</v>
      </c>
      <c r="E52" s="329">
        <v>0</v>
      </c>
      <c r="F52" s="329">
        <v>0</v>
      </c>
      <c r="G52" s="329">
        <v>0</v>
      </c>
      <c r="H52" s="112">
        <f t="shared" si="46"/>
        <v>1718400</v>
      </c>
      <c r="I52" s="329">
        <v>0</v>
      </c>
      <c r="J52" s="329">
        <v>0</v>
      </c>
      <c r="K52" s="112">
        <f t="shared" si="46"/>
        <v>1586584</v>
      </c>
      <c r="L52" s="112">
        <f t="shared" si="46"/>
        <v>1550309</v>
      </c>
      <c r="M52" s="112">
        <f t="shared" si="46"/>
        <v>1514034</v>
      </c>
      <c r="N52" s="329">
        <v>0</v>
      </c>
      <c r="O52" s="329">
        <v>0</v>
      </c>
      <c r="P52" s="329">
        <v>0</v>
      </c>
      <c r="Q52" s="329">
        <v>0</v>
      </c>
      <c r="R52" s="329">
        <v>0</v>
      </c>
      <c r="S52" s="329">
        <v>0</v>
      </c>
      <c r="T52" s="329">
        <v>0</v>
      </c>
      <c r="U52" s="329">
        <v>0</v>
      </c>
      <c r="V52" s="112">
        <f t="shared" si="46"/>
        <v>1342200</v>
      </c>
      <c r="W52" s="112">
        <f t="shared" si="46"/>
        <v>1332880</v>
      </c>
      <c r="X52" s="112">
        <f t="shared" si="46"/>
        <v>1323560</v>
      </c>
      <c r="Y52" s="112">
        <f t="shared" si="46"/>
        <v>1299742.5</v>
      </c>
      <c r="Z52" s="112">
        <f t="shared" si="46"/>
        <v>1275925</v>
      </c>
      <c r="AA52" s="112">
        <f t="shared" si="46"/>
        <v>1282640.5</v>
      </c>
      <c r="AB52" s="112">
        <f t="shared" si="46"/>
        <v>1289356</v>
      </c>
      <c r="AC52" s="112">
        <f t="shared" si="46"/>
        <v>1392713</v>
      </c>
      <c r="AD52" s="112">
        <f t="shared" si="46"/>
        <v>1496070</v>
      </c>
      <c r="AE52" s="112">
        <f t="shared" si="46"/>
        <v>1501595</v>
      </c>
      <c r="AF52" s="112">
        <f t="shared" si="46"/>
        <v>1507120</v>
      </c>
      <c r="AG52" s="112">
        <f t="shared" si="46"/>
        <v>1544035</v>
      </c>
      <c r="AH52" s="112">
        <f t="shared" si="46"/>
        <v>1580950</v>
      </c>
      <c r="AI52" s="112">
        <f t="shared" si="46"/>
        <v>1547120</v>
      </c>
      <c r="AJ52" s="112">
        <f t="shared" si="46"/>
        <v>1513290</v>
      </c>
      <c r="AK52" s="112">
        <f t="shared" si="46"/>
        <v>1471480</v>
      </c>
      <c r="AL52" s="112">
        <f t="shared" si="46"/>
        <v>1429670</v>
      </c>
      <c r="AM52" s="112">
        <f t="shared" si="46"/>
        <v>1427810</v>
      </c>
      <c r="AN52" s="112">
        <f t="shared" si="46"/>
        <v>1425950</v>
      </c>
      <c r="AO52" s="112">
        <f t="shared" si="46"/>
        <v>1281455</v>
      </c>
      <c r="AP52" s="112">
        <f t="shared" si="46"/>
        <v>1136960</v>
      </c>
      <c r="AQ52" s="112">
        <f t="shared" si="46"/>
        <v>1309690</v>
      </c>
      <c r="AR52" s="112">
        <f t="shared" si="46"/>
        <v>1280715</v>
      </c>
      <c r="AS52" s="112">
        <f t="shared" si="46"/>
        <v>1251740</v>
      </c>
      <c r="AT52" s="112">
        <f>SUM(AT54:AT62)</f>
        <v>1226275</v>
      </c>
      <c r="AU52" s="112">
        <f>SUM(AU54:AU62)</f>
        <v>1200810</v>
      </c>
    </row>
    <row r="53" spans="1:47" s="60" customFormat="1">
      <c r="A53" s="108" t="s">
        <v>244</v>
      </c>
      <c r="B53" s="270">
        <f t="shared" ref="B53:AS53" si="47">(B52/B4)*100</f>
        <v>37.347058823529409</v>
      </c>
      <c r="C53" s="270">
        <f t="shared" si="47"/>
        <v>36.017748162616122</v>
      </c>
      <c r="D53" s="330">
        <v>0</v>
      </c>
      <c r="E53" s="330">
        <v>0</v>
      </c>
      <c r="F53" s="330">
        <v>0</v>
      </c>
      <c r="G53" s="330">
        <v>0</v>
      </c>
      <c r="H53" s="270">
        <f t="shared" si="47"/>
        <v>37.356521739130436</v>
      </c>
      <c r="I53" s="330">
        <v>0</v>
      </c>
      <c r="J53" s="330">
        <v>0</v>
      </c>
      <c r="K53" s="270">
        <f t="shared" si="47"/>
        <v>31.197375036696513</v>
      </c>
      <c r="L53" s="270">
        <f t="shared" si="47"/>
        <v>30.859940912006184</v>
      </c>
      <c r="M53" s="270">
        <f t="shared" si="47"/>
        <v>30.514082214861478</v>
      </c>
      <c r="N53" s="330">
        <v>0</v>
      </c>
      <c r="O53" s="330">
        <v>0</v>
      </c>
      <c r="P53" s="330">
        <v>0</v>
      </c>
      <c r="Q53" s="330">
        <v>0</v>
      </c>
      <c r="R53" s="330">
        <v>0</v>
      </c>
      <c r="S53" s="330">
        <v>0</v>
      </c>
      <c r="T53" s="330">
        <v>0</v>
      </c>
      <c r="U53" s="330">
        <v>0</v>
      </c>
      <c r="V53" s="270">
        <f t="shared" si="47"/>
        <v>27.81912717333045</v>
      </c>
      <c r="W53" s="270">
        <f t="shared" si="47"/>
        <v>27.441810095459978</v>
      </c>
      <c r="X53" s="270">
        <f t="shared" si="47"/>
        <v>27.069489864996143</v>
      </c>
      <c r="Y53" s="270">
        <f t="shared" si="47"/>
        <v>26.727353205630099</v>
      </c>
      <c r="Z53" s="270">
        <f t="shared" si="47"/>
        <v>26.381464071234141</v>
      </c>
      <c r="AA53" s="270">
        <f t="shared" si="47"/>
        <v>25.994247034219171</v>
      </c>
      <c r="AB53" s="270">
        <f t="shared" si="47"/>
        <v>25.622093221975899</v>
      </c>
      <c r="AC53" s="270">
        <f t="shared" si="47"/>
        <v>25.376281351768608</v>
      </c>
      <c r="AD53" s="270">
        <f t="shared" si="47"/>
        <v>25.168186612698911</v>
      </c>
      <c r="AE53" s="270">
        <f t="shared" si="47"/>
        <v>25.104889668357217</v>
      </c>
      <c r="AF53" s="270">
        <f t="shared" si="47"/>
        <v>25.042370909960987</v>
      </c>
      <c r="AG53" s="270">
        <f t="shared" si="47"/>
        <v>25.029098301378934</v>
      </c>
      <c r="AH53" s="270">
        <f t="shared" si="47"/>
        <v>25.016458612868664</v>
      </c>
      <c r="AI53" s="270">
        <f t="shared" si="47"/>
        <v>24.915633423799164</v>
      </c>
      <c r="AJ53" s="270">
        <f t="shared" si="47"/>
        <v>24.8111646880016</v>
      </c>
      <c r="AK53" s="270">
        <f t="shared" si="47"/>
        <v>24.236893945882553</v>
      </c>
      <c r="AL53" s="270">
        <f t="shared" si="47"/>
        <v>23.657303603193647</v>
      </c>
      <c r="AM53" s="270">
        <f t="shared" si="47"/>
        <v>23.889544674624773</v>
      </c>
      <c r="AN53" s="270">
        <f t="shared" si="47"/>
        <v>24.127014744051788</v>
      </c>
      <c r="AO53" s="270">
        <f t="shared" si="47"/>
        <v>24.154922654880384</v>
      </c>
      <c r="AP53" s="270">
        <f t="shared" si="47"/>
        <v>24.190015533642644</v>
      </c>
      <c r="AQ53" s="270">
        <f t="shared" si="47"/>
        <v>23.862439646533662</v>
      </c>
      <c r="AR53" s="270">
        <f t="shared" si="47"/>
        <v>23.81265810075498</v>
      </c>
      <c r="AS53" s="270">
        <f t="shared" si="47"/>
        <v>23.760793760167349</v>
      </c>
      <c r="AT53" s="270">
        <f>(AT52/AT4)*100</f>
        <v>22.998686218042792</v>
      </c>
      <c r="AU53" s="270">
        <f>(AU52/AU4)*100</f>
        <v>22.254613790777235</v>
      </c>
    </row>
    <row r="54" spans="1:47" s="60" customFormat="1">
      <c r="A54" s="305" t="s">
        <v>133</v>
      </c>
      <c r="B54" s="303">
        <v>125900</v>
      </c>
      <c r="C54" s="23">
        <v>108956</v>
      </c>
      <c r="D54" s="332">
        <v>0</v>
      </c>
      <c r="E54" s="332">
        <v>0</v>
      </c>
      <c r="F54" s="332">
        <v>0</v>
      </c>
      <c r="G54" s="332">
        <v>0</v>
      </c>
      <c r="H54" s="23">
        <v>97700</v>
      </c>
      <c r="I54" s="332">
        <v>0</v>
      </c>
      <c r="J54" s="332">
        <v>0</v>
      </c>
      <c r="K54" s="23">
        <v>90138</v>
      </c>
      <c r="L54" s="296">
        <f t="shared" ref="L54:L63" si="48">((M54-K54)/2)+K54</f>
        <v>89271</v>
      </c>
      <c r="M54" s="23">
        <v>88404</v>
      </c>
      <c r="N54" s="332">
        <v>0</v>
      </c>
      <c r="O54" s="332">
        <v>0</v>
      </c>
      <c r="P54" s="332">
        <v>0</v>
      </c>
      <c r="Q54" s="332">
        <v>0</v>
      </c>
      <c r="R54" s="332">
        <v>0</v>
      </c>
      <c r="S54" s="332">
        <v>0</v>
      </c>
      <c r="T54" s="332">
        <v>0</v>
      </c>
      <c r="U54" s="332">
        <v>0</v>
      </c>
      <c r="V54" s="23">
        <v>72239</v>
      </c>
      <c r="W54" s="296">
        <f t="shared" ref="W54:W63" si="49">((X54-V54)/2)+V54</f>
        <v>69806.5</v>
      </c>
      <c r="X54" s="23">
        <v>67374</v>
      </c>
      <c r="Y54" s="296">
        <f t="shared" ref="Y54:Y63" si="50">((Z54-X54)/2)+X54</f>
        <v>68786</v>
      </c>
      <c r="Z54" s="23">
        <v>70198</v>
      </c>
      <c r="AA54" s="296">
        <f t="shared" ref="AA54:AA63" si="51">((AB54-Z54)/2)+Z54</f>
        <v>70401.5</v>
      </c>
      <c r="AB54" s="24">
        <v>70605</v>
      </c>
      <c r="AC54" s="296">
        <f t="shared" ref="AC54:AC63" si="52">((AD54-AB54)/2)+AB54</f>
        <v>73672.5</v>
      </c>
      <c r="AD54" s="24">
        <v>76740</v>
      </c>
      <c r="AE54" s="296">
        <f t="shared" ref="AE54:AE63" si="53">((AF54-AD54)/2)+AD54</f>
        <v>78400</v>
      </c>
      <c r="AF54" s="24">
        <v>80060</v>
      </c>
      <c r="AG54" s="296">
        <f t="shared" ref="AG54:AG63" si="54">((AH54-AF54)/2)+AF54</f>
        <v>81190</v>
      </c>
      <c r="AH54" s="295">
        <v>82320</v>
      </c>
      <c r="AI54" s="296">
        <f t="shared" ref="AI54:AI63" si="55">((AJ54-AH54)/2)+AH54</f>
        <v>92640</v>
      </c>
      <c r="AJ54" s="295">
        <v>102960</v>
      </c>
      <c r="AK54" s="296">
        <f t="shared" ref="AK54:AK63" si="56">((AL54-AJ54)/2)+AJ54</f>
        <v>89590</v>
      </c>
      <c r="AL54" s="291">
        <v>76220</v>
      </c>
      <c r="AM54" s="296">
        <f t="shared" ref="AM54:AM63" si="57">((AN54-AL54)/2)+AL54</f>
        <v>80685</v>
      </c>
      <c r="AN54" s="291">
        <v>85150</v>
      </c>
      <c r="AO54" s="296">
        <f t="shared" ref="AO54:AO63" si="58">((AP54-AN54)/2)+AN54</f>
        <v>74767</v>
      </c>
      <c r="AP54" s="291">
        <v>64384</v>
      </c>
      <c r="AQ54" s="422">
        <v>72540</v>
      </c>
      <c r="AR54" s="296">
        <f t="shared" ref="AR54:AR63" si="59">((AS54-AQ54)/2)+AQ54</f>
        <v>69430</v>
      </c>
      <c r="AS54" s="426">
        <v>66320</v>
      </c>
      <c r="AT54" s="296">
        <f>(AU54-AS54)/2+AS54</f>
        <v>69545</v>
      </c>
      <c r="AU54" s="426">
        <v>72770</v>
      </c>
    </row>
    <row r="55" spans="1:47" s="60" customFormat="1">
      <c r="A55" s="305" t="s">
        <v>140</v>
      </c>
      <c r="B55" s="303">
        <v>39300</v>
      </c>
      <c r="C55" s="23">
        <v>14952</v>
      </c>
      <c r="D55" s="332">
        <v>0</v>
      </c>
      <c r="E55" s="332">
        <v>0</v>
      </c>
      <c r="F55" s="332">
        <v>0</v>
      </c>
      <c r="G55" s="332">
        <v>0</v>
      </c>
      <c r="H55" s="23">
        <v>17800</v>
      </c>
      <c r="I55" s="332">
        <v>0</v>
      </c>
      <c r="J55" s="332">
        <v>0</v>
      </c>
      <c r="K55" s="23">
        <v>18373</v>
      </c>
      <c r="L55" s="296">
        <f t="shared" si="48"/>
        <v>17956.5</v>
      </c>
      <c r="M55" s="23">
        <v>17540</v>
      </c>
      <c r="N55" s="332">
        <v>0</v>
      </c>
      <c r="O55" s="332">
        <v>0</v>
      </c>
      <c r="P55" s="332">
        <v>0</v>
      </c>
      <c r="Q55" s="332">
        <v>0</v>
      </c>
      <c r="R55" s="332">
        <v>0</v>
      </c>
      <c r="S55" s="332">
        <v>0</v>
      </c>
      <c r="T55" s="332">
        <v>0</v>
      </c>
      <c r="U55" s="332">
        <v>0</v>
      </c>
      <c r="V55" s="23">
        <v>16416</v>
      </c>
      <c r="W55" s="296">
        <f t="shared" si="49"/>
        <v>15635</v>
      </c>
      <c r="X55" s="23">
        <v>14854</v>
      </c>
      <c r="Y55" s="296">
        <f t="shared" si="50"/>
        <v>15926.5</v>
      </c>
      <c r="Z55" s="23">
        <v>16999</v>
      </c>
      <c r="AA55" s="296">
        <f t="shared" si="51"/>
        <v>16947.5</v>
      </c>
      <c r="AB55" s="24">
        <v>16896</v>
      </c>
      <c r="AC55" s="296">
        <f t="shared" si="52"/>
        <v>17578</v>
      </c>
      <c r="AD55" s="24">
        <v>18260</v>
      </c>
      <c r="AE55" s="296">
        <f t="shared" si="53"/>
        <v>19040</v>
      </c>
      <c r="AF55" s="24">
        <v>19820</v>
      </c>
      <c r="AG55" s="296">
        <f t="shared" si="54"/>
        <v>20320</v>
      </c>
      <c r="AH55" s="295">
        <v>20820</v>
      </c>
      <c r="AI55" s="296">
        <f t="shared" si="55"/>
        <v>22780</v>
      </c>
      <c r="AJ55" s="295">
        <v>24740</v>
      </c>
      <c r="AK55" s="296">
        <f t="shared" si="56"/>
        <v>22710</v>
      </c>
      <c r="AL55" s="291">
        <v>20680</v>
      </c>
      <c r="AM55" s="296">
        <f t="shared" si="57"/>
        <v>20970</v>
      </c>
      <c r="AN55" s="291">
        <v>21260</v>
      </c>
      <c r="AO55" s="296">
        <f t="shared" si="58"/>
        <v>19096.5</v>
      </c>
      <c r="AP55" s="291">
        <v>16933</v>
      </c>
      <c r="AQ55" s="422">
        <v>18310</v>
      </c>
      <c r="AR55" s="296">
        <f t="shared" si="59"/>
        <v>18330</v>
      </c>
      <c r="AS55" s="426">
        <v>18350</v>
      </c>
      <c r="AT55" s="296">
        <f t="shared" ref="AT55:AT63" si="60">(AU55-AS55)/2+AS55</f>
        <v>18365</v>
      </c>
      <c r="AU55" s="426">
        <v>18380</v>
      </c>
    </row>
    <row r="56" spans="1:47" s="70" customFormat="1">
      <c r="A56" s="305" t="s">
        <v>141</v>
      </c>
      <c r="B56" s="303">
        <v>290900</v>
      </c>
      <c r="C56" s="24">
        <v>232713</v>
      </c>
      <c r="D56" s="333">
        <v>0</v>
      </c>
      <c r="E56" s="333">
        <v>0</v>
      </c>
      <c r="F56" s="333">
        <v>0</v>
      </c>
      <c r="G56" s="333">
        <v>0</v>
      </c>
      <c r="H56" s="24">
        <v>179200</v>
      </c>
      <c r="I56" s="333">
        <v>0</v>
      </c>
      <c r="J56" s="333">
        <v>0</v>
      </c>
      <c r="K56" s="24">
        <v>142530</v>
      </c>
      <c r="L56" s="293">
        <f t="shared" si="48"/>
        <v>140431.5</v>
      </c>
      <c r="M56" s="24">
        <v>138333</v>
      </c>
      <c r="N56" s="333">
        <v>0</v>
      </c>
      <c r="O56" s="333">
        <v>0</v>
      </c>
      <c r="P56" s="333">
        <v>0</v>
      </c>
      <c r="Q56" s="333">
        <v>0</v>
      </c>
      <c r="R56" s="333">
        <v>0</v>
      </c>
      <c r="S56" s="333">
        <v>0</v>
      </c>
      <c r="T56" s="333">
        <v>0</v>
      </c>
      <c r="U56" s="333">
        <v>0</v>
      </c>
      <c r="V56" s="24">
        <v>124603</v>
      </c>
      <c r="W56" s="293">
        <f t="shared" si="49"/>
        <v>124804.5</v>
      </c>
      <c r="X56" s="24">
        <v>125006</v>
      </c>
      <c r="Y56" s="293">
        <f t="shared" si="50"/>
        <v>125875</v>
      </c>
      <c r="Z56" s="24">
        <v>126744</v>
      </c>
      <c r="AA56" s="293">
        <f t="shared" si="51"/>
        <v>126220</v>
      </c>
      <c r="AB56" s="24">
        <v>125696</v>
      </c>
      <c r="AC56" s="293">
        <f t="shared" si="52"/>
        <v>138498</v>
      </c>
      <c r="AD56" s="24">
        <v>151300</v>
      </c>
      <c r="AE56" s="293">
        <f t="shared" si="53"/>
        <v>152680</v>
      </c>
      <c r="AF56" s="24">
        <v>154060</v>
      </c>
      <c r="AG56" s="293">
        <f t="shared" si="54"/>
        <v>165775</v>
      </c>
      <c r="AH56" s="292">
        <v>177490</v>
      </c>
      <c r="AI56" s="293">
        <f t="shared" si="55"/>
        <v>170940</v>
      </c>
      <c r="AJ56" s="292">
        <v>164390</v>
      </c>
      <c r="AK56" s="293">
        <f t="shared" si="56"/>
        <v>161080</v>
      </c>
      <c r="AL56" s="22">
        <v>157770</v>
      </c>
      <c r="AM56" s="293">
        <f t="shared" si="57"/>
        <v>154705</v>
      </c>
      <c r="AN56" s="22">
        <v>151640</v>
      </c>
      <c r="AO56" s="293">
        <f t="shared" si="58"/>
        <v>135376</v>
      </c>
      <c r="AP56" s="22">
        <v>119112</v>
      </c>
      <c r="AQ56" s="422">
        <v>137110</v>
      </c>
      <c r="AR56" s="293">
        <f t="shared" si="59"/>
        <v>134025</v>
      </c>
      <c r="AS56" s="426">
        <v>130940</v>
      </c>
      <c r="AT56" s="296">
        <f t="shared" si="60"/>
        <v>132750</v>
      </c>
      <c r="AU56" s="426">
        <v>134560</v>
      </c>
    </row>
    <row r="57" spans="1:47" s="60" customFormat="1">
      <c r="A57" s="305" t="s">
        <v>148</v>
      </c>
      <c r="B57" s="306">
        <v>39100</v>
      </c>
      <c r="C57" s="34">
        <v>28491</v>
      </c>
      <c r="D57" s="327">
        <v>0</v>
      </c>
      <c r="E57" s="327">
        <v>0</v>
      </c>
      <c r="F57" s="327">
        <v>0</v>
      </c>
      <c r="G57" s="327">
        <v>0</v>
      </c>
      <c r="H57" s="34">
        <v>25000</v>
      </c>
      <c r="I57" s="327">
        <v>0</v>
      </c>
      <c r="J57" s="327">
        <v>0</v>
      </c>
      <c r="K57" s="34">
        <v>21195</v>
      </c>
      <c r="L57" s="296">
        <f t="shared" si="48"/>
        <v>20958</v>
      </c>
      <c r="M57" s="34">
        <v>20721</v>
      </c>
      <c r="N57" s="327">
        <v>0</v>
      </c>
      <c r="O57" s="327">
        <v>0</v>
      </c>
      <c r="P57" s="327">
        <v>0</v>
      </c>
      <c r="Q57" s="327">
        <v>0</v>
      </c>
      <c r="R57" s="327">
        <v>0</v>
      </c>
      <c r="S57" s="327">
        <v>0</v>
      </c>
      <c r="T57" s="327">
        <v>0</v>
      </c>
      <c r="U57" s="327">
        <v>0</v>
      </c>
      <c r="V57" s="34">
        <v>21742</v>
      </c>
      <c r="W57" s="296">
        <f t="shared" si="49"/>
        <v>20227</v>
      </c>
      <c r="X57" s="34">
        <v>18712</v>
      </c>
      <c r="Y57" s="296">
        <f t="shared" si="50"/>
        <v>18549</v>
      </c>
      <c r="Z57" s="34">
        <v>18386</v>
      </c>
      <c r="AA57" s="296">
        <f t="shared" si="51"/>
        <v>20509.5</v>
      </c>
      <c r="AB57" s="297">
        <v>22633</v>
      </c>
      <c r="AC57" s="296">
        <f t="shared" si="52"/>
        <v>27151.5</v>
      </c>
      <c r="AD57" s="297">
        <v>31670</v>
      </c>
      <c r="AE57" s="296">
        <f t="shared" si="53"/>
        <v>34075</v>
      </c>
      <c r="AF57" s="297">
        <v>36480</v>
      </c>
      <c r="AG57" s="296">
        <f t="shared" si="54"/>
        <v>37565</v>
      </c>
      <c r="AH57" s="295">
        <v>38650</v>
      </c>
      <c r="AI57" s="296">
        <f t="shared" si="55"/>
        <v>36215</v>
      </c>
      <c r="AJ57" s="295">
        <v>33780</v>
      </c>
      <c r="AK57" s="296">
        <f t="shared" si="56"/>
        <v>33500</v>
      </c>
      <c r="AL57" s="291">
        <v>33220</v>
      </c>
      <c r="AM57" s="296">
        <f t="shared" si="57"/>
        <v>32070</v>
      </c>
      <c r="AN57" s="291">
        <v>30920</v>
      </c>
      <c r="AO57" s="296">
        <f t="shared" si="58"/>
        <v>25863.5</v>
      </c>
      <c r="AP57" s="291">
        <v>20807</v>
      </c>
      <c r="AQ57" s="422">
        <v>26470</v>
      </c>
      <c r="AR57" s="296">
        <f t="shared" si="59"/>
        <v>26910</v>
      </c>
      <c r="AS57" s="426">
        <v>27350</v>
      </c>
      <c r="AT57" s="296">
        <f t="shared" si="60"/>
        <v>27025</v>
      </c>
      <c r="AU57" s="426">
        <v>26700</v>
      </c>
    </row>
    <row r="58" spans="1:47" s="60" customFormat="1">
      <c r="A58" s="305" t="s">
        <v>149</v>
      </c>
      <c r="B58" s="297">
        <v>334200</v>
      </c>
      <c r="C58" s="34">
        <v>312221</v>
      </c>
      <c r="D58" s="327">
        <v>0</v>
      </c>
      <c r="E58" s="327">
        <v>0</v>
      </c>
      <c r="F58" s="327">
        <v>0</v>
      </c>
      <c r="G58" s="327">
        <v>0</v>
      </c>
      <c r="H58" s="34">
        <v>234500</v>
      </c>
      <c r="I58" s="327">
        <v>0</v>
      </c>
      <c r="J58" s="327">
        <v>0</v>
      </c>
      <c r="K58" s="34">
        <v>233769</v>
      </c>
      <c r="L58" s="296">
        <f t="shared" si="48"/>
        <v>231823.5</v>
      </c>
      <c r="M58" s="34">
        <v>229878</v>
      </c>
      <c r="N58" s="327">
        <v>0</v>
      </c>
      <c r="O58" s="327">
        <v>0</v>
      </c>
      <c r="P58" s="327">
        <v>0</v>
      </c>
      <c r="Q58" s="327">
        <v>0</v>
      </c>
      <c r="R58" s="327">
        <v>0</v>
      </c>
      <c r="S58" s="327">
        <v>0</v>
      </c>
      <c r="T58" s="327">
        <v>0</v>
      </c>
      <c r="U58" s="327">
        <v>0</v>
      </c>
      <c r="V58" s="34">
        <v>218440</v>
      </c>
      <c r="W58" s="296">
        <f t="shared" si="49"/>
        <v>214176.5</v>
      </c>
      <c r="X58" s="34">
        <v>209913</v>
      </c>
      <c r="Y58" s="296">
        <f t="shared" si="50"/>
        <v>202917</v>
      </c>
      <c r="Z58" s="34">
        <v>195921</v>
      </c>
      <c r="AA58" s="296">
        <f t="shared" si="51"/>
        <v>201598</v>
      </c>
      <c r="AB58" s="297">
        <v>207275</v>
      </c>
      <c r="AC58" s="296">
        <f t="shared" si="52"/>
        <v>227692.5</v>
      </c>
      <c r="AD58" s="297">
        <v>248110</v>
      </c>
      <c r="AE58" s="296">
        <f t="shared" si="53"/>
        <v>242825</v>
      </c>
      <c r="AF58" s="297">
        <v>237540</v>
      </c>
      <c r="AG58" s="296">
        <f t="shared" si="54"/>
        <v>259995</v>
      </c>
      <c r="AH58" s="295">
        <v>282450</v>
      </c>
      <c r="AI58" s="296">
        <f t="shared" si="55"/>
        <v>275990</v>
      </c>
      <c r="AJ58" s="295">
        <v>269530</v>
      </c>
      <c r="AK58" s="296">
        <f t="shared" si="56"/>
        <v>262845</v>
      </c>
      <c r="AL58" s="291">
        <v>256160</v>
      </c>
      <c r="AM58" s="296">
        <f t="shared" si="57"/>
        <v>254705</v>
      </c>
      <c r="AN58" s="291">
        <v>253250</v>
      </c>
      <c r="AO58" s="296">
        <f t="shared" si="58"/>
        <v>220778.5</v>
      </c>
      <c r="AP58" s="291">
        <v>188307</v>
      </c>
      <c r="AQ58" s="422">
        <v>232020</v>
      </c>
      <c r="AR58" s="296">
        <f t="shared" si="59"/>
        <v>221120</v>
      </c>
      <c r="AS58" s="426">
        <v>210220</v>
      </c>
      <c r="AT58" s="296">
        <f t="shared" si="60"/>
        <v>210685</v>
      </c>
      <c r="AU58" s="426">
        <v>211150</v>
      </c>
    </row>
    <row r="59" spans="1:47" s="60" customFormat="1">
      <c r="A59" s="305" t="s">
        <v>151</v>
      </c>
      <c r="B59" s="297">
        <v>950500</v>
      </c>
      <c r="C59" s="34">
        <v>781399</v>
      </c>
      <c r="D59" s="327">
        <v>0</v>
      </c>
      <c r="E59" s="327">
        <v>0</v>
      </c>
      <c r="F59" s="327">
        <v>0</v>
      </c>
      <c r="G59" s="327">
        <v>0</v>
      </c>
      <c r="H59" s="34">
        <v>670200</v>
      </c>
      <c r="I59" s="327">
        <v>0</v>
      </c>
      <c r="J59" s="327">
        <v>0</v>
      </c>
      <c r="K59" s="34">
        <v>615728</v>
      </c>
      <c r="L59" s="296">
        <f t="shared" si="48"/>
        <v>597699</v>
      </c>
      <c r="M59" s="34">
        <v>579670</v>
      </c>
      <c r="N59" s="327">
        <v>0</v>
      </c>
      <c r="O59" s="327">
        <v>0</v>
      </c>
      <c r="P59" s="327">
        <v>0</v>
      </c>
      <c r="Q59" s="327">
        <v>0</v>
      </c>
      <c r="R59" s="327">
        <v>0</v>
      </c>
      <c r="S59" s="327">
        <v>0</v>
      </c>
      <c r="T59" s="327">
        <v>0</v>
      </c>
      <c r="U59" s="327">
        <v>0</v>
      </c>
      <c r="V59" s="34">
        <v>497426</v>
      </c>
      <c r="W59" s="296">
        <f t="shared" si="49"/>
        <v>498047</v>
      </c>
      <c r="X59" s="34">
        <v>498668</v>
      </c>
      <c r="Y59" s="296">
        <f t="shared" si="50"/>
        <v>485893.5</v>
      </c>
      <c r="Z59" s="34">
        <v>473119</v>
      </c>
      <c r="AA59" s="296">
        <f t="shared" si="51"/>
        <v>469679</v>
      </c>
      <c r="AB59" s="297">
        <v>466239</v>
      </c>
      <c r="AC59" s="296">
        <f t="shared" si="52"/>
        <v>498874.5</v>
      </c>
      <c r="AD59" s="297">
        <v>531510</v>
      </c>
      <c r="AE59" s="296">
        <f t="shared" si="53"/>
        <v>537015</v>
      </c>
      <c r="AF59" s="297">
        <v>542520</v>
      </c>
      <c r="AG59" s="296">
        <f t="shared" si="54"/>
        <v>551095</v>
      </c>
      <c r="AH59" s="295">
        <v>559670</v>
      </c>
      <c r="AI59" s="296">
        <f t="shared" si="55"/>
        <v>537645</v>
      </c>
      <c r="AJ59" s="295">
        <v>515620</v>
      </c>
      <c r="AK59" s="296">
        <f t="shared" si="56"/>
        <v>513185</v>
      </c>
      <c r="AL59" s="291">
        <v>510750</v>
      </c>
      <c r="AM59" s="296">
        <f t="shared" si="57"/>
        <v>514800</v>
      </c>
      <c r="AN59" s="291">
        <v>518850</v>
      </c>
      <c r="AO59" s="296">
        <f t="shared" si="58"/>
        <v>474727.5</v>
      </c>
      <c r="AP59" s="291">
        <v>430605</v>
      </c>
      <c r="AQ59" s="422">
        <v>486310</v>
      </c>
      <c r="AR59" s="296">
        <f t="shared" si="59"/>
        <v>487060</v>
      </c>
      <c r="AS59" s="426">
        <v>487810</v>
      </c>
      <c r="AT59" s="296">
        <f t="shared" si="60"/>
        <v>470095</v>
      </c>
      <c r="AU59" s="426">
        <v>452380</v>
      </c>
    </row>
    <row r="60" spans="1:47" s="60" customFormat="1">
      <c r="A60" s="305" t="s">
        <v>155</v>
      </c>
      <c r="B60" s="297">
        <v>680300</v>
      </c>
      <c r="C60" s="34">
        <v>532222</v>
      </c>
      <c r="D60" s="327">
        <v>0</v>
      </c>
      <c r="E60" s="327">
        <v>0</v>
      </c>
      <c r="F60" s="327">
        <v>0</v>
      </c>
      <c r="G60" s="327">
        <v>0</v>
      </c>
      <c r="H60" s="34">
        <v>449600</v>
      </c>
      <c r="I60" s="327">
        <v>0</v>
      </c>
      <c r="J60" s="327">
        <v>0</v>
      </c>
      <c r="K60" s="34">
        <v>426703</v>
      </c>
      <c r="L60" s="296">
        <f t="shared" si="48"/>
        <v>414380.5</v>
      </c>
      <c r="M60" s="34">
        <v>402058</v>
      </c>
      <c r="N60" s="327">
        <v>0</v>
      </c>
      <c r="O60" s="327">
        <v>0</v>
      </c>
      <c r="P60" s="327">
        <v>0</v>
      </c>
      <c r="Q60" s="327">
        <v>0</v>
      </c>
      <c r="R60" s="327">
        <v>0</v>
      </c>
      <c r="S60" s="327">
        <v>0</v>
      </c>
      <c r="T60" s="327">
        <v>0</v>
      </c>
      <c r="U60" s="327">
        <v>0</v>
      </c>
      <c r="V60" s="34">
        <v>361183</v>
      </c>
      <c r="W60" s="296">
        <f t="shared" si="49"/>
        <v>360311.5</v>
      </c>
      <c r="X60" s="34">
        <v>359440</v>
      </c>
      <c r="Y60" s="296">
        <f t="shared" si="50"/>
        <v>350869</v>
      </c>
      <c r="Z60" s="34">
        <v>342298</v>
      </c>
      <c r="AA60" s="296">
        <f t="shared" si="51"/>
        <v>344549</v>
      </c>
      <c r="AB60" s="297">
        <v>346800</v>
      </c>
      <c r="AC60" s="296">
        <f t="shared" si="52"/>
        <v>371370</v>
      </c>
      <c r="AD60" s="297">
        <v>395940</v>
      </c>
      <c r="AE60" s="296">
        <f t="shared" si="53"/>
        <v>394000</v>
      </c>
      <c r="AF60" s="297">
        <v>392060</v>
      </c>
      <c r="AG60" s="296">
        <f t="shared" si="54"/>
        <v>383275</v>
      </c>
      <c r="AH60" s="295">
        <v>374490</v>
      </c>
      <c r="AI60" s="296">
        <f t="shared" si="55"/>
        <v>366035</v>
      </c>
      <c r="AJ60" s="295">
        <v>357580</v>
      </c>
      <c r="AK60" s="296">
        <f t="shared" si="56"/>
        <v>345160</v>
      </c>
      <c r="AL60" s="291">
        <v>332740</v>
      </c>
      <c r="AM60" s="296">
        <f t="shared" si="57"/>
        <v>328380</v>
      </c>
      <c r="AN60" s="291">
        <v>324020</v>
      </c>
      <c r="AO60" s="296">
        <f t="shared" si="58"/>
        <v>294709.5</v>
      </c>
      <c r="AP60" s="291">
        <v>265399</v>
      </c>
      <c r="AQ60" s="422">
        <v>301640</v>
      </c>
      <c r="AR60" s="296">
        <f t="shared" si="59"/>
        <v>288970</v>
      </c>
      <c r="AS60" s="426">
        <v>276300</v>
      </c>
      <c r="AT60" s="296">
        <f t="shared" si="60"/>
        <v>265050</v>
      </c>
      <c r="AU60" s="426">
        <v>253800</v>
      </c>
    </row>
    <row r="61" spans="1:47" s="60" customFormat="1">
      <c r="A61" s="305" t="s">
        <v>156</v>
      </c>
      <c r="B61" s="297">
        <v>59500</v>
      </c>
      <c r="C61" s="34">
        <v>41977</v>
      </c>
      <c r="D61" s="327">
        <v>0</v>
      </c>
      <c r="E61" s="327">
        <v>0</v>
      </c>
      <c r="F61" s="327">
        <v>0</v>
      </c>
      <c r="G61" s="327">
        <v>0</v>
      </c>
      <c r="H61" s="34">
        <v>33300</v>
      </c>
      <c r="I61" s="327">
        <v>0</v>
      </c>
      <c r="J61" s="327">
        <v>0</v>
      </c>
      <c r="K61" s="34">
        <v>29668</v>
      </c>
      <c r="L61" s="296">
        <f t="shared" si="48"/>
        <v>29771.5</v>
      </c>
      <c r="M61" s="34">
        <v>29875</v>
      </c>
      <c r="N61" s="327">
        <v>0</v>
      </c>
      <c r="O61" s="327">
        <v>0</v>
      </c>
      <c r="P61" s="327">
        <v>0</v>
      </c>
      <c r="Q61" s="327">
        <v>0</v>
      </c>
      <c r="R61" s="327">
        <v>0</v>
      </c>
      <c r="S61" s="327">
        <v>0</v>
      </c>
      <c r="T61" s="327">
        <v>0</v>
      </c>
      <c r="U61" s="327">
        <v>0</v>
      </c>
      <c r="V61" s="34">
        <v>22599</v>
      </c>
      <c r="W61" s="296">
        <f t="shared" si="49"/>
        <v>21920.5</v>
      </c>
      <c r="X61" s="34">
        <v>21242</v>
      </c>
      <c r="Y61" s="296">
        <f t="shared" si="50"/>
        <v>22197.5</v>
      </c>
      <c r="Z61" s="34">
        <v>23153</v>
      </c>
      <c r="AA61" s="296">
        <f t="shared" si="51"/>
        <v>23348</v>
      </c>
      <c r="AB61" s="297">
        <v>23543</v>
      </c>
      <c r="AC61" s="296">
        <f t="shared" si="52"/>
        <v>26926.5</v>
      </c>
      <c r="AD61" s="297">
        <v>30310</v>
      </c>
      <c r="AE61" s="296">
        <f t="shared" si="53"/>
        <v>29940</v>
      </c>
      <c r="AF61" s="297">
        <v>29570</v>
      </c>
      <c r="AG61" s="296">
        <f t="shared" si="54"/>
        <v>30270</v>
      </c>
      <c r="AH61" s="295">
        <v>30970</v>
      </c>
      <c r="AI61" s="296">
        <f t="shared" si="55"/>
        <v>31465</v>
      </c>
      <c r="AJ61" s="295">
        <v>31960</v>
      </c>
      <c r="AK61" s="296">
        <f t="shared" si="56"/>
        <v>31280</v>
      </c>
      <c r="AL61" s="291">
        <v>30600</v>
      </c>
      <c r="AM61" s="296">
        <f t="shared" si="57"/>
        <v>29430</v>
      </c>
      <c r="AN61" s="291">
        <v>28260</v>
      </c>
      <c r="AO61" s="296">
        <f t="shared" si="58"/>
        <v>25065.5</v>
      </c>
      <c r="AP61" s="291">
        <v>21871</v>
      </c>
      <c r="AQ61" s="422">
        <v>24940</v>
      </c>
      <c r="AR61" s="296">
        <f t="shared" si="59"/>
        <v>25180</v>
      </c>
      <c r="AS61" s="426">
        <v>25420</v>
      </c>
      <c r="AT61" s="296">
        <f t="shared" si="60"/>
        <v>23800</v>
      </c>
      <c r="AU61" s="426">
        <v>22180</v>
      </c>
    </row>
    <row r="62" spans="1:47" s="60" customFormat="1">
      <c r="A62" s="305" t="s">
        <v>159</v>
      </c>
      <c r="B62" s="292">
        <v>19900</v>
      </c>
      <c r="C62" s="34">
        <v>11678</v>
      </c>
      <c r="D62" s="327">
        <v>0</v>
      </c>
      <c r="E62" s="327">
        <v>0</v>
      </c>
      <c r="F62" s="327">
        <v>0</v>
      </c>
      <c r="G62" s="327">
        <v>0</v>
      </c>
      <c r="H62" s="34">
        <v>11100</v>
      </c>
      <c r="I62" s="327">
        <v>0</v>
      </c>
      <c r="J62" s="327">
        <v>0</v>
      </c>
      <c r="K62" s="34">
        <v>8480</v>
      </c>
      <c r="L62" s="296">
        <f t="shared" si="48"/>
        <v>8017.5</v>
      </c>
      <c r="M62" s="34">
        <v>7555</v>
      </c>
      <c r="N62" s="327">
        <v>0</v>
      </c>
      <c r="O62" s="327">
        <v>0</v>
      </c>
      <c r="P62" s="327">
        <v>0</v>
      </c>
      <c r="Q62" s="327">
        <v>0</v>
      </c>
      <c r="R62" s="327">
        <v>0</v>
      </c>
      <c r="S62" s="327">
        <v>0</v>
      </c>
      <c r="T62" s="327">
        <v>0</v>
      </c>
      <c r="U62" s="327">
        <v>0</v>
      </c>
      <c r="V62" s="34">
        <v>7552</v>
      </c>
      <c r="W62" s="296">
        <f t="shared" si="49"/>
        <v>7951.5</v>
      </c>
      <c r="X62" s="34">
        <v>8351</v>
      </c>
      <c r="Y62" s="296">
        <f t="shared" si="50"/>
        <v>8729</v>
      </c>
      <c r="Z62" s="34">
        <v>9107</v>
      </c>
      <c r="AA62" s="296">
        <f t="shared" si="51"/>
        <v>9388</v>
      </c>
      <c r="AB62" s="297">
        <v>9669</v>
      </c>
      <c r="AC62" s="296">
        <f t="shared" si="52"/>
        <v>10949.5</v>
      </c>
      <c r="AD62" s="292">
        <v>12230</v>
      </c>
      <c r="AE62" s="296">
        <f t="shared" si="53"/>
        <v>13620</v>
      </c>
      <c r="AF62" s="292">
        <v>15010</v>
      </c>
      <c r="AG62" s="296">
        <f t="shared" si="54"/>
        <v>14550</v>
      </c>
      <c r="AH62" s="295">
        <v>14090</v>
      </c>
      <c r="AI62" s="296">
        <f t="shared" si="55"/>
        <v>13410</v>
      </c>
      <c r="AJ62" s="295">
        <v>12730</v>
      </c>
      <c r="AK62" s="296">
        <f t="shared" si="56"/>
        <v>12130</v>
      </c>
      <c r="AL62" s="291">
        <v>11530</v>
      </c>
      <c r="AM62" s="296">
        <f t="shared" si="57"/>
        <v>12065</v>
      </c>
      <c r="AN62" s="291">
        <v>12600</v>
      </c>
      <c r="AO62" s="296">
        <f t="shared" si="58"/>
        <v>11071</v>
      </c>
      <c r="AP62" s="291">
        <v>9542</v>
      </c>
      <c r="AQ62" s="423">
        <v>10350</v>
      </c>
      <c r="AR62" s="296">
        <f t="shared" si="59"/>
        <v>9690</v>
      </c>
      <c r="AS62" s="427">
        <v>9030</v>
      </c>
      <c r="AT62" s="296">
        <f t="shared" si="60"/>
        <v>8960</v>
      </c>
      <c r="AU62" s="427">
        <v>8890</v>
      </c>
    </row>
    <row r="63" spans="1:47" s="60" customFormat="1">
      <c r="A63" s="115" t="s">
        <v>171</v>
      </c>
      <c r="B63" s="310">
        <v>27100</v>
      </c>
      <c r="C63" s="311">
        <v>18588</v>
      </c>
      <c r="D63" s="334">
        <v>0</v>
      </c>
      <c r="E63" s="334">
        <v>0</v>
      </c>
      <c r="F63" s="334">
        <v>0</v>
      </c>
      <c r="G63" s="334">
        <v>0</v>
      </c>
      <c r="H63" s="311">
        <v>20500</v>
      </c>
      <c r="I63" s="334">
        <v>0</v>
      </c>
      <c r="J63" s="334">
        <v>0</v>
      </c>
      <c r="K63" s="311">
        <v>22249</v>
      </c>
      <c r="L63" s="313">
        <f t="shared" si="48"/>
        <v>21726</v>
      </c>
      <c r="M63" s="311">
        <v>21203</v>
      </c>
      <c r="N63" s="334">
        <v>0</v>
      </c>
      <c r="O63" s="334">
        <v>0</v>
      </c>
      <c r="P63" s="334">
        <v>0</v>
      </c>
      <c r="Q63" s="334">
        <v>0</v>
      </c>
      <c r="R63" s="334">
        <v>0</v>
      </c>
      <c r="S63" s="334">
        <v>0</v>
      </c>
      <c r="T63" s="334">
        <v>0</v>
      </c>
      <c r="U63" s="334">
        <v>0</v>
      </c>
      <c r="V63" s="311">
        <v>23849</v>
      </c>
      <c r="W63" s="313">
        <f t="shared" si="49"/>
        <v>20812.5</v>
      </c>
      <c r="X63" s="311">
        <v>17776</v>
      </c>
      <c r="Y63" s="313">
        <f t="shared" si="50"/>
        <v>16815</v>
      </c>
      <c r="Z63" s="311">
        <v>15854</v>
      </c>
      <c r="AA63" s="313">
        <f t="shared" si="51"/>
        <v>16661</v>
      </c>
      <c r="AB63" s="311">
        <v>17468</v>
      </c>
      <c r="AC63" s="313">
        <f t="shared" si="52"/>
        <v>17474</v>
      </c>
      <c r="AD63" s="311">
        <v>17480</v>
      </c>
      <c r="AE63" s="313">
        <f t="shared" si="53"/>
        <v>17240</v>
      </c>
      <c r="AF63" s="311">
        <v>17000</v>
      </c>
      <c r="AG63" s="313">
        <f t="shared" si="54"/>
        <v>25330</v>
      </c>
      <c r="AH63" s="312">
        <v>33660</v>
      </c>
      <c r="AI63" s="313">
        <f t="shared" si="55"/>
        <v>28585</v>
      </c>
      <c r="AJ63" s="312">
        <v>23510</v>
      </c>
      <c r="AK63" s="313">
        <f t="shared" si="56"/>
        <v>26670</v>
      </c>
      <c r="AL63" s="314">
        <v>29830</v>
      </c>
      <c r="AM63" s="313">
        <f t="shared" si="57"/>
        <v>24735</v>
      </c>
      <c r="AN63" s="314">
        <v>19640</v>
      </c>
      <c r="AO63" s="313">
        <f t="shared" si="58"/>
        <v>17653.5</v>
      </c>
      <c r="AP63" s="314">
        <v>15667</v>
      </c>
      <c r="AQ63" s="424">
        <v>17810</v>
      </c>
      <c r="AR63" s="313">
        <f t="shared" si="59"/>
        <v>17380</v>
      </c>
      <c r="AS63" s="427">
        <v>16950</v>
      </c>
      <c r="AT63" s="313">
        <f t="shared" si="60"/>
        <v>18370</v>
      </c>
      <c r="AU63" s="427">
        <v>19790</v>
      </c>
    </row>
    <row r="64" spans="1:47" s="60" customFormat="1">
      <c r="B64" s="151"/>
      <c r="C64" s="23"/>
      <c r="D64" s="23"/>
      <c r="E64" s="23"/>
      <c r="F64" s="23"/>
      <c r="G64" s="23"/>
      <c r="H64" s="23"/>
      <c r="I64" s="23"/>
      <c r="J64" s="23"/>
      <c r="K64" s="23"/>
      <c r="L64" s="304"/>
      <c r="M64" s="23"/>
      <c r="N64" s="23"/>
      <c r="O64" s="23"/>
      <c r="P64" s="23"/>
      <c r="Q64" s="23"/>
      <c r="R64" s="23"/>
      <c r="S64" s="23"/>
      <c r="T64" s="23"/>
      <c r="U64" s="23"/>
      <c r="V64" s="23"/>
      <c r="W64" s="304"/>
      <c r="X64" s="23"/>
      <c r="Y64" s="304"/>
      <c r="Z64" s="23"/>
      <c r="AA64" s="304"/>
      <c r="AB64" s="24"/>
      <c r="AC64" s="304"/>
      <c r="AD64" s="24"/>
      <c r="AE64" s="304"/>
      <c r="AF64" s="24"/>
      <c r="AG64" s="304"/>
      <c r="AH64" s="295"/>
      <c r="AI64" s="293"/>
      <c r="AJ64" s="295"/>
      <c r="AK64" s="293"/>
      <c r="AL64" s="291"/>
      <c r="AM64" s="293"/>
      <c r="AN64" s="291"/>
      <c r="AO64" s="293"/>
      <c r="AP64" s="291"/>
    </row>
    <row r="65" spans="2:45" s="60" customFormat="1" ht="348.75" customHeight="1">
      <c r="B65" s="103" t="s">
        <v>242</v>
      </c>
      <c r="C65" s="103" t="s">
        <v>241</v>
      </c>
      <c r="D65" s="103"/>
      <c r="E65" s="103"/>
      <c r="F65" s="103"/>
      <c r="G65" s="103"/>
      <c r="H65" s="103" t="s">
        <v>240</v>
      </c>
      <c r="I65" s="103"/>
      <c r="J65" s="103"/>
      <c r="K65" s="103" t="s">
        <v>239</v>
      </c>
      <c r="L65" s="20"/>
      <c r="M65" s="103" t="s">
        <v>238</v>
      </c>
      <c r="N65" s="103"/>
      <c r="O65" s="103"/>
      <c r="P65" s="103"/>
      <c r="Q65" s="103"/>
      <c r="R65" s="103"/>
      <c r="S65" s="103"/>
      <c r="T65" s="103"/>
      <c r="U65" s="103"/>
      <c r="V65" s="103" t="s">
        <v>236</v>
      </c>
      <c r="W65" s="20"/>
      <c r="X65" s="103" t="s">
        <v>237</v>
      </c>
      <c r="Y65" s="20"/>
      <c r="Z65" s="103"/>
      <c r="AA65" s="20"/>
      <c r="AB65" s="103" t="s">
        <v>236</v>
      </c>
      <c r="AC65" s="20"/>
      <c r="AD65" s="103" t="s">
        <v>235</v>
      </c>
      <c r="AE65" s="20"/>
      <c r="AF65" s="103" t="s">
        <v>235</v>
      </c>
      <c r="AG65" s="20"/>
      <c r="AH65" s="103" t="s">
        <v>234</v>
      </c>
      <c r="AI65" s="20"/>
      <c r="AJ65" s="47"/>
      <c r="AL65" s="47"/>
      <c r="AN65" s="103" t="s">
        <v>233</v>
      </c>
      <c r="AP65" s="103" t="s">
        <v>273</v>
      </c>
      <c r="AQ65" s="103" t="s">
        <v>312</v>
      </c>
      <c r="AS65" s="103" t="s">
        <v>310</v>
      </c>
    </row>
    <row r="66" spans="2:45" s="60" customFormat="1" ht="15">
      <c r="B66" s="40"/>
      <c r="C66" s="47"/>
      <c r="D66" s="47"/>
      <c r="E66" s="47"/>
      <c r="F66" s="47"/>
      <c r="G66" s="47"/>
      <c r="H66" s="47"/>
      <c r="I66" s="47"/>
      <c r="J66" s="47"/>
      <c r="K66" s="47"/>
      <c r="L66" s="20"/>
      <c r="M66" s="47"/>
      <c r="N66" s="47"/>
      <c r="O66" s="47"/>
      <c r="P66" s="47"/>
      <c r="Q66" s="47"/>
      <c r="R66" s="47"/>
      <c r="S66" s="47"/>
      <c r="T66" s="47"/>
      <c r="U66" s="47"/>
      <c r="V66" s="47"/>
      <c r="W66" s="20"/>
      <c r="X66" s="47"/>
      <c r="Y66" s="20"/>
      <c r="Z66" s="47"/>
      <c r="AA66" s="20"/>
      <c r="AB66" s="40"/>
      <c r="AC66" s="20"/>
      <c r="AD66" s="47"/>
      <c r="AE66" s="20"/>
      <c r="AF66" s="47"/>
      <c r="AG66" s="20"/>
      <c r="AH66" s="47"/>
      <c r="AI66" s="20"/>
      <c r="AJ66" s="47"/>
      <c r="AL66" s="47"/>
      <c r="AN66" s="47"/>
      <c r="AP66" s="47"/>
      <c r="AQ66" s="430"/>
      <c r="AR66" s="60" t="s">
        <v>311</v>
      </c>
    </row>
    <row r="67" spans="2:45" s="60" customFormat="1">
      <c r="B67" s="40"/>
      <c r="C67" s="47"/>
      <c r="D67" s="47"/>
      <c r="E67" s="47"/>
      <c r="F67" s="47"/>
      <c r="G67" s="47"/>
      <c r="H67" s="47"/>
      <c r="I67" s="47"/>
      <c r="J67" s="47"/>
      <c r="K67" s="47"/>
      <c r="L67" s="20"/>
      <c r="M67" s="47"/>
      <c r="N67" s="47"/>
      <c r="O67" s="47"/>
      <c r="P67" s="47"/>
      <c r="Q67" s="47"/>
      <c r="R67" s="47"/>
      <c r="S67" s="47"/>
      <c r="T67" s="47"/>
      <c r="U67" s="47"/>
      <c r="V67" s="47"/>
      <c r="W67" s="20"/>
      <c r="X67" s="47"/>
      <c r="Y67" s="20"/>
      <c r="Z67" s="47"/>
      <c r="AA67" s="20"/>
      <c r="AB67" s="40"/>
      <c r="AC67" s="20"/>
      <c r="AD67" s="47"/>
      <c r="AE67" s="20"/>
      <c r="AF67" s="47"/>
      <c r="AG67" s="20"/>
      <c r="AH67" s="47"/>
      <c r="AI67" s="20"/>
      <c r="AJ67" s="47"/>
      <c r="AL67" s="47"/>
      <c r="AN67" s="47"/>
      <c r="AP67" s="47"/>
    </row>
    <row r="68" spans="2:45" s="60" customFormat="1">
      <c r="B68" s="40"/>
      <c r="C68" s="47"/>
      <c r="D68" s="47"/>
      <c r="E68" s="47"/>
      <c r="F68" s="47"/>
      <c r="G68" s="47"/>
      <c r="H68" s="47"/>
      <c r="I68" s="47"/>
      <c r="J68" s="47"/>
      <c r="K68" s="47"/>
      <c r="L68" s="20"/>
      <c r="M68" s="47"/>
      <c r="N68" s="47"/>
      <c r="O68" s="47"/>
      <c r="P68" s="47"/>
      <c r="Q68" s="47"/>
      <c r="R68" s="47"/>
      <c r="S68" s="47"/>
      <c r="T68" s="47"/>
      <c r="U68" s="47"/>
      <c r="V68" s="47"/>
      <c r="W68" s="20"/>
      <c r="X68" s="47"/>
      <c r="Y68" s="20"/>
      <c r="Z68" s="47"/>
      <c r="AA68" s="20"/>
      <c r="AB68" s="40"/>
      <c r="AC68" s="20"/>
      <c r="AD68" s="47"/>
      <c r="AE68" s="20"/>
      <c r="AF68" s="47"/>
      <c r="AG68" s="20"/>
      <c r="AH68" s="47"/>
      <c r="AI68" s="20"/>
      <c r="AJ68" s="47"/>
      <c r="AL68" s="47"/>
      <c r="AN68" s="47"/>
      <c r="AP68" s="47"/>
      <c r="AS68" s="433">
        <v>41760</v>
      </c>
    </row>
    <row r="69" spans="2:45" s="60" customFormat="1">
      <c r="B69" s="40"/>
      <c r="C69" s="47"/>
      <c r="D69" s="47"/>
      <c r="E69" s="47"/>
      <c r="F69" s="47"/>
      <c r="G69" s="47"/>
      <c r="H69" s="47"/>
      <c r="I69" s="47"/>
      <c r="J69" s="47"/>
      <c r="K69" s="47"/>
      <c r="L69" s="20"/>
      <c r="M69" s="47"/>
      <c r="N69" s="47"/>
      <c r="O69" s="47"/>
      <c r="P69" s="47"/>
      <c r="Q69" s="47"/>
      <c r="R69" s="47"/>
      <c r="S69" s="47"/>
      <c r="T69" s="47"/>
      <c r="U69" s="47"/>
      <c r="V69" s="40"/>
      <c r="W69" s="20"/>
      <c r="X69" s="47"/>
      <c r="Y69" s="20"/>
      <c r="Z69" s="47"/>
      <c r="AA69" s="20"/>
      <c r="AB69" s="40"/>
      <c r="AC69" s="20"/>
      <c r="AD69" s="47"/>
      <c r="AE69" s="20"/>
      <c r="AF69" s="47"/>
      <c r="AG69" s="20"/>
      <c r="AH69" s="47"/>
      <c r="AI69" s="20"/>
      <c r="AJ69" s="47"/>
      <c r="AL69" s="47"/>
      <c r="AN69" s="47"/>
      <c r="AP69" s="47"/>
    </row>
    <row r="70" spans="2:45" s="60" customFormat="1">
      <c r="B70" s="40"/>
      <c r="C70" s="47"/>
      <c r="D70" s="47"/>
      <c r="E70" s="47"/>
      <c r="F70" s="47"/>
      <c r="G70" s="47"/>
      <c r="H70" s="47"/>
      <c r="I70" s="47"/>
      <c r="J70" s="47"/>
      <c r="K70" s="47"/>
      <c r="L70" s="20"/>
      <c r="M70" s="47"/>
      <c r="N70" s="47"/>
      <c r="O70" s="47"/>
      <c r="P70" s="47"/>
      <c r="Q70" s="47"/>
      <c r="R70" s="47"/>
      <c r="S70" s="47"/>
      <c r="T70" s="47"/>
      <c r="U70" s="47"/>
      <c r="V70" s="40"/>
      <c r="W70" s="20"/>
      <c r="X70" s="47"/>
      <c r="Y70" s="20"/>
      <c r="Z70" s="47"/>
      <c r="AA70" s="20"/>
      <c r="AB70" s="40"/>
      <c r="AC70" s="20"/>
      <c r="AD70" s="47"/>
      <c r="AE70" s="20"/>
      <c r="AF70" s="47"/>
      <c r="AG70" s="20"/>
      <c r="AH70" s="47"/>
      <c r="AI70" s="20"/>
      <c r="AJ70" s="47"/>
      <c r="AL70" s="47"/>
      <c r="AN70" s="47"/>
      <c r="AP70" s="47"/>
      <c r="AQ70" s="64"/>
    </row>
    <row r="71" spans="2:45" s="60" customFormat="1">
      <c r="B71" s="40"/>
      <c r="C71" s="47"/>
      <c r="D71" s="47"/>
      <c r="E71" s="47"/>
      <c r="F71" s="47"/>
      <c r="G71" s="47"/>
      <c r="H71" s="47"/>
      <c r="I71" s="47"/>
      <c r="J71" s="47"/>
      <c r="K71" s="47"/>
      <c r="L71" s="20"/>
      <c r="M71" s="47"/>
      <c r="N71" s="47"/>
      <c r="O71" s="47"/>
      <c r="P71" s="47"/>
      <c r="Q71" s="47"/>
      <c r="R71" s="47"/>
      <c r="S71" s="47"/>
      <c r="T71" s="47"/>
      <c r="U71" s="47"/>
      <c r="V71" s="40"/>
      <c r="W71" s="20"/>
      <c r="X71" s="47"/>
      <c r="Y71" s="20"/>
      <c r="Z71" s="47"/>
      <c r="AA71" s="20"/>
      <c r="AB71" s="40"/>
      <c r="AC71" s="20"/>
      <c r="AD71" s="47"/>
      <c r="AE71" s="20"/>
      <c r="AF71" s="47"/>
      <c r="AG71" s="20"/>
      <c r="AH71" s="47"/>
      <c r="AI71" s="20"/>
      <c r="AJ71" s="47"/>
      <c r="AL71" s="47"/>
      <c r="AN71" s="47"/>
      <c r="AP71" s="47"/>
    </row>
    <row r="72" spans="2:45" s="60" customFormat="1">
      <c r="B72" s="40"/>
      <c r="C72" s="47"/>
      <c r="D72" s="47"/>
      <c r="E72" s="47"/>
      <c r="F72" s="47"/>
      <c r="G72" s="47"/>
      <c r="H72" s="47"/>
      <c r="I72" s="47"/>
      <c r="J72" s="47"/>
      <c r="K72" s="47"/>
      <c r="L72" s="20"/>
      <c r="M72" s="47"/>
      <c r="N72" s="47"/>
      <c r="O72" s="47"/>
      <c r="P72" s="47"/>
      <c r="Q72" s="47"/>
      <c r="R72" s="47"/>
      <c r="S72" s="47"/>
      <c r="T72" s="47"/>
      <c r="U72" s="47"/>
      <c r="V72" s="40"/>
      <c r="W72" s="20"/>
      <c r="X72" s="47"/>
      <c r="Y72" s="20"/>
      <c r="Z72" s="47"/>
      <c r="AA72" s="20"/>
      <c r="AB72" s="40"/>
      <c r="AC72" s="20"/>
      <c r="AD72" s="47"/>
      <c r="AE72" s="20"/>
      <c r="AF72" s="47"/>
      <c r="AG72" s="20"/>
      <c r="AH72" s="47"/>
      <c r="AI72" s="20"/>
      <c r="AJ72" s="47"/>
      <c r="AL72" s="47"/>
      <c r="AN72" s="47"/>
      <c r="AP72" s="47"/>
    </row>
    <row r="73" spans="2:45" s="60" customFormat="1">
      <c r="B73" s="40"/>
      <c r="C73" s="47"/>
      <c r="D73" s="47"/>
      <c r="E73" s="47"/>
      <c r="F73" s="47"/>
      <c r="G73" s="47"/>
      <c r="H73" s="47"/>
      <c r="I73" s="47"/>
      <c r="J73" s="47"/>
      <c r="K73" s="47"/>
      <c r="L73" s="20"/>
      <c r="M73" s="47"/>
      <c r="N73" s="47"/>
      <c r="O73" s="47"/>
      <c r="P73" s="47"/>
      <c r="Q73" s="47"/>
      <c r="R73" s="47"/>
      <c r="S73" s="47"/>
      <c r="T73" s="47"/>
      <c r="U73" s="47"/>
      <c r="V73" s="70"/>
      <c r="W73" s="20"/>
      <c r="X73" s="47"/>
      <c r="Y73" s="20"/>
      <c r="Z73" s="47"/>
      <c r="AA73" s="20"/>
      <c r="AB73" s="70"/>
      <c r="AC73" s="20"/>
      <c r="AD73" s="47"/>
      <c r="AE73" s="20"/>
      <c r="AF73" s="47"/>
      <c r="AG73" s="20"/>
      <c r="AH73" s="47"/>
      <c r="AI73" s="20"/>
      <c r="AJ73" s="47"/>
      <c r="AL73" s="47"/>
      <c r="AN73" s="47"/>
      <c r="AP73" s="47"/>
    </row>
    <row r="74" spans="2:45" s="60" customFormat="1">
      <c r="B74" s="40"/>
      <c r="C74" s="47"/>
      <c r="D74" s="47"/>
      <c r="E74" s="47"/>
      <c r="F74" s="47"/>
      <c r="G74" s="47"/>
      <c r="H74" s="47"/>
      <c r="I74" s="47"/>
      <c r="J74" s="47"/>
      <c r="K74" s="47"/>
      <c r="L74" s="20"/>
      <c r="M74" s="47"/>
      <c r="N74" s="47"/>
      <c r="O74" s="47"/>
      <c r="P74" s="47"/>
      <c r="Q74" s="47"/>
      <c r="R74" s="47"/>
      <c r="S74" s="47"/>
      <c r="T74" s="47"/>
      <c r="U74" s="47"/>
      <c r="V74" s="47"/>
      <c r="W74" s="20"/>
      <c r="X74" s="47"/>
      <c r="Y74" s="20"/>
      <c r="Z74" s="47"/>
      <c r="AA74" s="20"/>
      <c r="AB74" s="47"/>
      <c r="AC74" s="20"/>
      <c r="AD74" s="47"/>
      <c r="AE74" s="20"/>
      <c r="AF74" s="47"/>
      <c r="AG74" s="20"/>
      <c r="AH74" s="47"/>
      <c r="AI74" s="20"/>
      <c r="AJ74" s="47"/>
      <c r="AL74" s="291"/>
      <c r="AN74" s="291"/>
      <c r="AP74" s="291"/>
    </row>
    <row r="75" spans="2:45" s="60" customFormat="1">
      <c r="B75" s="40"/>
      <c r="C75" s="47"/>
      <c r="D75" s="47"/>
      <c r="E75" s="47"/>
      <c r="F75" s="47"/>
      <c r="G75" s="47"/>
      <c r="H75" s="47"/>
      <c r="I75" s="47"/>
      <c r="J75" s="47"/>
      <c r="K75" s="47"/>
      <c r="L75" s="20"/>
      <c r="M75" s="47"/>
      <c r="N75" s="47"/>
      <c r="O75" s="47"/>
      <c r="P75" s="47"/>
      <c r="Q75" s="47"/>
      <c r="R75" s="47"/>
      <c r="S75" s="47"/>
      <c r="T75" s="47"/>
      <c r="U75" s="47"/>
      <c r="V75" s="40"/>
      <c r="W75" s="20"/>
      <c r="X75" s="47"/>
      <c r="Y75" s="20"/>
      <c r="Z75" s="47"/>
      <c r="AA75" s="20"/>
      <c r="AB75" s="40"/>
      <c r="AC75" s="20"/>
      <c r="AD75" s="47"/>
      <c r="AE75" s="20"/>
      <c r="AF75" s="47"/>
      <c r="AG75" s="20"/>
      <c r="AH75" s="47"/>
      <c r="AI75" s="20"/>
      <c r="AJ75" s="47"/>
      <c r="AL75" s="291"/>
      <c r="AN75" s="291"/>
      <c r="AP75" s="291"/>
    </row>
    <row r="76" spans="2:45" s="60" customFormat="1">
      <c r="B76" s="40"/>
      <c r="C76" s="47"/>
      <c r="D76" s="47"/>
      <c r="E76" s="47"/>
      <c r="F76" s="47"/>
      <c r="G76" s="47"/>
      <c r="H76" s="47"/>
      <c r="I76" s="47"/>
      <c r="J76" s="47"/>
      <c r="K76" s="47"/>
      <c r="L76" s="20"/>
      <c r="M76" s="47"/>
      <c r="N76" s="47"/>
      <c r="O76" s="47"/>
      <c r="P76" s="47"/>
      <c r="Q76" s="47"/>
      <c r="R76" s="47"/>
      <c r="S76" s="47"/>
      <c r="T76" s="47"/>
      <c r="U76" s="47"/>
      <c r="V76" s="40"/>
      <c r="W76" s="20"/>
      <c r="X76" s="47"/>
      <c r="Y76" s="20"/>
      <c r="Z76" s="47"/>
      <c r="AA76" s="20"/>
      <c r="AB76" s="40"/>
      <c r="AC76" s="20"/>
      <c r="AD76" s="47"/>
      <c r="AE76" s="20"/>
      <c r="AF76" s="47"/>
      <c r="AG76" s="20"/>
      <c r="AH76" s="47"/>
      <c r="AI76" s="20"/>
      <c r="AJ76" s="47"/>
      <c r="AL76" s="291"/>
      <c r="AN76" s="291"/>
      <c r="AP76" s="291"/>
    </row>
    <row r="77" spans="2:45" s="60" customFormat="1">
      <c r="B77" s="40"/>
      <c r="C77" s="47"/>
      <c r="D77" s="47"/>
      <c r="E77" s="47"/>
      <c r="F77" s="47"/>
      <c r="G77" s="47"/>
      <c r="H77" s="47"/>
      <c r="I77" s="47"/>
      <c r="J77" s="47"/>
      <c r="K77" s="47"/>
      <c r="L77" s="20"/>
      <c r="M77" s="47"/>
      <c r="N77" s="47"/>
      <c r="O77" s="47"/>
      <c r="P77" s="47"/>
      <c r="Q77" s="47"/>
      <c r="R77" s="47"/>
      <c r="S77" s="47"/>
      <c r="T77" s="47"/>
      <c r="U77" s="47"/>
      <c r="V77" s="40"/>
      <c r="W77" s="20"/>
      <c r="X77" s="47"/>
      <c r="Y77" s="20"/>
      <c r="Z77" s="47"/>
      <c r="AA77" s="20"/>
      <c r="AB77" s="40"/>
      <c r="AC77" s="20"/>
      <c r="AD77" s="47"/>
      <c r="AE77" s="20"/>
      <c r="AF77" s="47"/>
      <c r="AG77" s="20"/>
      <c r="AH77" s="47"/>
      <c r="AI77" s="20"/>
      <c r="AJ77" s="47"/>
      <c r="AL77" s="291"/>
      <c r="AN77" s="291"/>
      <c r="AP77" s="291"/>
    </row>
    <row r="78" spans="2:45" s="60" customFormat="1">
      <c r="B78" s="70"/>
      <c r="H78" s="47"/>
      <c r="K78" s="47"/>
      <c r="L78" s="20"/>
      <c r="M78" s="47"/>
      <c r="V78" s="40"/>
      <c r="W78" s="20"/>
      <c r="X78" s="47"/>
      <c r="Y78" s="20"/>
      <c r="Z78" s="47"/>
      <c r="AA78" s="20"/>
      <c r="AB78" s="40"/>
      <c r="AC78" s="20"/>
      <c r="AD78" s="47"/>
      <c r="AE78" s="20"/>
      <c r="AF78" s="47"/>
      <c r="AG78" s="20"/>
      <c r="AH78" s="47"/>
      <c r="AI78" s="20"/>
      <c r="AJ78" s="47"/>
      <c r="AL78" s="291"/>
      <c r="AN78" s="291"/>
      <c r="AP78" s="291"/>
    </row>
    <row r="79" spans="2:45" s="60" customFormat="1">
      <c r="B79" s="70"/>
      <c r="C79" s="47"/>
      <c r="D79" s="47"/>
      <c r="E79" s="47"/>
      <c r="F79" s="47"/>
      <c r="G79" s="47"/>
      <c r="H79" s="47"/>
      <c r="I79" s="47"/>
      <c r="J79" s="47"/>
      <c r="K79" s="47"/>
      <c r="L79" s="20"/>
      <c r="M79" s="47"/>
      <c r="N79" s="47"/>
      <c r="O79" s="47"/>
      <c r="P79" s="47"/>
      <c r="Q79" s="47"/>
      <c r="R79" s="47"/>
      <c r="S79" s="47"/>
      <c r="T79" s="47"/>
      <c r="U79" s="47"/>
      <c r="V79" s="40"/>
      <c r="W79" s="20"/>
      <c r="X79" s="309"/>
      <c r="Y79" s="20"/>
      <c r="Z79" s="309"/>
      <c r="AA79" s="20"/>
      <c r="AB79" s="40"/>
      <c r="AC79" s="20"/>
      <c r="AD79" s="309"/>
      <c r="AE79" s="20"/>
      <c r="AF79" s="309"/>
      <c r="AG79" s="20"/>
      <c r="AI79" s="20"/>
      <c r="AL79" s="291"/>
      <c r="AN79" s="291"/>
      <c r="AP79" s="291"/>
    </row>
    <row r="80" spans="2:45" s="60" customFormat="1">
      <c r="B80" s="40"/>
      <c r="C80" s="47"/>
      <c r="D80" s="47"/>
      <c r="E80" s="47"/>
      <c r="F80" s="47"/>
      <c r="G80" s="47"/>
      <c r="H80" s="47"/>
      <c r="I80" s="47"/>
      <c r="J80" s="47"/>
      <c r="K80" s="47"/>
      <c r="L80" s="20"/>
      <c r="M80" s="47"/>
      <c r="N80" s="47"/>
      <c r="O80" s="47"/>
      <c r="P80" s="47"/>
      <c r="Q80" s="47"/>
      <c r="R80" s="47"/>
      <c r="S80" s="47"/>
      <c r="T80" s="47"/>
      <c r="U80" s="47"/>
      <c r="V80" s="309"/>
      <c r="W80" s="20"/>
      <c r="X80" s="47"/>
      <c r="Y80" s="20"/>
      <c r="Z80" s="47"/>
      <c r="AA80" s="20"/>
      <c r="AB80" s="309"/>
      <c r="AC80" s="20"/>
      <c r="AD80" s="70"/>
      <c r="AE80" s="20"/>
      <c r="AF80" s="47"/>
      <c r="AG80" s="20"/>
      <c r="AH80" s="47"/>
      <c r="AI80" s="20"/>
      <c r="AJ80" s="47"/>
      <c r="AL80" s="291"/>
      <c r="AN80" s="291"/>
      <c r="AP80" s="291"/>
    </row>
    <row r="81" spans="2:42" s="60" customFormat="1">
      <c r="B81" s="41"/>
      <c r="H81" s="47"/>
      <c r="L81" s="20"/>
      <c r="M81" s="20"/>
      <c r="V81" s="47"/>
      <c r="W81" s="20"/>
      <c r="X81" s="47"/>
      <c r="Y81" s="20"/>
      <c r="Z81" s="47"/>
      <c r="AA81" s="20"/>
      <c r="AB81" s="47"/>
      <c r="AC81" s="20"/>
      <c r="AD81" s="47"/>
      <c r="AE81" s="20"/>
      <c r="AF81" s="47"/>
      <c r="AG81" s="20"/>
      <c r="AH81" s="47"/>
      <c r="AI81" s="20"/>
      <c r="AJ81" s="47"/>
      <c r="AL81" s="291"/>
      <c r="AN81" s="291"/>
      <c r="AP81" s="291"/>
    </row>
    <row r="82" spans="2:42" s="60" customFormat="1">
      <c r="B82" s="41"/>
      <c r="C82" s="20"/>
      <c r="D82" s="20"/>
      <c r="E82" s="20"/>
      <c r="F82" s="20"/>
      <c r="G82" s="20"/>
      <c r="H82" s="20"/>
      <c r="I82" s="20"/>
      <c r="J82" s="20"/>
      <c r="K82" s="20"/>
      <c r="L82" s="20"/>
      <c r="M82" s="20"/>
      <c r="N82" s="20"/>
      <c r="O82" s="20"/>
      <c r="P82" s="20"/>
      <c r="Q82" s="20"/>
      <c r="R82" s="20"/>
      <c r="S82" s="20"/>
      <c r="T82" s="20"/>
      <c r="U82" s="20"/>
      <c r="V82" s="47"/>
      <c r="W82" s="20"/>
      <c r="Y82" s="20"/>
      <c r="Z82" s="20"/>
      <c r="AA82" s="20"/>
      <c r="AB82" s="47"/>
      <c r="AC82" s="20"/>
      <c r="AD82" s="41"/>
      <c r="AE82" s="20"/>
      <c r="AF82" s="41"/>
      <c r="AG82" s="20"/>
      <c r="AH82" s="41"/>
      <c r="AI82" s="20"/>
      <c r="AJ82" s="41"/>
      <c r="AL82" s="291"/>
      <c r="AN82" s="291"/>
      <c r="AP82" s="291"/>
    </row>
    <row r="83" spans="2:42" s="60" customFormat="1">
      <c r="B83" s="41"/>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70"/>
      <c r="AC83" s="20"/>
      <c r="AD83" s="41"/>
      <c r="AE83" s="20"/>
      <c r="AF83" s="41"/>
      <c r="AG83" s="20"/>
      <c r="AH83" s="41"/>
      <c r="AI83" s="20"/>
      <c r="AJ83" s="41"/>
      <c r="AL83" s="291"/>
      <c r="AN83" s="291"/>
      <c r="AP83" s="291"/>
    </row>
    <row r="84" spans="2:42" s="60" customFormat="1">
      <c r="B84" s="41"/>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41"/>
      <c r="AC84" s="20"/>
      <c r="AD84" s="41"/>
      <c r="AE84" s="20"/>
      <c r="AF84" s="41"/>
      <c r="AG84" s="20"/>
      <c r="AH84" s="41"/>
      <c r="AI84" s="20"/>
      <c r="AJ84" s="41"/>
      <c r="AL84" s="291"/>
      <c r="AN84" s="291"/>
      <c r="AP84" s="291"/>
    </row>
    <row r="85" spans="2:42" s="60" customFormat="1">
      <c r="B85" s="41"/>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41"/>
      <c r="AC85" s="20"/>
      <c r="AD85" s="41"/>
      <c r="AE85" s="20"/>
      <c r="AF85" s="41"/>
      <c r="AG85" s="20"/>
      <c r="AH85" s="41"/>
      <c r="AI85" s="20"/>
      <c r="AJ85" s="41"/>
      <c r="AL85" s="291"/>
      <c r="AN85" s="291"/>
      <c r="AP85" s="291"/>
    </row>
    <row r="86" spans="2:42" s="60" customFormat="1">
      <c r="B86" s="41"/>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41"/>
      <c r="AC86" s="20"/>
      <c r="AD86" s="41"/>
      <c r="AE86" s="20"/>
      <c r="AF86" s="41"/>
      <c r="AG86" s="20"/>
      <c r="AH86" s="41"/>
      <c r="AI86" s="20"/>
      <c r="AJ86" s="41"/>
      <c r="AL86" s="291"/>
      <c r="AN86" s="291"/>
      <c r="AP86" s="291"/>
    </row>
    <row r="87" spans="2:42" s="60" customFormat="1">
      <c r="B87" s="41"/>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41"/>
      <c r="AC87" s="20"/>
      <c r="AD87" s="41"/>
      <c r="AE87" s="20"/>
      <c r="AF87" s="41"/>
      <c r="AG87" s="20"/>
      <c r="AH87" s="41"/>
      <c r="AI87" s="20"/>
      <c r="AJ87" s="41"/>
      <c r="AL87" s="291"/>
      <c r="AN87" s="291"/>
      <c r="AP87" s="291"/>
    </row>
    <row r="88" spans="2:42" s="60" customFormat="1">
      <c r="B88" s="41"/>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41"/>
      <c r="AC88" s="20"/>
      <c r="AD88" s="41"/>
      <c r="AE88" s="20"/>
      <c r="AF88" s="41"/>
      <c r="AG88" s="20"/>
      <c r="AH88" s="41"/>
      <c r="AI88" s="20"/>
      <c r="AJ88" s="41"/>
      <c r="AL88" s="291"/>
      <c r="AN88" s="291"/>
      <c r="AP88" s="291"/>
    </row>
    <row r="89" spans="2:42" s="60" customFormat="1">
      <c r="B89" s="41"/>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41"/>
      <c r="AC89" s="20"/>
      <c r="AD89" s="41"/>
      <c r="AE89" s="20"/>
      <c r="AF89" s="41"/>
      <c r="AG89" s="20"/>
      <c r="AH89" s="41"/>
      <c r="AI89" s="20"/>
      <c r="AJ89" s="41"/>
      <c r="AL89" s="291"/>
      <c r="AN89" s="291"/>
      <c r="AP89" s="291"/>
    </row>
    <row r="90" spans="2:42" s="60" customFormat="1">
      <c r="B90" s="41"/>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41"/>
      <c r="AC90" s="20"/>
      <c r="AD90" s="41"/>
      <c r="AE90" s="20"/>
      <c r="AF90" s="41"/>
      <c r="AG90" s="20"/>
      <c r="AH90" s="41"/>
      <c r="AI90" s="20"/>
      <c r="AJ90" s="41"/>
      <c r="AL90" s="291"/>
      <c r="AN90" s="291"/>
      <c r="AP90" s="291"/>
    </row>
    <row r="91" spans="2:42" s="60" customFormat="1">
      <c r="B91" s="41"/>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41"/>
      <c r="AC91" s="20"/>
      <c r="AD91" s="41"/>
      <c r="AE91" s="20"/>
      <c r="AF91" s="41"/>
      <c r="AG91" s="20"/>
      <c r="AH91" s="41"/>
      <c r="AI91" s="20"/>
      <c r="AJ91" s="41"/>
      <c r="AL91" s="291"/>
      <c r="AN91" s="291"/>
      <c r="AP91" s="291"/>
    </row>
    <row r="92" spans="2:42" s="60" customFormat="1">
      <c r="B92" s="41"/>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41"/>
      <c r="AC92" s="20"/>
      <c r="AD92" s="41"/>
      <c r="AE92" s="20"/>
      <c r="AF92" s="41"/>
      <c r="AG92" s="20"/>
      <c r="AH92" s="41"/>
      <c r="AI92" s="20"/>
      <c r="AJ92" s="41"/>
      <c r="AL92" s="291"/>
      <c r="AN92" s="291"/>
      <c r="AP92" s="291"/>
    </row>
    <row r="93" spans="2:42" s="60" customFormat="1">
      <c r="B93" s="41"/>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41"/>
      <c r="AC93" s="20"/>
      <c r="AD93" s="41"/>
      <c r="AE93" s="20"/>
      <c r="AF93" s="41"/>
      <c r="AG93" s="20"/>
      <c r="AH93" s="41"/>
      <c r="AI93" s="20"/>
      <c r="AJ93" s="41"/>
      <c r="AL93" s="291"/>
      <c r="AN93" s="291"/>
      <c r="AP93" s="291"/>
    </row>
    <row r="94" spans="2:42" s="60" customFormat="1">
      <c r="B94" s="41"/>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41"/>
      <c r="AC94" s="20"/>
      <c r="AD94" s="41"/>
      <c r="AE94" s="20"/>
      <c r="AF94" s="41"/>
      <c r="AG94" s="20"/>
      <c r="AH94" s="41"/>
      <c r="AI94" s="20"/>
      <c r="AJ94" s="41"/>
      <c r="AL94" s="291"/>
      <c r="AN94" s="291"/>
      <c r="AP94" s="291"/>
    </row>
    <row r="95" spans="2:42" s="60" customFormat="1">
      <c r="B95" s="41"/>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41"/>
      <c r="AC95" s="20"/>
      <c r="AD95" s="41"/>
      <c r="AE95" s="20"/>
      <c r="AF95" s="41"/>
      <c r="AG95" s="20"/>
      <c r="AH95" s="41"/>
      <c r="AI95" s="20"/>
      <c r="AJ95" s="41"/>
      <c r="AL95" s="291"/>
      <c r="AN95" s="291"/>
      <c r="AP95" s="291"/>
    </row>
    <row r="96" spans="2:42" s="60" customFormat="1">
      <c r="B96" s="41"/>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41"/>
      <c r="AC96" s="20"/>
      <c r="AD96" s="41"/>
      <c r="AE96" s="20"/>
      <c r="AF96" s="41"/>
      <c r="AG96" s="20"/>
      <c r="AH96" s="41"/>
      <c r="AI96" s="20"/>
      <c r="AJ96" s="41"/>
      <c r="AL96" s="291"/>
      <c r="AN96" s="291"/>
      <c r="AP96" s="291"/>
    </row>
    <row r="97" spans="2:42" s="60" customFormat="1">
      <c r="B97" s="41"/>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41"/>
      <c r="AC97" s="20"/>
      <c r="AD97" s="41"/>
      <c r="AE97" s="20"/>
      <c r="AF97" s="41"/>
      <c r="AG97" s="20"/>
      <c r="AH97" s="41"/>
      <c r="AI97" s="20"/>
      <c r="AJ97" s="41"/>
      <c r="AL97" s="291"/>
      <c r="AN97" s="291"/>
      <c r="AP97" s="291"/>
    </row>
    <row r="98" spans="2:42" s="60" customFormat="1">
      <c r="B98" s="41"/>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41"/>
      <c r="AC98" s="20"/>
      <c r="AD98" s="41"/>
      <c r="AE98" s="20"/>
      <c r="AF98" s="41"/>
      <c r="AG98" s="20"/>
      <c r="AH98" s="41"/>
      <c r="AI98" s="20"/>
      <c r="AJ98" s="41"/>
      <c r="AL98" s="291"/>
      <c r="AN98" s="291"/>
      <c r="AP98" s="291"/>
    </row>
    <row r="99" spans="2:42" s="60" customFormat="1">
      <c r="B99" s="41"/>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41"/>
      <c r="AC99" s="20"/>
      <c r="AD99" s="41"/>
      <c r="AE99" s="20"/>
      <c r="AF99" s="41"/>
      <c r="AG99" s="20"/>
      <c r="AH99" s="41"/>
      <c r="AI99" s="20"/>
      <c r="AJ99" s="41"/>
      <c r="AL99" s="291"/>
      <c r="AN99" s="291"/>
      <c r="AP99" s="291"/>
    </row>
    <row r="100" spans="2:42" s="60" customFormat="1">
      <c r="B100" s="41"/>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41"/>
      <c r="AC100" s="20"/>
      <c r="AD100" s="41"/>
      <c r="AE100" s="20"/>
      <c r="AF100" s="41"/>
      <c r="AG100" s="20"/>
      <c r="AH100" s="41"/>
      <c r="AI100" s="20"/>
      <c r="AJ100" s="41"/>
      <c r="AL100" s="291"/>
      <c r="AN100" s="291"/>
      <c r="AP100" s="291"/>
    </row>
    <row r="101" spans="2:42" s="60" customFormat="1">
      <c r="B101" s="41"/>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41"/>
      <c r="AC101" s="20"/>
      <c r="AD101" s="41"/>
      <c r="AE101" s="20"/>
      <c r="AF101" s="41"/>
      <c r="AG101" s="20"/>
      <c r="AH101" s="41"/>
      <c r="AI101" s="20"/>
      <c r="AJ101" s="41"/>
      <c r="AL101" s="291"/>
      <c r="AN101" s="291"/>
      <c r="AP101" s="291"/>
    </row>
    <row r="102" spans="2:42" s="60" customFormat="1">
      <c r="B102" s="41"/>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41"/>
      <c r="AC102" s="20"/>
      <c r="AD102" s="41"/>
      <c r="AE102" s="20"/>
      <c r="AF102" s="41"/>
      <c r="AG102" s="20"/>
      <c r="AH102" s="41"/>
      <c r="AI102" s="20"/>
      <c r="AJ102" s="41"/>
      <c r="AL102" s="291"/>
      <c r="AN102" s="291"/>
      <c r="AP102" s="291"/>
    </row>
    <row r="103" spans="2:42" s="60" customFormat="1">
      <c r="B103" s="41"/>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41"/>
      <c r="AC103" s="20"/>
      <c r="AD103" s="41"/>
      <c r="AE103" s="20"/>
      <c r="AF103" s="41"/>
      <c r="AG103" s="20"/>
      <c r="AH103" s="41"/>
      <c r="AI103" s="20"/>
      <c r="AJ103" s="41"/>
      <c r="AL103" s="291"/>
      <c r="AN103" s="291"/>
      <c r="AP103" s="291"/>
    </row>
    <row r="104" spans="2:42" s="60" customFormat="1">
      <c r="B104" s="41"/>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41"/>
      <c r="AC104" s="20"/>
      <c r="AD104" s="41"/>
      <c r="AE104" s="20"/>
      <c r="AF104" s="41"/>
      <c r="AG104" s="20"/>
      <c r="AH104" s="41"/>
      <c r="AI104" s="20"/>
      <c r="AJ104" s="41"/>
      <c r="AL104" s="291"/>
      <c r="AN104" s="291"/>
      <c r="AP104" s="291"/>
    </row>
    <row r="105" spans="2:42" s="60" customFormat="1">
      <c r="B105" s="41"/>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41"/>
      <c r="AC105" s="20"/>
      <c r="AD105" s="41"/>
      <c r="AE105" s="20"/>
      <c r="AF105" s="41"/>
      <c r="AG105" s="20"/>
      <c r="AH105" s="41"/>
      <c r="AI105" s="20"/>
      <c r="AJ105" s="41"/>
      <c r="AL105" s="291"/>
      <c r="AN105" s="291"/>
      <c r="AP105" s="291"/>
    </row>
    <row r="106" spans="2:42" s="60" customFormat="1">
      <c r="B106" s="41"/>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41"/>
      <c r="AC106" s="20"/>
      <c r="AD106" s="41"/>
      <c r="AE106" s="20"/>
      <c r="AF106" s="41"/>
      <c r="AG106" s="20"/>
      <c r="AH106" s="41"/>
      <c r="AI106" s="20"/>
      <c r="AJ106" s="41"/>
      <c r="AL106" s="291"/>
      <c r="AN106" s="291"/>
      <c r="AP106" s="291"/>
    </row>
    <row r="107" spans="2:42" s="60" customFormat="1">
      <c r="B107" s="41"/>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41"/>
      <c r="AC107" s="20"/>
      <c r="AD107" s="41"/>
      <c r="AE107" s="20"/>
      <c r="AF107" s="41"/>
      <c r="AG107" s="20"/>
      <c r="AH107" s="41"/>
      <c r="AI107" s="20"/>
      <c r="AJ107" s="41"/>
      <c r="AL107" s="291"/>
      <c r="AN107" s="291"/>
      <c r="AP107" s="291"/>
    </row>
    <row r="108" spans="2:42" s="60" customFormat="1">
      <c r="B108" s="41"/>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41"/>
      <c r="AC108" s="20"/>
      <c r="AD108" s="41"/>
      <c r="AE108" s="20"/>
      <c r="AF108" s="41"/>
      <c r="AG108" s="20"/>
      <c r="AH108" s="41"/>
      <c r="AI108" s="20"/>
      <c r="AJ108" s="41"/>
      <c r="AL108" s="291"/>
      <c r="AN108" s="291"/>
      <c r="AP108" s="291"/>
    </row>
    <row r="109" spans="2:42" s="60" customFormat="1">
      <c r="B109" s="41"/>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41"/>
      <c r="AC109" s="20"/>
      <c r="AD109" s="41"/>
      <c r="AE109" s="20"/>
      <c r="AF109" s="41"/>
      <c r="AG109" s="20"/>
      <c r="AH109" s="41"/>
      <c r="AI109" s="20"/>
      <c r="AJ109" s="41"/>
      <c r="AL109" s="291"/>
      <c r="AN109" s="291"/>
      <c r="AP109" s="291"/>
    </row>
    <row r="110" spans="2:42" s="60" customFormat="1">
      <c r="B110" s="41"/>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41"/>
      <c r="AC110" s="20"/>
      <c r="AD110" s="41"/>
      <c r="AE110" s="20"/>
      <c r="AF110" s="41"/>
      <c r="AG110" s="20"/>
      <c r="AH110" s="41"/>
      <c r="AI110" s="20"/>
      <c r="AJ110" s="41"/>
      <c r="AL110" s="291"/>
      <c r="AN110" s="291"/>
      <c r="AP110" s="291"/>
    </row>
    <row r="111" spans="2:42" s="60" customFormat="1">
      <c r="B111" s="41"/>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41"/>
      <c r="AC111" s="20"/>
      <c r="AD111" s="41"/>
      <c r="AE111" s="20"/>
      <c r="AF111" s="41"/>
      <c r="AG111" s="20"/>
      <c r="AH111" s="41"/>
      <c r="AI111" s="20"/>
      <c r="AJ111" s="41"/>
      <c r="AL111" s="291"/>
      <c r="AN111" s="291"/>
      <c r="AP111" s="291"/>
    </row>
    <row r="112" spans="2:42" s="60" customFormat="1">
      <c r="B112" s="41"/>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41"/>
      <c r="AC112" s="20"/>
      <c r="AD112" s="41"/>
      <c r="AE112" s="20"/>
      <c r="AF112" s="41"/>
      <c r="AG112" s="20"/>
      <c r="AH112" s="41"/>
      <c r="AI112" s="20"/>
      <c r="AJ112" s="41"/>
      <c r="AL112" s="291"/>
      <c r="AN112" s="291"/>
      <c r="AP112" s="291"/>
    </row>
    <row r="113" spans="2:42" s="60" customFormat="1">
      <c r="B113" s="41"/>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41"/>
      <c r="AC113" s="20"/>
      <c r="AD113" s="41"/>
      <c r="AE113" s="20"/>
      <c r="AF113" s="41"/>
      <c r="AG113" s="20"/>
      <c r="AH113" s="41"/>
      <c r="AI113" s="20"/>
      <c r="AJ113" s="41"/>
      <c r="AL113" s="291"/>
      <c r="AN113" s="291"/>
      <c r="AP113" s="291"/>
    </row>
    <row r="114" spans="2:42" s="60" customFormat="1">
      <c r="B114" s="41"/>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41"/>
      <c r="AC114" s="20"/>
      <c r="AD114" s="41"/>
      <c r="AE114" s="20"/>
      <c r="AF114" s="41"/>
      <c r="AG114" s="20"/>
      <c r="AH114" s="41"/>
      <c r="AI114" s="20"/>
      <c r="AJ114" s="41"/>
      <c r="AL114" s="291"/>
      <c r="AN114" s="291"/>
      <c r="AP114" s="291"/>
    </row>
    <row r="115" spans="2:42" s="60" customFormat="1">
      <c r="B115" s="41"/>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41"/>
      <c r="AC115" s="20"/>
      <c r="AD115" s="41"/>
      <c r="AE115" s="20"/>
      <c r="AF115" s="41"/>
      <c r="AG115" s="20"/>
      <c r="AH115" s="41"/>
      <c r="AI115" s="20"/>
      <c r="AJ115" s="41"/>
      <c r="AL115" s="291"/>
      <c r="AN115" s="291"/>
      <c r="AP115" s="291"/>
    </row>
    <row r="116" spans="2:42" s="60" customFormat="1">
      <c r="B116" s="41"/>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41"/>
      <c r="AC116" s="20"/>
      <c r="AD116" s="41"/>
      <c r="AE116" s="20"/>
      <c r="AF116" s="41"/>
      <c r="AG116" s="20"/>
      <c r="AH116" s="41"/>
      <c r="AI116" s="20"/>
      <c r="AJ116" s="41"/>
      <c r="AL116" s="291"/>
      <c r="AN116" s="291"/>
      <c r="AP116" s="291"/>
    </row>
    <row r="117" spans="2:42" s="60" customFormat="1">
      <c r="B117" s="41"/>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41"/>
      <c r="AC117" s="20"/>
      <c r="AD117" s="41"/>
      <c r="AE117" s="20"/>
      <c r="AF117" s="41"/>
      <c r="AG117" s="20"/>
      <c r="AH117" s="41"/>
      <c r="AI117" s="20"/>
      <c r="AJ117" s="41"/>
      <c r="AL117" s="291"/>
      <c r="AN117" s="291"/>
      <c r="AP117" s="291"/>
    </row>
    <row r="118" spans="2:42" s="60" customFormat="1">
      <c r="B118" s="41"/>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41"/>
      <c r="AC118" s="20"/>
      <c r="AD118" s="41"/>
      <c r="AE118" s="20"/>
      <c r="AF118" s="41"/>
      <c r="AG118" s="20"/>
      <c r="AH118" s="41"/>
      <c r="AI118" s="20"/>
      <c r="AJ118" s="41"/>
      <c r="AL118" s="291"/>
      <c r="AN118" s="291"/>
      <c r="AP118" s="291"/>
    </row>
    <row r="119" spans="2:42" s="60" customFormat="1">
      <c r="B119" s="41"/>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41"/>
      <c r="AC119" s="20"/>
      <c r="AD119" s="41"/>
      <c r="AE119" s="20"/>
      <c r="AF119" s="41"/>
      <c r="AG119" s="20"/>
      <c r="AH119" s="41"/>
      <c r="AI119" s="20"/>
      <c r="AJ119" s="41"/>
      <c r="AL119" s="291"/>
      <c r="AN119" s="291"/>
      <c r="AP119" s="291"/>
    </row>
    <row r="120" spans="2:42" s="60" customFormat="1">
      <c r="B120" s="41"/>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41"/>
      <c r="AC120" s="20"/>
      <c r="AD120" s="41"/>
      <c r="AE120" s="20"/>
      <c r="AF120" s="41"/>
      <c r="AG120" s="20"/>
      <c r="AH120" s="41"/>
      <c r="AI120" s="20"/>
      <c r="AJ120" s="41"/>
      <c r="AL120" s="291"/>
      <c r="AN120" s="291"/>
      <c r="AP120" s="291"/>
    </row>
    <row r="121" spans="2:42">
      <c r="B121" s="4"/>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4"/>
      <c r="AC121" s="3"/>
      <c r="AD121" s="4"/>
      <c r="AE121" s="3"/>
      <c r="AF121" s="4"/>
      <c r="AG121" s="3"/>
      <c r="AH121" s="4"/>
      <c r="AI121" s="3"/>
      <c r="AJ121" s="4"/>
    </row>
    <row r="122" spans="2:42">
      <c r="B122" s="4"/>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4"/>
      <c r="AC122" s="3"/>
      <c r="AD122" s="4"/>
      <c r="AE122" s="3"/>
      <c r="AF122" s="4"/>
      <c r="AG122" s="3"/>
      <c r="AH122" s="4"/>
      <c r="AI122" s="3"/>
      <c r="AJ122" s="4"/>
    </row>
    <row r="123" spans="2:42">
      <c r="B123" s="4"/>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4"/>
      <c r="AC123" s="3"/>
      <c r="AD123" s="4"/>
      <c r="AE123" s="3"/>
      <c r="AF123" s="4"/>
      <c r="AG123" s="3"/>
      <c r="AH123" s="4"/>
      <c r="AI123" s="3"/>
      <c r="AJ123" s="4"/>
    </row>
    <row r="124" spans="2:42">
      <c r="B124" s="4"/>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4"/>
      <c r="AC124" s="3"/>
      <c r="AD124" s="4"/>
      <c r="AE124" s="3"/>
      <c r="AF124" s="4"/>
      <c r="AG124" s="3"/>
      <c r="AH124" s="4"/>
      <c r="AI124" s="3"/>
      <c r="AJ124" s="4"/>
    </row>
    <row r="125" spans="2:42">
      <c r="B125" s="4"/>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4"/>
      <c r="AC125" s="3"/>
      <c r="AD125" s="4"/>
      <c r="AE125" s="3"/>
      <c r="AF125" s="4"/>
      <c r="AG125" s="3"/>
      <c r="AH125" s="4"/>
      <c r="AI125" s="3"/>
      <c r="AJ125" s="4"/>
    </row>
    <row r="126" spans="2:42">
      <c r="B126" s="4"/>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4"/>
      <c r="AC126" s="3"/>
      <c r="AD126" s="4"/>
      <c r="AE126" s="3"/>
      <c r="AF126" s="4"/>
      <c r="AG126" s="3"/>
      <c r="AH126" s="4"/>
      <c r="AI126" s="3"/>
      <c r="AJ126" s="4"/>
    </row>
    <row r="127" spans="2:42">
      <c r="B127" s="4"/>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4"/>
      <c r="AC127" s="3"/>
      <c r="AD127" s="4"/>
      <c r="AE127" s="3"/>
      <c r="AF127" s="4"/>
      <c r="AG127" s="3"/>
      <c r="AH127" s="4"/>
      <c r="AI127" s="3"/>
      <c r="AJ127" s="4"/>
    </row>
    <row r="128" spans="2:42">
      <c r="B128" s="4"/>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4"/>
      <c r="AC128" s="3"/>
      <c r="AD128" s="4"/>
      <c r="AE128" s="3"/>
      <c r="AF128" s="4"/>
      <c r="AG128" s="3"/>
      <c r="AH128" s="4"/>
      <c r="AI128" s="3"/>
      <c r="AJ128" s="4"/>
    </row>
    <row r="129" spans="2:36">
      <c r="B129" s="4"/>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4"/>
      <c r="AC129" s="3"/>
      <c r="AD129" s="4"/>
      <c r="AE129" s="3"/>
      <c r="AF129" s="4"/>
      <c r="AG129" s="3"/>
      <c r="AH129" s="4"/>
      <c r="AI129" s="3"/>
      <c r="AJ129" s="4"/>
    </row>
    <row r="130" spans="2:36">
      <c r="B130" s="4"/>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4"/>
      <c r="AC130" s="3"/>
      <c r="AD130" s="4"/>
      <c r="AE130" s="3"/>
      <c r="AF130" s="4"/>
      <c r="AG130" s="3"/>
      <c r="AH130" s="4"/>
      <c r="AI130" s="3"/>
      <c r="AJ130" s="4"/>
    </row>
    <row r="131" spans="2:36">
      <c r="B131" s="4"/>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4"/>
      <c r="AC131" s="3"/>
      <c r="AD131" s="4"/>
      <c r="AE131" s="3"/>
      <c r="AF131" s="4"/>
      <c r="AG131" s="3"/>
      <c r="AH131" s="4"/>
      <c r="AI131" s="3"/>
      <c r="AJ131" s="4"/>
    </row>
    <row r="132" spans="2:36">
      <c r="B132" s="4"/>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4"/>
      <c r="AC132" s="3"/>
      <c r="AD132" s="4"/>
      <c r="AE132" s="3"/>
      <c r="AF132" s="4"/>
      <c r="AG132" s="3"/>
      <c r="AH132" s="4"/>
      <c r="AI132" s="3"/>
      <c r="AJ132" s="4"/>
    </row>
    <row r="133" spans="2:36">
      <c r="B133" s="4"/>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4"/>
      <c r="AC133" s="3"/>
      <c r="AD133" s="4"/>
      <c r="AE133" s="3"/>
      <c r="AF133" s="4"/>
      <c r="AG133" s="3"/>
      <c r="AH133" s="4"/>
      <c r="AI133" s="3"/>
      <c r="AJ133" s="4"/>
    </row>
    <row r="134" spans="2:36">
      <c r="B134" s="4"/>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4"/>
      <c r="AC134" s="3"/>
      <c r="AD134" s="4"/>
      <c r="AE134" s="3"/>
      <c r="AF134" s="4"/>
      <c r="AG134" s="3"/>
      <c r="AH134" s="4"/>
      <c r="AI134" s="3"/>
      <c r="AJ134" s="4"/>
    </row>
    <row r="135" spans="2:36">
      <c r="B135" s="4"/>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4"/>
      <c r="AC135" s="3"/>
      <c r="AD135" s="4"/>
      <c r="AE135" s="3"/>
      <c r="AF135" s="4"/>
      <c r="AG135" s="3"/>
      <c r="AH135" s="4"/>
      <c r="AI135" s="3"/>
      <c r="AJ135" s="4"/>
    </row>
    <row r="136" spans="2:36">
      <c r="B136" s="4"/>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4"/>
      <c r="AC136" s="3"/>
      <c r="AD136" s="4"/>
      <c r="AE136" s="3"/>
      <c r="AF136" s="4"/>
      <c r="AG136" s="3"/>
      <c r="AH136" s="4"/>
      <c r="AI136" s="3"/>
      <c r="AJ136" s="4"/>
    </row>
    <row r="137" spans="2:36">
      <c r="B137" s="4"/>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4"/>
      <c r="AC137" s="3"/>
      <c r="AD137" s="4"/>
      <c r="AE137" s="3"/>
      <c r="AF137" s="4"/>
      <c r="AG137" s="3"/>
      <c r="AH137" s="4"/>
      <c r="AI137" s="3"/>
      <c r="AJ137" s="4"/>
    </row>
    <row r="138" spans="2:36">
      <c r="B138" s="4"/>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4"/>
      <c r="AC138" s="3"/>
      <c r="AD138" s="4"/>
      <c r="AE138" s="3"/>
      <c r="AF138" s="4"/>
      <c r="AG138" s="3"/>
      <c r="AH138" s="4"/>
      <c r="AI138" s="3"/>
      <c r="AJ138" s="4"/>
    </row>
    <row r="139" spans="2:36">
      <c r="B139" s="4"/>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4"/>
      <c r="AC139" s="3"/>
      <c r="AD139" s="4"/>
      <c r="AE139" s="3"/>
      <c r="AF139" s="4"/>
      <c r="AG139" s="3"/>
      <c r="AH139" s="4"/>
      <c r="AI139" s="3"/>
      <c r="AJ139" s="4"/>
    </row>
    <row r="140" spans="2:36">
      <c r="B140" s="4"/>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4"/>
      <c r="AC140" s="3"/>
      <c r="AD140" s="4"/>
      <c r="AE140" s="3"/>
      <c r="AF140" s="4"/>
      <c r="AG140" s="3"/>
      <c r="AH140" s="4"/>
      <c r="AI140" s="3"/>
      <c r="AJ140" s="4"/>
    </row>
    <row r="141" spans="2:36">
      <c r="B141" s="4"/>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4"/>
      <c r="AC141" s="3"/>
      <c r="AD141" s="4"/>
      <c r="AE141" s="3"/>
      <c r="AF141" s="4"/>
      <c r="AG141" s="3"/>
      <c r="AH141" s="4"/>
      <c r="AI141" s="3"/>
      <c r="AJ141" s="4"/>
    </row>
    <row r="142" spans="2:36">
      <c r="B142" s="4"/>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4"/>
      <c r="AC142" s="3"/>
      <c r="AD142" s="4"/>
      <c r="AE142" s="3"/>
      <c r="AF142" s="4"/>
      <c r="AG142" s="3"/>
      <c r="AH142" s="4"/>
      <c r="AI142" s="3"/>
      <c r="AJ142" s="4"/>
    </row>
    <row r="143" spans="2:36">
      <c r="B143" s="4"/>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4"/>
      <c r="AC143" s="3"/>
      <c r="AD143" s="4"/>
      <c r="AE143" s="3"/>
      <c r="AF143" s="4"/>
      <c r="AG143" s="3"/>
      <c r="AH143" s="4"/>
      <c r="AI143" s="3"/>
      <c r="AJ143" s="4"/>
    </row>
    <row r="144" spans="2:36">
      <c r="B144" s="4"/>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4"/>
      <c r="AC144" s="3"/>
      <c r="AD144" s="4"/>
      <c r="AE144" s="3"/>
      <c r="AF144" s="4"/>
      <c r="AG144" s="3"/>
      <c r="AH144" s="4"/>
      <c r="AI144" s="3"/>
      <c r="AJ144" s="4"/>
    </row>
    <row r="145" spans="2:36">
      <c r="B145" s="4"/>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4"/>
      <c r="AC145" s="3"/>
      <c r="AD145" s="4"/>
      <c r="AE145" s="3"/>
      <c r="AF145" s="4"/>
      <c r="AG145" s="3"/>
      <c r="AH145" s="4"/>
      <c r="AI145" s="3"/>
      <c r="AJ145" s="4"/>
    </row>
    <row r="146" spans="2:36">
      <c r="B146" s="4"/>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4"/>
      <c r="AC146" s="3"/>
      <c r="AD146" s="4"/>
      <c r="AE146" s="3"/>
      <c r="AF146" s="4"/>
      <c r="AG146" s="3"/>
      <c r="AH146" s="4"/>
      <c r="AI146" s="3"/>
      <c r="AJ146" s="4"/>
    </row>
    <row r="147" spans="2:36">
      <c r="B147" s="4"/>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4"/>
      <c r="AC147" s="3"/>
      <c r="AD147" s="4"/>
      <c r="AE147" s="3"/>
      <c r="AF147" s="4"/>
      <c r="AG147" s="3"/>
      <c r="AH147" s="4"/>
      <c r="AI147" s="3"/>
      <c r="AJ147" s="4"/>
    </row>
    <row r="148" spans="2:36">
      <c r="B148" s="4"/>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4"/>
      <c r="AC148" s="3"/>
      <c r="AD148" s="4"/>
      <c r="AE148" s="3"/>
      <c r="AF148" s="4"/>
      <c r="AG148" s="3"/>
      <c r="AH148" s="4"/>
      <c r="AI148" s="3"/>
      <c r="AJ148" s="4"/>
    </row>
    <row r="149" spans="2:36">
      <c r="B149" s="4"/>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4"/>
      <c r="AC149" s="3"/>
      <c r="AD149" s="4"/>
      <c r="AE149" s="3"/>
      <c r="AF149" s="4"/>
      <c r="AG149" s="3"/>
      <c r="AH149" s="4"/>
      <c r="AI149" s="3"/>
      <c r="AJ149" s="4"/>
    </row>
    <row r="150" spans="2:36">
      <c r="B150" s="4"/>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4"/>
      <c r="AC150" s="3"/>
      <c r="AD150" s="4"/>
      <c r="AE150" s="3"/>
      <c r="AF150" s="4"/>
      <c r="AG150" s="3"/>
      <c r="AH150" s="4"/>
      <c r="AI150" s="3"/>
      <c r="AJ150" s="4"/>
    </row>
    <row r="151" spans="2:36">
      <c r="B151" s="4"/>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4"/>
      <c r="AC151" s="3"/>
      <c r="AD151" s="4"/>
      <c r="AE151" s="3"/>
      <c r="AF151" s="4"/>
      <c r="AG151" s="3"/>
      <c r="AH151" s="4"/>
      <c r="AI151" s="3"/>
      <c r="AJ151" s="4"/>
    </row>
    <row r="152" spans="2:36">
      <c r="B152" s="4"/>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4"/>
      <c r="AC152" s="3"/>
      <c r="AD152" s="4"/>
      <c r="AE152" s="3"/>
      <c r="AF152" s="4"/>
      <c r="AG152" s="3"/>
      <c r="AH152" s="4"/>
      <c r="AI152" s="3"/>
      <c r="AJ152" s="4"/>
    </row>
    <row r="153" spans="2:36">
      <c r="B153" s="4"/>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4"/>
      <c r="AC153" s="3"/>
      <c r="AD153" s="4"/>
      <c r="AE153" s="3"/>
      <c r="AF153" s="4"/>
      <c r="AG153" s="3"/>
      <c r="AH153" s="4"/>
      <c r="AI153" s="3"/>
      <c r="AJ153" s="4"/>
    </row>
    <row r="154" spans="2:36">
      <c r="B154" s="4"/>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4"/>
      <c r="AC154" s="3"/>
      <c r="AD154" s="4"/>
      <c r="AE154" s="3"/>
      <c r="AF154" s="4"/>
      <c r="AG154" s="3"/>
      <c r="AH154" s="4"/>
      <c r="AI154" s="3"/>
      <c r="AJ154" s="4"/>
    </row>
    <row r="155" spans="2:36">
      <c r="B155" s="4"/>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4"/>
      <c r="AC155" s="3"/>
      <c r="AD155" s="4"/>
      <c r="AE155" s="3"/>
      <c r="AF155" s="4"/>
      <c r="AG155" s="3"/>
      <c r="AH155" s="4"/>
      <c r="AI155" s="3"/>
      <c r="AJ155" s="4"/>
    </row>
    <row r="156" spans="2:36">
      <c r="B156" s="4"/>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4"/>
      <c r="AC156" s="3"/>
      <c r="AD156" s="4"/>
      <c r="AE156" s="3"/>
      <c r="AF156" s="4"/>
      <c r="AG156" s="3"/>
      <c r="AH156" s="4"/>
      <c r="AI156" s="3"/>
      <c r="AJ156" s="4"/>
    </row>
    <row r="157" spans="2:36">
      <c r="B157" s="4"/>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4"/>
      <c r="AC157" s="3"/>
      <c r="AD157" s="4"/>
      <c r="AE157" s="3"/>
      <c r="AF157" s="4"/>
      <c r="AG157" s="3"/>
      <c r="AH157" s="4"/>
      <c r="AI157" s="3"/>
      <c r="AJ157" s="4"/>
    </row>
    <row r="158" spans="2:36">
      <c r="B158" s="4"/>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4"/>
      <c r="AC158" s="3"/>
      <c r="AD158" s="4"/>
      <c r="AE158" s="3"/>
      <c r="AF158" s="4"/>
      <c r="AG158" s="3"/>
      <c r="AH158" s="4"/>
      <c r="AI158" s="3"/>
      <c r="AJ158" s="4"/>
    </row>
    <row r="159" spans="2:36">
      <c r="B159" s="4"/>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4"/>
      <c r="AC159" s="3"/>
      <c r="AD159" s="4"/>
      <c r="AE159" s="3"/>
      <c r="AF159" s="4"/>
      <c r="AG159" s="3"/>
      <c r="AH159" s="4"/>
      <c r="AI159" s="3"/>
      <c r="AJ159" s="4"/>
    </row>
    <row r="160" spans="2:36">
      <c r="B160" s="4"/>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4"/>
      <c r="AC160" s="3"/>
      <c r="AD160" s="4"/>
      <c r="AE160" s="3"/>
      <c r="AF160" s="4"/>
      <c r="AG160" s="3"/>
      <c r="AH160" s="4"/>
      <c r="AI160" s="3"/>
      <c r="AJ160" s="4"/>
    </row>
  </sheetData>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R67"/>
  <sheetViews>
    <sheetView topLeftCell="V1" workbookViewId="0">
      <selection activeCell="AR16" sqref="AR16"/>
    </sheetView>
  </sheetViews>
  <sheetFormatPr defaultRowHeight="12.75"/>
  <cols>
    <col min="1" max="1" width="20.5703125" style="1" customWidth="1"/>
    <col min="2" max="3" width="11.140625" style="8" customWidth="1"/>
    <col min="4" max="7" width="5.42578125" style="8" customWidth="1"/>
    <col min="8" max="8" width="11.140625" style="8" customWidth="1"/>
    <col min="9" max="10" width="5.85546875" style="8" customWidth="1"/>
    <col min="11" max="13" width="11.140625" style="8" customWidth="1"/>
    <col min="14" max="21" width="5.42578125" style="8" customWidth="1"/>
    <col min="22" max="41" width="11.140625" style="8" customWidth="1"/>
    <col min="42" max="42" width="10.140625" style="1" customWidth="1"/>
    <col min="43" max="43" width="10.28515625" style="1" customWidth="1"/>
    <col min="44" max="44" width="10" style="1" customWidth="1"/>
    <col min="45" max="16384" width="9.140625" style="1"/>
  </cols>
  <sheetData>
    <row r="1" spans="1:44">
      <c r="A1" s="5" t="s">
        <v>274</v>
      </c>
    </row>
    <row r="2" spans="1:44" s="70" customFormat="1">
      <c r="B2" s="335"/>
      <c r="C2" s="324"/>
      <c r="D2" s="325"/>
      <c r="E2" s="325"/>
      <c r="F2" s="325"/>
      <c r="G2" s="325"/>
      <c r="H2" s="325"/>
      <c r="I2" s="325"/>
      <c r="J2" s="325"/>
      <c r="K2" s="325"/>
      <c r="L2" s="325"/>
      <c r="M2" s="325"/>
      <c r="N2" s="325"/>
      <c r="O2" s="324"/>
      <c r="P2" s="325"/>
      <c r="Q2" s="325"/>
      <c r="R2" s="325"/>
      <c r="S2" s="325"/>
      <c r="T2" s="325"/>
      <c r="U2" s="325"/>
      <c r="V2" s="325"/>
      <c r="W2" s="325"/>
      <c r="X2" s="325"/>
      <c r="Y2" s="325"/>
      <c r="Z2" s="325"/>
      <c r="AA2" s="325"/>
      <c r="AB2" s="325"/>
      <c r="AC2" s="325"/>
      <c r="AD2" s="336"/>
      <c r="AE2" s="336"/>
      <c r="AF2" s="336"/>
      <c r="AG2" s="336"/>
      <c r="AH2" s="336"/>
      <c r="AI2" s="336"/>
      <c r="AJ2" s="336"/>
      <c r="AK2" s="336"/>
      <c r="AL2" s="337"/>
      <c r="AM2" s="336"/>
      <c r="AN2" s="326"/>
      <c r="AO2" s="326"/>
    </row>
    <row r="3" spans="1:44" s="145" customFormat="1">
      <c r="A3" s="323"/>
      <c r="B3" s="160" t="s">
        <v>107</v>
      </c>
      <c r="C3" s="160">
        <v>1970</v>
      </c>
      <c r="D3" s="338">
        <v>71</v>
      </c>
      <c r="E3" s="338">
        <v>72</v>
      </c>
      <c r="F3" s="338">
        <v>73</v>
      </c>
      <c r="G3" s="338">
        <v>74</v>
      </c>
      <c r="H3" s="160">
        <v>1975</v>
      </c>
      <c r="I3" s="338">
        <v>76</v>
      </c>
      <c r="J3" s="338">
        <v>77</v>
      </c>
      <c r="K3" s="160">
        <v>1978</v>
      </c>
      <c r="L3" s="160">
        <v>1979</v>
      </c>
      <c r="M3" s="160">
        <v>1980</v>
      </c>
      <c r="N3" s="338">
        <v>81</v>
      </c>
      <c r="O3" s="338">
        <v>82</v>
      </c>
      <c r="P3" s="338">
        <v>83</v>
      </c>
      <c r="Q3" s="338">
        <v>84</v>
      </c>
      <c r="R3" s="338">
        <v>85</v>
      </c>
      <c r="S3" s="338">
        <v>86</v>
      </c>
      <c r="T3" s="338">
        <v>87</v>
      </c>
      <c r="U3" s="338">
        <v>88</v>
      </c>
      <c r="V3" s="160">
        <v>1989</v>
      </c>
      <c r="W3" s="160">
        <v>1990</v>
      </c>
      <c r="X3" s="160">
        <v>1991</v>
      </c>
      <c r="Y3" s="163">
        <v>1992</v>
      </c>
      <c r="Z3" s="163">
        <v>1993</v>
      </c>
      <c r="AA3" s="163">
        <v>1994</v>
      </c>
      <c r="AB3" s="163">
        <v>1995</v>
      </c>
      <c r="AC3" s="163">
        <v>1996</v>
      </c>
      <c r="AD3" s="163">
        <v>1997</v>
      </c>
      <c r="AE3" s="163">
        <v>1998</v>
      </c>
      <c r="AF3" s="163">
        <v>1999</v>
      </c>
      <c r="AG3" s="163">
        <v>2000</v>
      </c>
      <c r="AH3" s="163">
        <v>2001</v>
      </c>
      <c r="AI3" s="163">
        <v>2002</v>
      </c>
      <c r="AJ3" s="163">
        <v>2003</v>
      </c>
      <c r="AK3" s="163">
        <v>2004</v>
      </c>
      <c r="AL3" s="163">
        <v>2005</v>
      </c>
      <c r="AM3" s="163">
        <v>2006</v>
      </c>
      <c r="AN3" s="163">
        <v>2007</v>
      </c>
      <c r="AO3" s="163">
        <v>2008</v>
      </c>
      <c r="AP3" s="435">
        <v>2009</v>
      </c>
      <c r="AQ3" s="435">
        <v>2010</v>
      </c>
      <c r="AR3" s="435">
        <v>2011</v>
      </c>
    </row>
    <row r="4" spans="1:44" ht="15">
      <c r="A4" s="104" t="s">
        <v>243</v>
      </c>
      <c r="B4" s="339">
        <f t="shared" ref="B4:AR4" si="0">B5+B23+B38+B52+B63</f>
        <v>48943504</v>
      </c>
      <c r="C4" s="339">
        <f t="shared" si="0"/>
        <v>51626159</v>
      </c>
      <c r="D4" s="339" t="str">
        <f>IF('Private Enrollment'!D4=0,"NA",'Public PreK-12 Enrollment'!D4+'Private Enrollment'!D4)</f>
        <v>NA</v>
      </c>
      <c r="E4" s="339" t="str">
        <f>IF('Private Enrollment'!E4=0,"NA",'Public PreK-12 Enrollment'!E4+'Private Enrollment'!E4)</f>
        <v>NA</v>
      </c>
      <c r="F4" s="339" t="str">
        <f>IF('Private Enrollment'!F4=0,"NA",'Public PreK-12 Enrollment'!F4+'Private Enrollment'!F4)</f>
        <v>NA</v>
      </c>
      <c r="G4" s="339" t="str">
        <f>IF('Private Enrollment'!G4=0,"NA",'Public PreK-12 Enrollment'!G4+'Private Enrollment'!G4)</f>
        <v>NA</v>
      </c>
      <c r="H4" s="339">
        <f t="shared" si="0"/>
        <v>49419327</v>
      </c>
      <c r="I4" s="339" t="e">
        <f t="shared" si="0"/>
        <v>#VALUE!</v>
      </c>
      <c r="J4" s="339" t="e">
        <f t="shared" si="0"/>
        <v>#VALUE!</v>
      </c>
      <c r="K4" s="339">
        <f t="shared" si="0"/>
        <v>47636526</v>
      </c>
      <c r="L4" s="339">
        <f t="shared" si="0"/>
        <v>46674406</v>
      </c>
      <c r="M4" s="339">
        <f t="shared" si="0"/>
        <v>45839236</v>
      </c>
      <c r="N4" s="339" t="e">
        <f t="shared" si="0"/>
        <v>#VALUE!</v>
      </c>
      <c r="O4" s="339" t="e">
        <f t="shared" si="0"/>
        <v>#VALUE!</v>
      </c>
      <c r="P4" s="339" t="e">
        <f t="shared" si="0"/>
        <v>#VALUE!</v>
      </c>
      <c r="Q4" s="339" t="e">
        <f t="shared" si="0"/>
        <v>#VALUE!</v>
      </c>
      <c r="R4" s="339" t="e">
        <f t="shared" si="0"/>
        <v>#VALUE!</v>
      </c>
      <c r="S4" s="339" t="e">
        <f t="shared" si="0"/>
        <v>#VALUE!</v>
      </c>
      <c r="T4" s="339" t="e">
        <f t="shared" si="0"/>
        <v>#VALUE!</v>
      </c>
      <c r="U4" s="339" t="e">
        <f t="shared" si="0"/>
        <v>#VALUE!</v>
      </c>
      <c r="V4" s="339">
        <f t="shared" si="0"/>
        <v>45367445</v>
      </c>
      <c r="W4" s="339">
        <f t="shared" si="0"/>
        <v>46073797</v>
      </c>
      <c r="X4" s="339">
        <f t="shared" si="0"/>
        <v>46936368</v>
      </c>
      <c r="Y4" s="339">
        <f t="shared" si="0"/>
        <v>47686279.5</v>
      </c>
      <c r="Z4" s="339">
        <f t="shared" si="0"/>
        <v>48301361</v>
      </c>
      <c r="AA4" s="339">
        <f t="shared" si="0"/>
        <v>49045806.5</v>
      </c>
      <c r="AB4" s="339">
        <f t="shared" si="0"/>
        <v>49872685</v>
      </c>
      <c r="AC4" s="339">
        <f t="shared" si="0"/>
        <v>51099293</v>
      </c>
      <c r="AD4" s="339">
        <f t="shared" si="0"/>
        <v>52071187</v>
      </c>
      <c r="AE4" s="339">
        <f t="shared" si="0"/>
        <v>52519870</v>
      </c>
      <c r="AF4" s="339">
        <f t="shared" si="0"/>
        <v>52875429</v>
      </c>
      <c r="AG4" s="339">
        <f t="shared" si="0"/>
        <v>53372498.75</v>
      </c>
      <c r="AH4" s="339">
        <f t="shared" si="0"/>
        <v>53991509.5</v>
      </c>
      <c r="AI4" s="339">
        <f t="shared" si="0"/>
        <v>54392520.75</v>
      </c>
      <c r="AJ4" s="339">
        <f t="shared" si="0"/>
        <v>54639445</v>
      </c>
      <c r="AK4" s="339">
        <f t="shared" si="0"/>
        <v>54866705</v>
      </c>
      <c r="AL4" s="339">
        <f t="shared" si="0"/>
        <v>55156548</v>
      </c>
      <c r="AM4" s="339">
        <f t="shared" si="0"/>
        <v>55292557</v>
      </c>
      <c r="AN4" s="339">
        <f t="shared" si="0"/>
        <v>55202687</v>
      </c>
      <c r="AO4" s="339">
        <f t="shared" si="0"/>
        <v>54570722.5</v>
      </c>
      <c r="AP4" s="436">
        <f t="shared" si="0"/>
        <v>54849482</v>
      </c>
      <c r="AQ4" s="339">
        <f t="shared" si="0"/>
        <v>54862476</v>
      </c>
      <c r="AR4" s="339">
        <f t="shared" si="0"/>
        <v>54789759</v>
      </c>
    </row>
    <row r="5" spans="1:44">
      <c r="A5" s="106" t="s">
        <v>108</v>
      </c>
      <c r="B5" s="340">
        <f t="shared" ref="B5:AR5" si="1">SUM(B7:B22)</f>
        <v>14670130</v>
      </c>
      <c r="C5" s="340">
        <f t="shared" si="1"/>
        <v>15725813</v>
      </c>
      <c r="D5" s="340" t="str">
        <f>IF('Private Enrollment'!D5=0,"NA",'Public PreK-12 Enrollment'!D5+'Private Enrollment'!D5)</f>
        <v>NA</v>
      </c>
      <c r="E5" s="340" t="str">
        <f>IF('Private Enrollment'!E5=0,"NA",'Public PreK-12 Enrollment'!E5+'Private Enrollment'!E5)</f>
        <v>NA</v>
      </c>
      <c r="F5" s="340" t="str">
        <f>IF('Private Enrollment'!F5=0,"NA",'Public PreK-12 Enrollment'!F5+'Private Enrollment'!F5)</f>
        <v>NA</v>
      </c>
      <c r="G5" s="340" t="str">
        <f>IF('Private Enrollment'!G5=0,"NA",'Public PreK-12 Enrollment'!G5+'Private Enrollment'!G5)</f>
        <v>NA</v>
      </c>
      <c r="H5" s="340">
        <f t="shared" si="1"/>
        <v>15355381</v>
      </c>
      <c r="I5" s="340">
        <f t="shared" si="1"/>
        <v>0</v>
      </c>
      <c r="J5" s="340">
        <f t="shared" si="1"/>
        <v>0</v>
      </c>
      <c r="K5" s="340">
        <f t="shared" si="1"/>
        <v>15553216</v>
      </c>
      <c r="L5" s="340">
        <f t="shared" si="1"/>
        <v>15374274</v>
      </c>
      <c r="M5" s="340">
        <f t="shared" si="1"/>
        <v>15242821</v>
      </c>
      <c r="N5" s="340">
        <f t="shared" si="1"/>
        <v>0</v>
      </c>
      <c r="O5" s="340">
        <f t="shared" si="1"/>
        <v>0</v>
      </c>
      <c r="P5" s="340">
        <f t="shared" si="1"/>
        <v>0</v>
      </c>
      <c r="Q5" s="340">
        <f t="shared" si="1"/>
        <v>0</v>
      </c>
      <c r="R5" s="340">
        <f t="shared" si="1"/>
        <v>0</v>
      </c>
      <c r="S5" s="340">
        <f t="shared" si="1"/>
        <v>0</v>
      </c>
      <c r="T5" s="340">
        <f t="shared" si="1"/>
        <v>0</v>
      </c>
      <c r="U5" s="340">
        <f t="shared" si="1"/>
        <v>0</v>
      </c>
      <c r="V5" s="340">
        <f t="shared" si="1"/>
        <v>15777417</v>
      </c>
      <c r="W5" s="340">
        <f t="shared" si="1"/>
        <v>15995939</v>
      </c>
      <c r="X5" s="340">
        <f t="shared" si="1"/>
        <v>16286629</v>
      </c>
      <c r="Y5" s="340">
        <f t="shared" si="1"/>
        <v>16604596.5</v>
      </c>
      <c r="Z5" s="340">
        <f t="shared" si="1"/>
        <v>16880632</v>
      </c>
      <c r="AA5" s="340">
        <f t="shared" si="1"/>
        <v>17169461.5</v>
      </c>
      <c r="AB5" s="340">
        <f t="shared" si="1"/>
        <v>17465408</v>
      </c>
      <c r="AC5" s="340">
        <f t="shared" si="1"/>
        <v>17901044</v>
      </c>
      <c r="AD5" s="340">
        <f t="shared" si="1"/>
        <v>18271864</v>
      </c>
      <c r="AE5" s="340">
        <f t="shared" si="1"/>
        <v>18457474</v>
      </c>
      <c r="AF5" s="340">
        <f t="shared" si="1"/>
        <v>18610654</v>
      </c>
      <c r="AG5" s="340">
        <f t="shared" si="1"/>
        <v>18831940.75</v>
      </c>
      <c r="AH5" s="340">
        <f t="shared" si="1"/>
        <v>19102421.5</v>
      </c>
      <c r="AI5" s="340">
        <f t="shared" si="1"/>
        <v>19325913.75</v>
      </c>
      <c r="AJ5" s="340">
        <f t="shared" si="1"/>
        <v>19515068</v>
      </c>
      <c r="AK5" s="340">
        <f t="shared" si="1"/>
        <v>19733458</v>
      </c>
      <c r="AL5" s="340">
        <f t="shared" si="1"/>
        <v>19942280</v>
      </c>
      <c r="AM5" s="340">
        <f t="shared" si="1"/>
        <v>20151683</v>
      </c>
      <c r="AN5" s="340">
        <f t="shared" si="1"/>
        <v>20292107</v>
      </c>
      <c r="AO5" s="340">
        <f t="shared" si="1"/>
        <v>20162313.5</v>
      </c>
      <c r="AP5" s="340">
        <f t="shared" si="1"/>
        <v>20406556</v>
      </c>
      <c r="AQ5" s="340">
        <f t="shared" si="1"/>
        <v>20510986</v>
      </c>
      <c r="AR5" s="340">
        <f t="shared" si="1"/>
        <v>20612461</v>
      </c>
    </row>
    <row r="6" spans="1:44">
      <c r="A6" s="108" t="s">
        <v>244</v>
      </c>
      <c r="B6" s="341">
        <f t="shared" ref="B6:AR6" si="2">(B5/B4)*100</f>
        <v>29.973599765149629</v>
      </c>
      <c r="C6" s="341">
        <f t="shared" si="2"/>
        <v>30.460939385399559</v>
      </c>
      <c r="D6" s="341" t="str">
        <f>IF('Private Enrollment'!D6=0,"NA",'Public PreK-12 Enrollment'!D6+'Private Enrollment'!D6)</f>
        <v>NA</v>
      </c>
      <c r="E6" s="341" t="str">
        <f>IF('Private Enrollment'!E6=0,"NA",'Public PreK-12 Enrollment'!E6+'Private Enrollment'!E6)</f>
        <v>NA</v>
      </c>
      <c r="F6" s="341" t="str">
        <f>IF('Private Enrollment'!F6=0,"NA",'Public PreK-12 Enrollment'!F6+'Private Enrollment'!F6)</f>
        <v>NA</v>
      </c>
      <c r="G6" s="341" t="str">
        <f>IF('Private Enrollment'!G6=0,"NA",'Public PreK-12 Enrollment'!G6+'Private Enrollment'!G6)</f>
        <v>NA</v>
      </c>
      <c r="H6" s="341">
        <f t="shared" si="2"/>
        <v>31.071610910444004</v>
      </c>
      <c r="I6" s="341" t="e">
        <f t="shared" si="2"/>
        <v>#VALUE!</v>
      </c>
      <c r="J6" s="341" t="e">
        <f t="shared" si="2"/>
        <v>#VALUE!</v>
      </c>
      <c r="K6" s="341">
        <f t="shared" si="2"/>
        <v>32.649769632655413</v>
      </c>
      <c r="L6" s="341">
        <f t="shared" si="2"/>
        <v>32.939410091260726</v>
      </c>
      <c r="M6" s="341">
        <f t="shared" si="2"/>
        <v>33.252781525416346</v>
      </c>
      <c r="N6" s="341" t="e">
        <f t="shared" si="2"/>
        <v>#VALUE!</v>
      </c>
      <c r="O6" s="341" t="e">
        <f t="shared" si="2"/>
        <v>#VALUE!</v>
      </c>
      <c r="P6" s="341" t="e">
        <f t="shared" si="2"/>
        <v>#VALUE!</v>
      </c>
      <c r="Q6" s="341" t="e">
        <f t="shared" si="2"/>
        <v>#VALUE!</v>
      </c>
      <c r="R6" s="341" t="e">
        <f t="shared" si="2"/>
        <v>#VALUE!</v>
      </c>
      <c r="S6" s="341" t="e">
        <f t="shared" si="2"/>
        <v>#VALUE!</v>
      </c>
      <c r="T6" s="341" t="e">
        <f t="shared" si="2"/>
        <v>#VALUE!</v>
      </c>
      <c r="U6" s="341" t="e">
        <f t="shared" si="2"/>
        <v>#VALUE!</v>
      </c>
      <c r="V6" s="341">
        <f t="shared" si="2"/>
        <v>34.776957353450257</v>
      </c>
      <c r="W6" s="341">
        <f t="shared" si="2"/>
        <v>34.718082818309938</v>
      </c>
      <c r="X6" s="341">
        <f t="shared" si="2"/>
        <v>34.699380659364181</v>
      </c>
      <c r="Y6" s="341">
        <f t="shared" si="2"/>
        <v>34.820490661260337</v>
      </c>
      <c r="Z6" s="341">
        <f t="shared" si="2"/>
        <v>34.948563871730236</v>
      </c>
      <c r="AA6" s="341">
        <f t="shared" si="2"/>
        <v>35.006991882170396</v>
      </c>
      <c r="AB6" s="341">
        <f t="shared" si="2"/>
        <v>35.01998739390109</v>
      </c>
      <c r="AC6" s="341">
        <f t="shared" si="2"/>
        <v>35.031881947955718</v>
      </c>
      <c r="AD6" s="341">
        <f t="shared" si="2"/>
        <v>35.090162242700558</v>
      </c>
      <c r="AE6" s="341">
        <f t="shared" si="2"/>
        <v>35.143792244725667</v>
      </c>
      <c r="AF6" s="341">
        <f t="shared" si="2"/>
        <v>35.19716880216707</v>
      </c>
      <c r="AG6" s="341">
        <f t="shared" si="2"/>
        <v>35.283978061829082</v>
      </c>
      <c r="AH6" s="341">
        <f t="shared" si="2"/>
        <v>35.380417545095675</v>
      </c>
      <c r="AI6" s="341">
        <f t="shared" si="2"/>
        <v>35.530461694956472</v>
      </c>
      <c r="AJ6" s="341">
        <f t="shared" si="2"/>
        <v>35.716080205426678</v>
      </c>
      <c r="AK6" s="341">
        <f t="shared" si="2"/>
        <v>35.966180218039341</v>
      </c>
      <c r="AL6" s="341">
        <f t="shared" si="2"/>
        <v>36.155779727186697</v>
      </c>
      <c r="AM6" s="341">
        <f t="shared" si="2"/>
        <v>36.445561741700608</v>
      </c>
      <c r="AN6" s="341">
        <f t="shared" si="2"/>
        <v>36.759274054902434</v>
      </c>
      <c r="AO6" s="341">
        <f t="shared" si="2"/>
        <v>36.947125814579415</v>
      </c>
      <c r="AP6" s="341">
        <f t="shared" si="2"/>
        <v>37.204646709334469</v>
      </c>
      <c r="AQ6" s="341">
        <f t="shared" si="2"/>
        <v>37.386183591130667</v>
      </c>
      <c r="AR6" s="341">
        <f t="shared" si="2"/>
        <v>37.621010524977855</v>
      </c>
    </row>
    <row r="7" spans="1:44">
      <c r="A7" s="106" t="s">
        <v>85</v>
      </c>
      <c r="B7" s="342">
        <f>'Public PreK-12 Enrollment'!B14+'Private Enrollment'!B7</f>
        <v>865401</v>
      </c>
      <c r="C7" s="342">
        <f>'Public PreK-12 Enrollment'!C14+'Private Enrollment'!C7</f>
        <v>856570</v>
      </c>
      <c r="D7" s="342" t="str">
        <f>IF('Private Enrollment'!D7=0,"NA",'Public PreK-12 Enrollment'!D14+'Private Enrollment'!D7)</f>
        <v>NA</v>
      </c>
      <c r="E7" s="342" t="str">
        <f>IF('Private Enrollment'!E7=0,"NA",'Public PreK-12 Enrollment'!E14+'Private Enrollment'!E7)</f>
        <v>NA</v>
      </c>
      <c r="F7" s="342" t="str">
        <f>IF('Private Enrollment'!F7=0,"NA",'Public PreK-12 Enrollment'!F14+'Private Enrollment'!F7)</f>
        <v>NA</v>
      </c>
      <c r="G7" s="342" t="str">
        <f>IF('Private Enrollment'!G7=0,"NA",'Public PreK-12 Enrollment'!G14+'Private Enrollment'!G7)</f>
        <v>NA</v>
      </c>
      <c r="H7" s="342">
        <f>'Public PreK-12 Enrollment'!H14+'Private Enrollment'!H7</f>
        <v>808146</v>
      </c>
      <c r="I7" s="342" t="str">
        <f>IF('Private Enrollment'!I7=0,"NA",'Public PreK-12 Enrollment'!I14+'Private Enrollment'!I7)</f>
        <v>NA</v>
      </c>
      <c r="J7" s="342" t="str">
        <f>IF('Private Enrollment'!J7=0,"NA",'Public PreK-12 Enrollment'!J14+'Private Enrollment'!J7)</f>
        <v>NA</v>
      </c>
      <c r="K7" s="342">
        <f>'Public PreK-12 Enrollment'!K14+'Private Enrollment'!K7</f>
        <v>827773</v>
      </c>
      <c r="L7" s="342">
        <f>'Public PreK-12 Enrollment'!L14+'Private Enrollment'!L7</f>
        <v>818569</v>
      </c>
      <c r="M7" s="342">
        <f>'Public PreK-12 Enrollment'!M14+'Private Enrollment'!M7</f>
        <v>821390</v>
      </c>
      <c r="N7" s="342" t="str">
        <f>IF('Private Enrollment'!N7=0,"NA",'Public PreK-12 Enrollment'!N14+'Private Enrollment'!N7)</f>
        <v>NA</v>
      </c>
      <c r="O7" s="342" t="str">
        <f>IF('Private Enrollment'!O7=0,"NA",'Public PreK-12 Enrollment'!O14+'Private Enrollment'!O7)</f>
        <v>NA</v>
      </c>
      <c r="P7" s="342" t="str">
        <f>IF('Private Enrollment'!P7=0,"NA",'Public PreK-12 Enrollment'!P14+'Private Enrollment'!P7)</f>
        <v>NA</v>
      </c>
      <c r="Q7" s="342" t="str">
        <f>IF('Private Enrollment'!Q7=0,"NA",'Public PreK-12 Enrollment'!Q14+'Private Enrollment'!Q7)</f>
        <v>NA</v>
      </c>
      <c r="R7" s="342" t="str">
        <f>IF('Private Enrollment'!R7=0,"NA",'Public PreK-12 Enrollment'!R14+'Private Enrollment'!R7)</f>
        <v>NA</v>
      </c>
      <c r="S7" s="342" t="str">
        <f>IF('Private Enrollment'!S7=0,"NA",'Public PreK-12 Enrollment'!S14+'Private Enrollment'!S7)</f>
        <v>NA</v>
      </c>
      <c r="T7" s="342" t="str">
        <f>IF('Private Enrollment'!T7=0,"NA",'Public PreK-12 Enrollment'!T14+'Private Enrollment'!T7)</f>
        <v>NA</v>
      </c>
      <c r="U7" s="342" t="str">
        <f>IF('Private Enrollment'!U7=0,"NA",'Public PreK-12 Enrollment'!U14+'Private Enrollment'!U7)</f>
        <v>NA</v>
      </c>
      <c r="V7" s="342">
        <f>'Public PreK-12 Enrollment'!V14+'Private Enrollment'!V7</f>
        <v>776559</v>
      </c>
      <c r="W7" s="342">
        <f>'Public PreK-12 Enrollment'!W14+'Private Enrollment'!W7</f>
        <v>782934.5</v>
      </c>
      <c r="X7" s="342">
        <f>'Public PreK-12 Enrollment'!X14+'Private Enrollment'!X7</f>
        <v>791445</v>
      </c>
      <c r="Y7" s="342">
        <f>'Public PreK-12 Enrollment'!Y14+'Private Enrollment'!Y7</f>
        <v>802669.5</v>
      </c>
      <c r="Z7" s="342">
        <f>'Public PreK-12 Enrollment'!Z14+'Private Enrollment'!Z7</f>
        <v>806918</v>
      </c>
      <c r="AA7" s="342">
        <f>'Public PreK-12 Enrollment'!AA14+'Private Enrollment'!AA7</f>
        <v>806325</v>
      </c>
      <c r="AB7" s="342">
        <f>'Public PreK-12 Enrollment'!AB14+'Private Enrollment'!AB7</f>
        <v>813107</v>
      </c>
      <c r="AC7" s="342">
        <f>'Public PreK-12 Enrollment'!AC14+'Private Enrollment'!AC7</f>
        <v>822441</v>
      </c>
      <c r="AD7" s="342">
        <f>'Public PreK-12 Enrollment'!AD14+'Private Enrollment'!AD7</f>
        <v>831267</v>
      </c>
      <c r="AE7" s="342">
        <f>'Public PreK-12 Enrollment'!AE14+'Private Enrollment'!AE7</f>
        <v>829530</v>
      </c>
      <c r="AF7" s="342">
        <f>'Public PreK-12 Enrollment'!AF14+'Private Enrollment'!AF7</f>
        <v>821772</v>
      </c>
      <c r="AG7" s="342">
        <f>'Public PreK-12 Enrollment'!AG14+'Private Enrollment'!AG7</f>
        <v>826701.75</v>
      </c>
      <c r="AH7" s="342">
        <f>'Public PreK-12 Enrollment'!AH14+'Private Enrollment'!AH7</f>
        <v>829569.5</v>
      </c>
      <c r="AI7" s="342">
        <f>'Public PreK-12 Enrollment'!AI14+'Private Enrollment'!AI7</f>
        <v>835345.75</v>
      </c>
      <c r="AJ7" s="342">
        <f>'Public PreK-12 Enrollment'!AJ14+'Private Enrollment'!AJ7</f>
        <v>830800</v>
      </c>
      <c r="AK7" s="342">
        <f>'Public PreK-12 Enrollment'!AK14+'Private Enrollment'!AK7</f>
        <v>826070</v>
      </c>
      <c r="AL7" s="342">
        <f>'Public PreK-12 Enrollment'!AL14+'Private Enrollment'!AL7</f>
        <v>834041</v>
      </c>
      <c r="AM7" s="342">
        <f>'Public PreK-12 Enrollment'!AM14+'Private Enrollment'!AM7</f>
        <v>831692</v>
      </c>
      <c r="AN7" s="342">
        <f>'Public PreK-12 Enrollment'!AN14+'Private Enrollment'!AN7</f>
        <v>828705</v>
      </c>
      <c r="AO7" s="342">
        <f>'Public PreK-12 Enrollment'!AO14+'Private Enrollment'!AO7</f>
        <v>826763.5</v>
      </c>
      <c r="AP7" s="342">
        <f>'Public PreK-12 Enrollment'!AP14+'Private Enrollment'!AQ7</f>
        <v>844459</v>
      </c>
      <c r="AQ7" s="342">
        <f>'Public PreK-12 Enrollment'!AQ14+'Private Enrollment'!AR7</f>
        <v>843872</v>
      </c>
      <c r="AR7" s="342">
        <f>'Public PreK-12 Enrollment'!AR14+'Private Enrollment'!AS7</f>
        <v>825691</v>
      </c>
    </row>
    <row r="8" spans="1:44">
      <c r="A8" s="106" t="s">
        <v>86</v>
      </c>
      <c r="B8" s="342">
        <f>'Public PreK-12 Enrollment'!B15+'Private Enrollment'!B8</f>
        <v>464631</v>
      </c>
      <c r="C8" s="342">
        <f>'Public PreK-12 Enrollment'!C15+'Private Enrollment'!C8</f>
        <v>481571</v>
      </c>
      <c r="D8" s="342" t="str">
        <f>IF('Private Enrollment'!D8=0,"NA",'Public PreK-12 Enrollment'!D15+'Private Enrollment'!D8)</f>
        <v>NA</v>
      </c>
      <c r="E8" s="342" t="str">
        <f>IF('Private Enrollment'!E8=0,"NA",'Public PreK-12 Enrollment'!E15+'Private Enrollment'!E8)</f>
        <v>NA</v>
      </c>
      <c r="F8" s="342" t="str">
        <f>IF('Private Enrollment'!F8=0,"NA",'Public PreK-12 Enrollment'!F15+'Private Enrollment'!F8)</f>
        <v>NA</v>
      </c>
      <c r="G8" s="342" t="str">
        <f>IF('Private Enrollment'!G8=0,"NA",'Public PreK-12 Enrollment'!G15+'Private Enrollment'!G8)</f>
        <v>NA</v>
      </c>
      <c r="H8" s="342">
        <f>'Public PreK-12 Enrollment'!H15+'Private Enrollment'!H8</f>
        <v>467603</v>
      </c>
      <c r="I8" s="342" t="str">
        <f>IF('Private Enrollment'!I8=0,"NA",'Public PreK-12 Enrollment'!I15+'Private Enrollment'!I8)</f>
        <v>NA</v>
      </c>
      <c r="J8" s="342" t="str">
        <f>IF('Private Enrollment'!J8=0,"NA",'Public PreK-12 Enrollment'!J15+'Private Enrollment'!J8)</f>
        <v>NA</v>
      </c>
      <c r="K8" s="342">
        <f>'Public PreK-12 Enrollment'!K15+'Private Enrollment'!K8</f>
        <v>478352</v>
      </c>
      <c r="L8" s="342">
        <f>'Public PreK-12 Enrollment'!L15+'Private Enrollment'!L8</f>
        <v>473163.5</v>
      </c>
      <c r="M8" s="342">
        <f>'Public PreK-12 Enrollment'!M15+'Private Enrollment'!M8</f>
        <v>466123</v>
      </c>
      <c r="N8" s="342" t="str">
        <f>IF('Private Enrollment'!N8=0,"NA",'Public PreK-12 Enrollment'!N15+'Private Enrollment'!N8)</f>
        <v>NA</v>
      </c>
      <c r="O8" s="342" t="str">
        <f>IF('Private Enrollment'!O8=0,"NA",'Public PreK-12 Enrollment'!O15+'Private Enrollment'!O8)</f>
        <v>NA</v>
      </c>
      <c r="P8" s="342" t="str">
        <f>IF('Private Enrollment'!P8=0,"NA",'Public PreK-12 Enrollment'!P15+'Private Enrollment'!P8)</f>
        <v>NA</v>
      </c>
      <c r="Q8" s="342" t="str">
        <f>IF('Private Enrollment'!Q8=0,"NA",'Public PreK-12 Enrollment'!Q15+'Private Enrollment'!Q8)</f>
        <v>NA</v>
      </c>
      <c r="R8" s="342" t="str">
        <f>IF('Private Enrollment'!R8=0,"NA",'Public PreK-12 Enrollment'!R15+'Private Enrollment'!R8)</f>
        <v>NA</v>
      </c>
      <c r="S8" s="342" t="str">
        <f>IF('Private Enrollment'!S8=0,"NA",'Public PreK-12 Enrollment'!S15+'Private Enrollment'!S8)</f>
        <v>NA</v>
      </c>
      <c r="T8" s="342" t="str">
        <f>IF('Private Enrollment'!T8=0,"NA",'Public PreK-12 Enrollment'!T15+'Private Enrollment'!T8)</f>
        <v>NA</v>
      </c>
      <c r="U8" s="342" t="str">
        <f>IF('Private Enrollment'!U8=0,"NA",'Public PreK-12 Enrollment'!U15+'Private Enrollment'!U8)</f>
        <v>NA</v>
      </c>
      <c r="V8" s="342">
        <f>'Public PreK-12 Enrollment'!V15+'Private Enrollment'!V8</f>
        <v>454348</v>
      </c>
      <c r="W8" s="342">
        <f>'Public PreK-12 Enrollment'!W15+'Private Enrollment'!W8</f>
        <v>457376</v>
      </c>
      <c r="X8" s="342">
        <f>'Public PreK-12 Enrollment'!X15+'Private Enrollment'!X8</f>
        <v>461310</v>
      </c>
      <c r="Y8" s="342">
        <f>'Public PreK-12 Enrollment'!Y15+'Private Enrollment'!Y8</f>
        <v>467391.5</v>
      </c>
      <c r="Z8" s="342">
        <f>'Public PreK-12 Enrollment'!Z15+'Private Enrollment'!Z8</f>
        <v>473282</v>
      </c>
      <c r="AA8" s="342">
        <f>'Public PreK-12 Enrollment'!AA15+'Private Enrollment'!AA8</f>
        <v>475797.5</v>
      </c>
      <c r="AB8" s="342">
        <f>'Public PreK-12 Enrollment'!AB15+'Private Enrollment'!AB8</f>
        <v>480711</v>
      </c>
      <c r="AC8" s="342">
        <f>'Public PreK-12 Enrollment'!AC15+'Private Enrollment'!AC8</f>
        <v>486281</v>
      </c>
      <c r="AD8" s="342">
        <f>'Public PreK-12 Enrollment'!AD15+'Private Enrollment'!AD8</f>
        <v>486907</v>
      </c>
      <c r="AE8" s="342">
        <f>'Public PreK-12 Enrollment'!AE15+'Private Enrollment'!AE8</f>
        <v>482161</v>
      </c>
      <c r="AF8" s="342">
        <f>'Public PreK-12 Enrollment'!AF15+'Private Enrollment'!AF8</f>
        <v>480434</v>
      </c>
      <c r="AG8" s="342">
        <f>'Public PreK-12 Enrollment'!AG15+'Private Enrollment'!AG8</f>
        <v>480944</v>
      </c>
      <c r="AH8" s="342">
        <f>'Public PreK-12 Enrollment'!AH15+'Private Enrollment'!AH8</f>
        <v>482375</v>
      </c>
      <c r="AI8" s="342">
        <f>'Public PreK-12 Enrollment'!AI15+'Private Enrollment'!AI8</f>
        <v>482920</v>
      </c>
      <c r="AJ8" s="342">
        <f>'Public PreK-12 Enrollment'!AJ15+'Private Enrollment'!AJ8</f>
        <v>485823</v>
      </c>
      <c r="AK8" s="342">
        <f>'Public PreK-12 Enrollment'!AK15+'Private Enrollment'!AK8</f>
        <v>496460</v>
      </c>
      <c r="AL8" s="342">
        <f>'Public PreK-12 Enrollment'!AL15+'Private Enrollment'!AL8</f>
        <v>509596</v>
      </c>
      <c r="AM8" s="342">
        <f>'Public PreK-12 Enrollment'!AM15+'Private Enrollment'!AM8</f>
        <v>514164</v>
      </c>
      <c r="AN8" s="342">
        <f>'Public PreK-12 Enrollment'!AN15+'Private Enrollment'!AN8</f>
        <v>519136</v>
      </c>
      <c r="AO8" s="342">
        <f>'Public PreK-12 Enrollment'!AO15+'Private Enrollment'!AO8</f>
        <v>510969.5</v>
      </c>
      <c r="AP8" s="342">
        <f>'Public PreK-12 Enrollment'!AP15+'Private Enrollment'!AQ8</f>
        <v>509459</v>
      </c>
      <c r="AQ8" s="342">
        <f>'Public PreK-12 Enrollment'!AQ15+'Private Enrollment'!AR8</f>
        <v>511529</v>
      </c>
      <c r="AR8" s="342">
        <f>'Public PreK-12 Enrollment'!AR15+'Private Enrollment'!AS8</f>
        <v>513044</v>
      </c>
    </row>
    <row r="9" spans="1:44">
      <c r="A9" s="106" t="s">
        <v>106</v>
      </c>
      <c r="B9" s="342">
        <f>'Public PreK-12 Enrollment'!B16+'Private Enrollment'!B9</f>
        <v>129757</v>
      </c>
      <c r="C9" s="342">
        <f>'Public PreK-12 Enrollment'!C16+'Private Enrollment'!C9</f>
        <v>151270</v>
      </c>
      <c r="D9" s="342" t="str">
        <f>IF('Private Enrollment'!D9=0,"NA",'Public PreK-12 Enrollment'!D16+'Private Enrollment'!D9)</f>
        <v>NA</v>
      </c>
      <c r="E9" s="342" t="str">
        <f>IF('Private Enrollment'!E9=0,"NA",'Public PreK-12 Enrollment'!E16+'Private Enrollment'!E9)</f>
        <v>NA</v>
      </c>
      <c r="F9" s="342" t="str">
        <f>IF('Private Enrollment'!F9=0,"NA",'Public PreK-12 Enrollment'!F16+'Private Enrollment'!F9)</f>
        <v>NA</v>
      </c>
      <c r="G9" s="342" t="str">
        <f>IF('Private Enrollment'!G9=0,"NA",'Public PreK-12 Enrollment'!G16+'Private Enrollment'!G9)</f>
        <v>NA</v>
      </c>
      <c r="H9" s="342">
        <f>'Public PreK-12 Enrollment'!H16+'Private Enrollment'!H9</f>
        <v>144176</v>
      </c>
      <c r="I9" s="342" t="str">
        <f>IF('Private Enrollment'!I9=0,"NA",'Public PreK-12 Enrollment'!I16+'Private Enrollment'!I9)</f>
        <v>NA</v>
      </c>
      <c r="J9" s="342" t="str">
        <f>IF('Private Enrollment'!J9=0,"NA",'Public PreK-12 Enrollment'!J16+'Private Enrollment'!J9)</f>
        <v>NA</v>
      </c>
      <c r="K9" s="342">
        <f>'Public PreK-12 Enrollment'!K16+'Private Enrollment'!K9</f>
        <v>133230</v>
      </c>
      <c r="L9" s="342">
        <f>'Public PreK-12 Enrollment'!L16+'Private Enrollment'!L9</f>
        <v>126820</v>
      </c>
      <c r="M9" s="342">
        <f>'Public PreK-12 Enrollment'!M16+'Private Enrollment'!M9</f>
        <v>122777</v>
      </c>
      <c r="N9" s="342" t="str">
        <f>IF('Private Enrollment'!N9=0,"NA",'Public PreK-12 Enrollment'!N16+'Private Enrollment'!N9)</f>
        <v>NA</v>
      </c>
      <c r="O9" s="342" t="str">
        <f>IF('Private Enrollment'!O9=0,"NA",'Public PreK-12 Enrollment'!O16+'Private Enrollment'!O9)</f>
        <v>NA</v>
      </c>
      <c r="P9" s="342" t="str">
        <f>IF('Private Enrollment'!P9=0,"NA",'Public PreK-12 Enrollment'!P16+'Private Enrollment'!P9)</f>
        <v>NA</v>
      </c>
      <c r="Q9" s="342" t="str">
        <f>IF('Private Enrollment'!Q9=0,"NA",'Public PreK-12 Enrollment'!Q16+'Private Enrollment'!Q9)</f>
        <v>NA</v>
      </c>
      <c r="R9" s="342" t="str">
        <f>IF('Private Enrollment'!R9=0,"NA",'Public PreK-12 Enrollment'!R16+'Private Enrollment'!R9)</f>
        <v>NA</v>
      </c>
      <c r="S9" s="342" t="str">
        <f>IF('Private Enrollment'!S9=0,"NA",'Public PreK-12 Enrollment'!S16+'Private Enrollment'!S9)</f>
        <v>NA</v>
      </c>
      <c r="T9" s="342" t="str">
        <f>IF('Private Enrollment'!T9=0,"NA",'Public PreK-12 Enrollment'!T16+'Private Enrollment'!T9)</f>
        <v>NA</v>
      </c>
      <c r="U9" s="342" t="str">
        <f>IF('Private Enrollment'!U9=0,"NA",'Public PreK-12 Enrollment'!U16+'Private Enrollment'!U9)</f>
        <v>NA</v>
      </c>
      <c r="V9" s="342">
        <f>'Public PreK-12 Enrollment'!V16+'Private Enrollment'!V9</f>
        <v>119761</v>
      </c>
      <c r="W9" s="342">
        <f>'Public PreK-12 Enrollment'!W16+'Private Enrollment'!W9</f>
        <v>122036</v>
      </c>
      <c r="X9" s="342">
        <f>'Public PreK-12 Enrollment'!X16+'Private Enrollment'!X9</f>
        <v>124999</v>
      </c>
      <c r="Y9" s="342">
        <f>'Public PreK-12 Enrollment'!Y16+'Private Enrollment'!Y9</f>
        <v>126876.5</v>
      </c>
      <c r="Z9" s="342">
        <f>'Public PreK-12 Enrollment'!Z16+'Private Enrollment'!Z9</f>
        <v>127855</v>
      </c>
      <c r="AA9" s="342">
        <f>'Public PreK-12 Enrollment'!AA16+'Private Enrollment'!AA9</f>
        <v>130731</v>
      </c>
      <c r="AB9" s="342">
        <f>'Public PreK-12 Enrollment'!AB16+'Private Enrollment'!AB9</f>
        <v>133989</v>
      </c>
      <c r="AC9" s="342">
        <f>'Public PreK-12 Enrollment'!AC16+'Private Enrollment'!AC9</f>
        <v>141678</v>
      </c>
      <c r="AD9" s="342">
        <f>'Public PreK-12 Enrollment'!AD16+'Private Enrollment'!AD9</f>
        <v>148690</v>
      </c>
      <c r="AE9" s="342">
        <f>'Public PreK-12 Enrollment'!AE16+'Private Enrollment'!AE9</f>
        <v>145097</v>
      </c>
      <c r="AF9" s="342">
        <f>'Public PreK-12 Enrollment'!AF16+'Private Enrollment'!AF9</f>
        <v>139776</v>
      </c>
      <c r="AG9" s="342">
        <f>'Public PreK-12 Enrollment'!AG16+'Private Enrollment'!AG9</f>
        <v>143991</v>
      </c>
      <c r="AH9" s="342">
        <f>'Public PreK-12 Enrollment'!AH16+'Private Enrollment'!AH9</f>
        <v>147245</v>
      </c>
      <c r="AI9" s="342">
        <f>'Public PreK-12 Enrollment'!AI16+'Private Enrollment'!AI9</f>
        <v>148697</v>
      </c>
      <c r="AJ9" s="342">
        <f>'Public PreK-12 Enrollment'!AJ16+'Private Enrollment'!AJ9</f>
        <v>150688</v>
      </c>
      <c r="AK9" s="342">
        <f>'Public PreK-12 Enrollment'!AK16+'Private Enrollment'!AK9</f>
        <v>145541</v>
      </c>
      <c r="AL9" s="342">
        <f>'Public PreK-12 Enrollment'!AL16+'Private Enrollment'!AL9</f>
        <v>140817</v>
      </c>
      <c r="AM9" s="342">
        <f>'Public PreK-12 Enrollment'!AM16+'Private Enrollment'!AM9</f>
        <v>148454</v>
      </c>
      <c r="AN9" s="342">
        <f>'Public PreK-12 Enrollment'!AN16+'Private Enrollment'!AN9</f>
        <v>155094</v>
      </c>
      <c r="AO9" s="342">
        <f>'Public PreK-12 Enrollment'!AO16+'Private Enrollment'!AO9</f>
        <v>153069</v>
      </c>
      <c r="AP9" s="342">
        <f>'Public PreK-12 Enrollment'!AP16+'Private Enrollment'!AQ9</f>
        <v>153441</v>
      </c>
      <c r="AQ9" s="342">
        <f>'Public PreK-12 Enrollment'!AQ16+'Private Enrollment'!AR9</f>
        <v>155268</v>
      </c>
      <c r="AR9" s="342">
        <f>'Public PreK-12 Enrollment'!AR16+'Private Enrollment'!AS9</f>
        <v>154036</v>
      </c>
    </row>
    <row r="10" spans="1:44">
      <c r="A10" s="106" t="s">
        <v>87</v>
      </c>
      <c r="B10" s="342">
        <f>'Public PreK-12 Enrollment'!B17+'Private Enrollment'!B10</f>
        <v>1320581</v>
      </c>
      <c r="C10" s="342">
        <f>'Public PreK-12 Enrollment'!C17+'Private Enrollment'!C10</f>
        <v>1574947</v>
      </c>
      <c r="D10" s="342" t="str">
        <f>IF('Private Enrollment'!D10=0,"NA",'Public PreK-12 Enrollment'!D17+'Private Enrollment'!D10)</f>
        <v>NA</v>
      </c>
      <c r="E10" s="342" t="str">
        <f>IF('Private Enrollment'!E10=0,"NA",'Public PreK-12 Enrollment'!E17+'Private Enrollment'!E10)</f>
        <v>NA</v>
      </c>
      <c r="F10" s="342" t="str">
        <f>IF('Private Enrollment'!F10=0,"NA",'Public PreK-12 Enrollment'!F17+'Private Enrollment'!F10)</f>
        <v>NA</v>
      </c>
      <c r="G10" s="342" t="str">
        <f>IF('Private Enrollment'!G10=0,"NA",'Public PreK-12 Enrollment'!G17+'Private Enrollment'!G10)</f>
        <v>NA</v>
      </c>
      <c r="H10" s="342">
        <f>'Public PreK-12 Enrollment'!H17+'Private Enrollment'!H10</f>
        <v>1652273</v>
      </c>
      <c r="I10" s="342" t="str">
        <f>IF('Private Enrollment'!I10=0,"NA",'Public PreK-12 Enrollment'!I17+'Private Enrollment'!I10)</f>
        <v>NA</v>
      </c>
      <c r="J10" s="342" t="str">
        <f>IF('Private Enrollment'!J10=0,"NA",'Public PreK-12 Enrollment'!J17+'Private Enrollment'!J10)</f>
        <v>NA</v>
      </c>
      <c r="K10" s="342">
        <f>'Public PreK-12 Enrollment'!K17+'Private Enrollment'!K10</f>
        <v>1720118</v>
      </c>
      <c r="L10" s="342">
        <f>'Public PreK-12 Enrollment'!L17+'Private Enrollment'!L10</f>
        <v>1713980.5</v>
      </c>
      <c r="M10" s="342">
        <f>'Public PreK-12 Enrollment'!M17+'Private Enrollment'!M10</f>
        <v>1715213</v>
      </c>
      <c r="N10" s="342" t="str">
        <f>IF('Private Enrollment'!N10=0,"NA",'Public PreK-12 Enrollment'!N17+'Private Enrollment'!N10)</f>
        <v>NA</v>
      </c>
      <c r="O10" s="342" t="str">
        <f>IF('Private Enrollment'!O10=0,"NA",'Public PreK-12 Enrollment'!O17+'Private Enrollment'!O10)</f>
        <v>NA</v>
      </c>
      <c r="P10" s="342" t="str">
        <f>IF('Private Enrollment'!P10=0,"NA",'Public PreK-12 Enrollment'!P17+'Private Enrollment'!P10)</f>
        <v>NA</v>
      </c>
      <c r="Q10" s="342" t="str">
        <f>IF('Private Enrollment'!Q10=0,"NA",'Public PreK-12 Enrollment'!Q17+'Private Enrollment'!Q10)</f>
        <v>NA</v>
      </c>
      <c r="R10" s="342" t="str">
        <f>IF('Private Enrollment'!R10=0,"NA",'Public PreK-12 Enrollment'!R17+'Private Enrollment'!R10)</f>
        <v>NA</v>
      </c>
      <c r="S10" s="342" t="str">
        <f>IF('Private Enrollment'!S10=0,"NA",'Public PreK-12 Enrollment'!S17+'Private Enrollment'!S10)</f>
        <v>NA</v>
      </c>
      <c r="T10" s="342" t="str">
        <f>IF('Private Enrollment'!T10=0,"NA",'Public PreK-12 Enrollment'!T17+'Private Enrollment'!T10)</f>
        <v>NA</v>
      </c>
      <c r="U10" s="342" t="str">
        <f>IF('Private Enrollment'!U10=0,"NA",'Public PreK-12 Enrollment'!U17+'Private Enrollment'!U10)</f>
        <v>NA</v>
      </c>
      <c r="V10" s="342">
        <f>'Public PreK-12 Enrollment'!V17+'Private Enrollment'!V10</f>
        <v>2008886</v>
      </c>
      <c r="W10" s="342">
        <f>'Public PreK-12 Enrollment'!W17+'Private Enrollment'!W10</f>
        <v>2073872.5</v>
      </c>
      <c r="X10" s="342">
        <f>'Public PreK-12 Enrollment'!X17+'Private Enrollment'!X10</f>
        <v>2137731</v>
      </c>
      <c r="Y10" s="342">
        <f>'Public PreK-12 Enrollment'!Y17+'Private Enrollment'!Y10</f>
        <v>2201078.5</v>
      </c>
      <c r="Z10" s="342">
        <f>'Public PreK-12 Enrollment'!Z17+'Private Enrollment'!Z10</f>
        <v>2274506</v>
      </c>
      <c r="AA10" s="342">
        <f>'Public PreK-12 Enrollment'!AA17+'Private Enrollment'!AA10</f>
        <v>2354975</v>
      </c>
      <c r="AB10" s="342">
        <f>'Public PreK-12 Enrollment'!AB17+'Private Enrollment'!AB10</f>
        <v>2430053</v>
      </c>
      <c r="AC10" s="342">
        <f>'Public PreK-12 Enrollment'!AC17+'Private Enrollment'!AC10</f>
        <v>2534012.5</v>
      </c>
      <c r="AD10" s="342">
        <f>'Public PreK-12 Enrollment'!AD17+'Private Enrollment'!AD10</f>
        <v>2623847</v>
      </c>
      <c r="AE10" s="342">
        <f>'Public PreK-12 Enrollment'!AE17+'Private Enrollment'!AE10</f>
        <v>2677108</v>
      </c>
      <c r="AF10" s="342">
        <f>'Public PreK-12 Enrollment'!AF17+'Private Enrollment'!AF10</f>
        <v>2730576</v>
      </c>
      <c r="AG10" s="342">
        <f>'Public PreK-12 Enrollment'!AG17+'Private Enrollment'!AG10</f>
        <v>2792356</v>
      </c>
      <c r="AH10" s="342">
        <f>'Public PreK-12 Enrollment'!AH17+'Private Enrollment'!AH10</f>
        <v>2866368</v>
      </c>
      <c r="AI10" s="342">
        <f>'Public PreK-12 Enrollment'!AI17+'Private Enrollment'!AI10</f>
        <v>2922234</v>
      </c>
      <c r="AJ10" s="342">
        <f>'Public PreK-12 Enrollment'!AJ17+'Private Enrollment'!AJ10</f>
        <v>2986348</v>
      </c>
      <c r="AK10" s="342">
        <f>'Public PreK-12 Enrollment'!AK17+'Private Enrollment'!AK10</f>
        <v>3037091</v>
      </c>
      <c r="AL10" s="342">
        <f>'Public PreK-12 Enrollment'!AL17+'Private Enrollment'!AL10</f>
        <v>3071814</v>
      </c>
      <c r="AM10" s="342">
        <f>'Public PreK-12 Enrollment'!AM17+'Private Enrollment'!AM10</f>
        <v>3065738</v>
      </c>
      <c r="AN10" s="342">
        <f>'Public PreK-12 Enrollment'!AN17+'Private Enrollment'!AN10</f>
        <v>3058471</v>
      </c>
      <c r="AO10" s="342">
        <f>'Public PreK-12 Enrollment'!AO17+'Private Enrollment'!AO10</f>
        <v>2970694.5</v>
      </c>
      <c r="AP10" s="342">
        <f>'Public PreK-12 Enrollment'!AP17+'Private Enrollment'!AQ10</f>
        <v>2978512</v>
      </c>
      <c r="AQ10" s="342">
        <f>'Public PreK-12 Enrollment'!AQ17+'Private Enrollment'!AR10</f>
        <v>2985822</v>
      </c>
      <c r="AR10" s="342">
        <f>'Public PreK-12 Enrollment'!AR17+'Private Enrollment'!AS10</f>
        <v>3009116</v>
      </c>
    </row>
    <row r="11" spans="1:44">
      <c r="A11" s="106" t="s">
        <v>88</v>
      </c>
      <c r="B11" s="342">
        <f>'Public PreK-12 Enrollment'!B18+'Private Enrollment'!B11</f>
        <v>1084586</v>
      </c>
      <c r="C11" s="342">
        <f>'Public PreK-12 Enrollment'!C18+'Private Enrollment'!C11</f>
        <v>1155978</v>
      </c>
      <c r="D11" s="342" t="str">
        <f>IF('Private Enrollment'!D11=0,"NA",'Public PreK-12 Enrollment'!D18+'Private Enrollment'!D11)</f>
        <v>NA</v>
      </c>
      <c r="E11" s="342" t="str">
        <f>IF('Private Enrollment'!E11=0,"NA",'Public PreK-12 Enrollment'!E18+'Private Enrollment'!E11)</f>
        <v>NA</v>
      </c>
      <c r="F11" s="342" t="str">
        <f>IF('Private Enrollment'!F11=0,"NA",'Public PreK-12 Enrollment'!F18+'Private Enrollment'!F11)</f>
        <v>NA</v>
      </c>
      <c r="G11" s="342" t="str">
        <f>IF('Private Enrollment'!G11=0,"NA",'Public PreK-12 Enrollment'!G18+'Private Enrollment'!G11)</f>
        <v>NA</v>
      </c>
      <c r="H11" s="342">
        <f>'Public PreK-12 Enrollment'!H18+'Private Enrollment'!H11</f>
        <v>1119792</v>
      </c>
      <c r="I11" s="342" t="str">
        <f>IF('Private Enrollment'!I11=0,"NA",'Public PreK-12 Enrollment'!I18+'Private Enrollment'!I11)</f>
        <v>NA</v>
      </c>
      <c r="J11" s="342" t="str">
        <f>IF('Private Enrollment'!J11=0,"NA",'Public PreK-12 Enrollment'!J18+'Private Enrollment'!J11)</f>
        <v>NA</v>
      </c>
      <c r="K11" s="342">
        <f>'Public PreK-12 Enrollment'!K18+'Private Enrollment'!K11</f>
        <v>1177175</v>
      </c>
      <c r="L11" s="342">
        <f>'Public PreK-12 Enrollment'!L18+'Private Enrollment'!L11</f>
        <v>1161674</v>
      </c>
      <c r="M11" s="342">
        <f>'Public PreK-12 Enrollment'!M18+'Private Enrollment'!M11</f>
        <v>1151242</v>
      </c>
      <c r="N11" s="342" t="str">
        <f>IF('Private Enrollment'!N11=0,"NA",'Public PreK-12 Enrollment'!N18+'Private Enrollment'!N11)</f>
        <v>NA</v>
      </c>
      <c r="O11" s="342" t="str">
        <f>IF('Private Enrollment'!O11=0,"NA",'Public PreK-12 Enrollment'!O18+'Private Enrollment'!O11)</f>
        <v>NA</v>
      </c>
      <c r="P11" s="342" t="str">
        <f>IF('Private Enrollment'!P11=0,"NA",'Public PreK-12 Enrollment'!P18+'Private Enrollment'!P11)</f>
        <v>NA</v>
      </c>
      <c r="Q11" s="342" t="str">
        <f>IF('Private Enrollment'!Q11=0,"NA",'Public PreK-12 Enrollment'!Q18+'Private Enrollment'!Q11)</f>
        <v>NA</v>
      </c>
      <c r="R11" s="342" t="str">
        <f>IF('Private Enrollment'!R11=0,"NA",'Public PreK-12 Enrollment'!R18+'Private Enrollment'!R11)</f>
        <v>NA</v>
      </c>
      <c r="S11" s="342" t="str">
        <f>IF('Private Enrollment'!S11=0,"NA",'Public PreK-12 Enrollment'!S18+'Private Enrollment'!S11)</f>
        <v>NA</v>
      </c>
      <c r="T11" s="342" t="str">
        <f>IF('Private Enrollment'!T11=0,"NA",'Public PreK-12 Enrollment'!T18+'Private Enrollment'!T11)</f>
        <v>NA</v>
      </c>
      <c r="U11" s="342" t="str">
        <f>IF('Private Enrollment'!U11=0,"NA",'Public PreK-12 Enrollment'!U18+'Private Enrollment'!U11)</f>
        <v>NA</v>
      </c>
      <c r="V11" s="342">
        <f>'Public PreK-12 Enrollment'!V18+'Private Enrollment'!V11</f>
        <v>1211330</v>
      </c>
      <c r="W11" s="342">
        <f>'Public PreK-12 Enrollment'!W18+'Private Enrollment'!W11</f>
        <v>1242426</v>
      </c>
      <c r="X11" s="342">
        <f>'Public PreK-12 Enrollment'!X18+'Private Enrollment'!X11</f>
        <v>1274252</v>
      </c>
      <c r="Y11" s="342">
        <f>'Public PreK-12 Enrollment'!Y18+'Private Enrollment'!Y11</f>
        <v>1304390.5</v>
      </c>
      <c r="Z11" s="342">
        <f>'Public PreK-12 Enrollment'!Z18+'Private Enrollment'!Z11</f>
        <v>1333030</v>
      </c>
      <c r="AA11" s="342">
        <f>'Public PreK-12 Enrollment'!AA18+'Private Enrollment'!AA11</f>
        <v>1368714.5</v>
      </c>
      <c r="AB11" s="342">
        <f>'Public PreK-12 Enrollment'!AB18+'Private Enrollment'!AB11</f>
        <v>1408933</v>
      </c>
      <c r="AC11" s="342">
        <f>'Public PreK-12 Enrollment'!AC18+'Private Enrollment'!AC11</f>
        <v>1458924.5</v>
      </c>
      <c r="AD11" s="342">
        <f>'Public PreK-12 Enrollment'!AD18+'Private Enrollment'!AD11</f>
        <v>1502500</v>
      </c>
      <c r="AE11" s="342">
        <f>'Public PreK-12 Enrollment'!AE18+'Private Enrollment'!AE11</f>
        <v>1533261</v>
      </c>
      <c r="AF11" s="342">
        <f>'Public PreK-12 Enrollment'!AF18+'Private Enrollment'!AF11</f>
        <v>1560182</v>
      </c>
      <c r="AG11" s="342">
        <f>'Public PreK-12 Enrollment'!AG18+'Private Enrollment'!AG11</f>
        <v>1582177</v>
      </c>
      <c r="AH11" s="342">
        <f>'Public PreK-12 Enrollment'!AH18+'Private Enrollment'!AH11</f>
        <v>1607694</v>
      </c>
      <c r="AI11" s="342">
        <f>'Public PreK-12 Enrollment'!AI18+'Private Enrollment'!AI11</f>
        <v>1636967</v>
      </c>
      <c r="AJ11" s="342">
        <f>'Public PreK-12 Enrollment'!AJ18+'Private Enrollment'!AJ11</f>
        <v>1667461</v>
      </c>
      <c r="AK11" s="342">
        <f>'Public PreK-12 Enrollment'!AK18+'Private Enrollment'!AK11</f>
        <v>1702162</v>
      </c>
      <c r="AL11" s="342">
        <f>'Public PreK-12 Enrollment'!AL18+'Private Enrollment'!AL11</f>
        <v>1751061</v>
      </c>
      <c r="AM11" s="342">
        <f>'Public PreK-12 Enrollment'!AM18+'Private Enrollment'!AM11</f>
        <v>1784172</v>
      </c>
      <c r="AN11" s="342">
        <f>'Public PreK-12 Enrollment'!AN18+'Private Enrollment'!AN11</f>
        <v>1807019</v>
      </c>
      <c r="AO11" s="342">
        <f>'Public PreK-12 Enrollment'!AO18+'Private Enrollment'!AO11</f>
        <v>1799638.5</v>
      </c>
      <c r="AP11" s="342">
        <f>'Public PreK-12 Enrollment'!AP18+'Private Enrollment'!AQ11</f>
        <v>1817985</v>
      </c>
      <c r="AQ11" s="342">
        <f>'Public PreK-12 Enrollment'!AQ18+'Private Enrollment'!AR11</f>
        <v>1821257</v>
      </c>
      <c r="AR11" s="342">
        <f>'Public PreK-12 Enrollment'!AR18+'Private Enrollment'!AS11</f>
        <v>1823096</v>
      </c>
    </row>
    <row r="12" spans="1:44">
      <c r="A12" s="106" t="s">
        <v>89</v>
      </c>
      <c r="B12" s="342">
        <f>'Public PreK-12 Enrollment'!B19+'Private Enrollment'!B12</f>
        <v>765846</v>
      </c>
      <c r="C12" s="342">
        <f>'Public PreK-12 Enrollment'!C19+'Private Enrollment'!C12</f>
        <v>793665</v>
      </c>
      <c r="D12" s="342" t="str">
        <f>IF('Private Enrollment'!D12=0,"NA",'Public PreK-12 Enrollment'!D19+'Private Enrollment'!D12)</f>
        <v>NA</v>
      </c>
      <c r="E12" s="342" t="str">
        <f>IF('Private Enrollment'!E12=0,"NA",'Public PreK-12 Enrollment'!E19+'Private Enrollment'!E12)</f>
        <v>NA</v>
      </c>
      <c r="F12" s="342" t="str">
        <f>IF('Private Enrollment'!F12=0,"NA",'Public PreK-12 Enrollment'!F19+'Private Enrollment'!F12)</f>
        <v>NA</v>
      </c>
      <c r="G12" s="342" t="str">
        <f>IF('Private Enrollment'!G12=0,"NA",'Public PreK-12 Enrollment'!G19+'Private Enrollment'!G12)</f>
        <v>NA</v>
      </c>
      <c r="H12" s="342">
        <f>'Public PreK-12 Enrollment'!H19+'Private Enrollment'!H12</f>
        <v>748012</v>
      </c>
      <c r="I12" s="342" t="str">
        <f>IF('Private Enrollment'!I12=0,"NA",'Public PreK-12 Enrollment'!I19+'Private Enrollment'!I12)</f>
        <v>NA</v>
      </c>
      <c r="J12" s="342" t="str">
        <f>IF('Private Enrollment'!J12=0,"NA",'Public PreK-12 Enrollment'!J19+'Private Enrollment'!J12)</f>
        <v>NA</v>
      </c>
      <c r="K12" s="342">
        <f>'Public PreK-12 Enrollment'!K19+'Private Enrollment'!K12</f>
        <v>763971</v>
      </c>
      <c r="L12" s="342">
        <f>'Public PreK-12 Enrollment'!L19+'Private Enrollment'!L12</f>
        <v>747473</v>
      </c>
      <c r="M12" s="342">
        <f>'Public PreK-12 Enrollment'!M19+'Private Enrollment'!M12</f>
        <v>739526</v>
      </c>
      <c r="N12" s="342" t="str">
        <f>IF('Private Enrollment'!N12=0,"NA",'Public PreK-12 Enrollment'!N19+'Private Enrollment'!N12)</f>
        <v>NA</v>
      </c>
      <c r="O12" s="342" t="str">
        <f>IF('Private Enrollment'!O12=0,"NA",'Public PreK-12 Enrollment'!O19+'Private Enrollment'!O12)</f>
        <v>NA</v>
      </c>
      <c r="P12" s="342" t="str">
        <f>IF('Private Enrollment'!P12=0,"NA",'Public PreK-12 Enrollment'!P19+'Private Enrollment'!P12)</f>
        <v>NA</v>
      </c>
      <c r="Q12" s="342" t="str">
        <f>IF('Private Enrollment'!Q12=0,"NA",'Public PreK-12 Enrollment'!Q19+'Private Enrollment'!Q12)</f>
        <v>NA</v>
      </c>
      <c r="R12" s="342" t="str">
        <f>IF('Private Enrollment'!R12=0,"NA",'Public PreK-12 Enrollment'!R19+'Private Enrollment'!R12)</f>
        <v>NA</v>
      </c>
      <c r="S12" s="342" t="str">
        <f>IF('Private Enrollment'!S12=0,"NA",'Public PreK-12 Enrollment'!S19+'Private Enrollment'!S12)</f>
        <v>NA</v>
      </c>
      <c r="T12" s="342" t="str">
        <f>IF('Private Enrollment'!T12=0,"NA",'Public PreK-12 Enrollment'!T19+'Private Enrollment'!T12)</f>
        <v>NA</v>
      </c>
      <c r="U12" s="342" t="str">
        <f>IF('Private Enrollment'!U12=0,"NA",'Public PreK-12 Enrollment'!U19+'Private Enrollment'!U12)</f>
        <v>NA</v>
      </c>
      <c r="V12" s="342">
        <f>'Public PreK-12 Enrollment'!V19+'Private Enrollment'!V12</f>
        <v>699228</v>
      </c>
      <c r="W12" s="342">
        <f>'Public PreK-12 Enrollment'!W19+'Private Enrollment'!W12</f>
        <v>703666</v>
      </c>
      <c r="X12" s="342">
        <f>'Public PreK-12 Enrollment'!X19+'Private Enrollment'!X12</f>
        <v>712014</v>
      </c>
      <c r="Y12" s="342">
        <f>'Public PreK-12 Enrollment'!Y19+'Private Enrollment'!Y12</f>
        <v>717065</v>
      </c>
      <c r="Z12" s="342">
        <f>'Public PreK-12 Enrollment'!Z19+'Private Enrollment'!Z12</f>
        <v>713323</v>
      </c>
      <c r="AA12" s="342">
        <f>'Public PreK-12 Enrollment'!AA19+'Private Enrollment'!AA12</f>
        <v>720261.5</v>
      </c>
      <c r="AB12" s="342">
        <f>'Public PreK-12 Enrollment'!AB19+'Private Enrollment'!AB12</f>
        <v>727002</v>
      </c>
      <c r="AC12" s="342">
        <f>'Public PreK-12 Enrollment'!AC19+'Private Enrollment'!AC12</f>
        <v>730564.5</v>
      </c>
      <c r="AD12" s="342">
        <f>'Public PreK-12 Enrollment'!AD19+'Private Enrollment'!AD12</f>
        <v>751092</v>
      </c>
      <c r="AE12" s="342">
        <f>'Public PreK-12 Enrollment'!AE19+'Private Enrollment'!AE12</f>
        <v>741222</v>
      </c>
      <c r="AF12" s="342">
        <f>'Public PreK-12 Enrollment'!AF19+'Private Enrollment'!AF12</f>
        <v>737480</v>
      </c>
      <c r="AG12" s="342">
        <f>'Public PreK-12 Enrollment'!AG19+'Private Enrollment'!AG12</f>
        <v>753115</v>
      </c>
      <c r="AH12" s="342">
        <f>'Public PreK-12 Enrollment'!AH19+'Private Enrollment'!AH12</f>
        <v>739593</v>
      </c>
      <c r="AI12" s="342">
        <f>'Public PreK-12 Enrollment'!AI19+'Private Enrollment'!AI12</f>
        <v>744447</v>
      </c>
      <c r="AJ12" s="342">
        <f>'Public PreK-12 Enrollment'!AJ19+'Private Enrollment'!AJ12</f>
        <v>745469</v>
      </c>
      <c r="AK12" s="342">
        <f>'Public PreK-12 Enrollment'!AK19+'Private Enrollment'!AK12</f>
        <v>740286</v>
      </c>
      <c r="AL12" s="342">
        <f>'Public PreK-12 Enrollment'!AL19+'Private Enrollment'!AL12</f>
        <v>728758</v>
      </c>
      <c r="AM12" s="342">
        <f>'Public PreK-12 Enrollment'!AM19+'Private Enrollment'!AM12</f>
        <v>745662</v>
      </c>
      <c r="AN12" s="342">
        <f>'Public PreK-12 Enrollment'!AN19+'Private Enrollment'!AN12</f>
        <v>742365</v>
      </c>
      <c r="AO12" s="342">
        <f>'Public PreK-12 Enrollment'!AO19+'Private Enrollment'!AO12</f>
        <v>738792</v>
      </c>
      <c r="AP12" s="342">
        <f>'Public PreK-12 Enrollment'!AP19+'Private Enrollment'!AQ12</f>
        <v>750679</v>
      </c>
      <c r="AQ12" s="342">
        <f>'Public PreK-12 Enrollment'!AQ19+'Private Enrollment'!AR12</f>
        <v>743128</v>
      </c>
      <c r="AR12" s="342">
        <f>'Public PreK-12 Enrollment'!AR19+'Private Enrollment'!AS12</f>
        <v>751397</v>
      </c>
    </row>
    <row r="13" spans="1:44">
      <c r="A13" s="106" t="s">
        <v>90</v>
      </c>
      <c r="B13" s="342">
        <f>'Public PreK-12 Enrollment'!B20+'Private Enrollment'!B13</f>
        <v>962992</v>
      </c>
      <c r="C13" s="342">
        <f>'Public PreK-12 Enrollment'!C20+'Private Enrollment'!C13</f>
        <v>989843</v>
      </c>
      <c r="D13" s="342" t="str">
        <f>IF('Private Enrollment'!D13=0,"NA",'Public PreK-12 Enrollment'!D20+'Private Enrollment'!D13)</f>
        <v>NA</v>
      </c>
      <c r="E13" s="342" t="str">
        <f>IF('Private Enrollment'!E13=0,"NA",'Public PreK-12 Enrollment'!E20+'Private Enrollment'!E13)</f>
        <v>NA</v>
      </c>
      <c r="F13" s="342" t="str">
        <f>IF('Private Enrollment'!F13=0,"NA",'Public PreK-12 Enrollment'!F20+'Private Enrollment'!F13)</f>
        <v>NA</v>
      </c>
      <c r="G13" s="342" t="str">
        <f>IF('Private Enrollment'!G13=0,"NA",'Public PreK-12 Enrollment'!G20+'Private Enrollment'!G13)</f>
        <v>NA</v>
      </c>
      <c r="H13" s="342">
        <f>'Public PreK-12 Enrollment'!H20+'Private Enrollment'!H13</f>
        <v>973902</v>
      </c>
      <c r="I13" s="342" t="str">
        <f>IF('Private Enrollment'!I13=0,"NA",'Public PreK-12 Enrollment'!I20+'Private Enrollment'!I13)</f>
        <v>NA</v>
      </c>
      <c r="J13" s="342" t="str">
        <f>IF('Private Enrollment'!J13=0,"NA",'Public PreK-12 Enrollment'!J20+'Private Enrollment'!J13)</f>
        <v>NA</v>
      </c>
      <c r="K13" s="342">
        <f>'Public PreK-12 Enrollment'!K20+'Private Enrollment'!K13</f>
        <v>975968</v>
      </c>
      <c r="L13" s="342">
        <f>'Public PreK-12 Enrollment'!L20+'Private Enrollment'!L13</f>
        <v>959545</v>
      </c>
      <c r="M13" s="342">
        <f>'Public PreK-12 Enrollment'!M20+'Private Enrollment'!M13</f>
        <v>936481</v>
      </c>
      <c r="N13" s="342" t="str">
        <f>IF('Private Enrollment'!N13=0,"NA",'Public PreK-12 Enrollment'!N20+'Private Enrollment'!N13)</f>
        <v>NA</v>
      </c>
      <c r="O13" s="342" t="str">
        <f>IF('Private Enrollment'!O13=0,"NA",'Public PreK-12 Enrollment'!O20+'Private Enrollment'!O13)</f>
        <v>NA</v>
      </c>
      <c r="P13" s="342" t="str">
        <f>IF('Private Enrollment'!P13=0,"NA",'Public PreK-12 Enrollment'!P20+'Private Enrollment'!P13)</f>
        <v>NA</v>
      </c>
      <c r="Q13" s="342" t="str">
        <f>IF('Private Enrollment'!Q13=0,"NA",'Public PreK-12 Enrollment'!Q20+'Private Enrollment'!Q13)</f>
        <v>NA</v>
      </c>
      <c r="R13" s="342" t="str">
        <f>IF('Private Enrollment'!R13=0,"NA",'Public PreK-12 Enrollment'!R20+'Private Enrollment'!R13)</f>
        <v>NA</v>
      </c>
      <c r="S13" s="342" t="str">
        <f>IF('Private Enrollment'!S13=0,"NA",'Public PreK-12 Enrollment'!S20+'Private Enrollment'!S13)</f>
        <v>NA</v>
      </c>
      <c r="T13" s="342" t="str">
        <f>IF('Private Enrollment'!T13=0,"NA",'Public PreK-12 Enrollment'!T20+'Private Enrollment'!T13)</f>
        <v>NA</v>
      </c>
      <c r="U13" s="342" t="str">
        <f>IF('Private Enrollment'!U13=0,"NA",'Public PreK-12 Enrollment'!U20+'Private Enrollment'!U13)</f>
        <v>NA</v>
      </c>
      <c r="V13" s="342">
        <f>'Public PreK-12 Enrollment'!V20+'Private Enrollment'!V13</f>
        <v>919490</v>
      </c>
      <c r="W13" s="342">
        <f>'Public PreK-12 Enrollment'!W20+'Private Enrollment'!W13</f>
        <v>922613.5</v>
      </c>
      <c r="X13" s="342">
        <f>'Public PreK-12 Enrollment'!X20+'Private Enrollment'!X13</f>
        <v>933376</v>
      </c>
      <c r="Y13" s="342">
        <f>'Public PreK-12 Enrollment'!Y20+'Private Enrollment'!Y13</f>
        <v>940365</v>
      </c>
      <c r="Z13" s="342">
        <f>'Public PreK-12 Enrollment'!Z20+'Private Enrollment'!Z13</f>
        <v>946072</v>
      </c>
      <c r="AA13" s="342">
        <f>'Public PreK-12 Enrollment'!AA20+'Private Enrollment'!AA13</f>
        <v>944262.5</v>
      </c>
      <c r="AB13" s="342">
        <f>'Public PreK-12 Enrollment'!AB20+'Private Enrollment'!AB13</f>
        <v>944513</v>
      </c>
      <c r="AC13" s="342">
        <f>'Public PreK-12 Enrollment'!AC20+'Private Enrollment'!AC13</f>
        <v>943724.5</v>
      </c>
      <c r="AD13" s="342">
        <f>'Public PreK-12 Enrollment'!AD20+'Private Enrollment'!AD13</f>
        <v>930523</v>
      </c>
      <c r="AE13" s="342">
        <f>'Public PreK-12 Enrollment'!AE20+'Private Enrollment'!AE13</f>
        <v>919599</v>
      </c>
      <c r="AF13" s="342">
        <f>'Public PreK-12 Enrollment'!AF20+'Private Enrollment'!AF13</f>
        <v>904599</v>
      </c>
      <c r="AG13" s="342">
        <f>'Public PreK-12 Enrollment'!AG20+'Private Enrollment'!AG13</f>
        <v>897054</v>
      </c>
      <c r="AH13" s="342">
        <f>'Public PreK-12 Enrollment'!AH20+'Private Enrollment'!AH13</f>
        <v>891238</v>
      </c>
      <c r="AI13" s="342">
        <f>'Public PreK-12 Enrollment'!AI20+'Private Enrollment'!AI13</f>
        <v>888309</v>
      </c>
      <c r="AJ13" s="342">
        <f>'Public PreK-12 Enrollment'!AJ20+'Private Enrollment'!AJ13</f>
        <v>883489</v>
      </c>
      <c r="AK13" s="342">
        <f>'Public PreK-12 Enrollment'!AK20+'Private Enrollment'!AK13</f>
        <v>871306</v>
      </c>
      <c r="AL13" s="342">
        <f>'Public PreK-12 Enrollment'!AL20+'Private Enrollment'!AL13</f>
        <v>792796</v>
      </c>
      <c r="AM13" s="342">
        <f>'Public PreK-12 Enrollment'!AM20+'Private Enrollment'!AM13</f>
        <v>813716</v>
      </c>
      <c r="AN13" s="342">
        <f>'Public PreK-12 Enrollment'!AN20+'Private Enrollment'!AN13</f>
        <v>818498</v>
      </c>
      <c r="AO13" s="342">
        <f>'Public PreK-12 Enrollment'!AO20+'Private Enrollment'!AO13</f>
        <v>819536</v>
      </c>
      <c r="AP13" s="342">
        <f>'Public PreK-12 Enrollment'!AP20+'Private Enrollment'!AQ13</f>
        <v>837955</v>
      </c>
      <c r="AQ13" s="342">
        <f>'Public PreK-12 Enrollment'!AQ20+'Private Enrollment'!AR13</f>
        <v>832938</v>
      </c>
      <c r="AR13" s="342">
        <f>'Public PreK-12 Enrollment'!AR20+'Private Enrollment'!AS13</f>
        <v>829110</v>
      </c>
    </row>
    <row r="14" spans="1:44">
      <c r="A14" s="106" t="s">
        <v>91</v>
      </c>
      <c r="B14" s="342">
        <f>'Public PreK-12 Enrollment'!B21+'Private Enrollment'!B14</f>
        <v>915047</v>
      </c>
      <c r="C14" s="342">
        <f>'Public PreK-12 Enrollment'!C21+'Private Enrollment'!C14</f>
        <v>1045423</v>
      </c>
      <c r="D14" s="342" t="str">
        <f>IF('Private Enrollment'!D14=0,"NA",'Public PreK-12 Enrollment'!D21+'Private Enrollment'!D14)</f>
        <v>NA</v>
      </c>
      <c r="E14" s="342" t="str">
        <f>IF('Private Enrollment'!E14=0,"NA",'Public PreK-12 Enrollment'!E21+'Private Enrollment'!E14)</f>
        <v>NA</v>
      </c>
      <c r="F14" s="342" t="str">
        <f>IF('Private Enrollment'!F14=0,"NA",'Public PreK-12 Enrollment'!F21+'Private Enrollment'!F14)</f>
        <v>NA</v>
      </c>
      <c r="G14" s="342" t="str">
        <f>IF('Private Enrollment'!G14=0,"NA",'Public PreK-12 Enrollment'!G21+'Private Enrollment'!G14)</f>
        <v>NA</v>
      </c>
      <c r="H14" s="342">
        <f>'Public PreK-12 Enrollment'!H21+'Private Enrollment'!H14</f>
        <v>985227</v>
      </c>
      <c r="I14" s="342" t="str">
        <f>IF('Private Enrollment'!I14=0,"NA",'Public PreK-12 Enrollment'!I21+'Private Enrollment'!I14)</f>
        <v>NA</v>
      </c>
      <c r="J14" s="342" t="str">
        <f>IF('Private Enrollment'!J14=0,"NA",'Public PreK-12 Enrollment'!J21+'Private Enrollment'!J14)</f>
        <v>NA</v>
      </c>
      <c r="K14" s="342">
        <f>'Public PreK-12 Enrollment'!K21+'Private Enrollment'!K14</f>
        <v>920262</v>
      </c>
      <c r="L14" s="342">
        <f>'Public PreK-12 Enrollment'!L21+'Private Enrollment'!L14</f>
        <v>886113</v>
      </c>
      <c r="M14" s="342">
        <f>'Public PreK-12 Enrollment'!M21+'Private Enrollment'!M14</f>
        <v>857112</v>
      </c>
      <c r="N14" s="342" t="str">
        <f>IF('Private Enrollment'!N14=0,"NA",'Public PreK-12 Enrollment'!N21+'Private Enrollment'!N14)</f>
        <v>NA</v>
      </c>
      <c r="O14" s="342" t="str">
        <f>IF('Private Enrollment'!O14=0,"NA",'Public PreK-12 Enrollment'!O21+'Private Enrollment'!O14)</f>
        <v>NA</v>
      </c>
      <c r="P14" s="342" t="str">
        <f>IF('Private Enrollment'!P14=0,"NA",'Public PreK-12 Enrollment'!P21+'Private Enrollment'!P14)</f>
        <v>NA</v>
      </c>
      <c r="Q14" s="342" t="str">
        <f>IF('Private Enrollment'!Q14=0,"NA",'Public PreK-12 Enrollment'!Q21+'Private Enrollment'!Q14)</f>
        <v>NA</v>
      </c>
      <c r="R14" s="342" t="str">
        <f>IF('Private Enrollment'!R14=0,"NA",'Public PreK-12 Enrollment'!R21+'Private Enrollment'!R14)</f>
        <v>NA</v>
      </c>
      <c r="S14" s="342" t="str">
        <f>IF('Private Enrollment'!S14=0,"NA",'Public PreK-12 Enrollment'!S21+'Private Enrollment'!S14)</f>
        <v>NA</v>
      </c>
      <c r="T14" s="342" t="str">
        <f>IF('Private Enrollment'!T14=0,"NA",'Public PreK-12 Enrollment'!T21+'Private Enrollment'!T14)</f>
        <v>NA</v>
      </c>
      <c r="U14" s="342" t="str">
        <f>IF('Private Enrollment'!U14=0,"NA",'Public PreK-12 Enrollment'!U21+'Private Enrollment'!U14)</f>
        <v>NA</v>
      </c>
      <c r="V14" s="342">
        <f>'Public PreK-12 Enrollment'!V21+'Private Enrollment'!V14</f>
        <v>818270</v>
      </c>
      <c r="W14" s="342">
        <f>'Public PreK-12 Enrollment'!W21+'Private Enrollment'!W14</f>
        <v>831795</v>
      </c>
      <c r="X14" s="342">
        <f>'Public PreK-12 Enrollment'!X21+'Private Enrollment'!X14</f>
        <v>850012</v>
      </c>
      <c r="Y14" s="342">
        <f>'Public PreK-12 Enrollment'!Y21+'Private Enrollment'!Y14</f>
        <v>864977.5</v>
      </c>
      <c r="Z14" s="342">
        <f>'Public PreK-12 Enrollment'!Z21+'Private Enrollment'!Z14</f>
        <v>885119</v>
      </c>
      <c r="AA14" s="342">
        <f>'Public PreK-12 Enrollment'!AA21+'Private Enrollment'!AA14</f>
        <v>909724.5</v>
      </c>
      <c r="AB14" s="342">
        <f>'Public PreK-12 Enrollment'!AB21+'Private Enrollment'!AB14</f>
        <v>930636</v>
      </c>
      <c r="AC14" s="342">
        <f>'Public PreK-12 Enrollment'!AC21+'Private Enrollment'!AC14</f>
        <v>958589</v>
      </c>
      <c r="AD14" s="342">
        <f>'Public PreK-12 Enrollment'!AD21+'Private Enrollment'!AD14</f>
        <v>985664</v>
      </c>
      <c r="AE14" s="342">
        <f>'Public PreK-12 Enrollment'!AE21+'Private Enrollment'!AE14</f>
        <v>1002416</v>
      </c>
      <c r="AF14" s="342">
        <f>'Public PreK-12 Enrollment'!AF21+'Private Enrollment'!AF14</f>
        <v>1013152</v>
      </c>
      <c r="AG14" s="342">
        <f>'Public PreK-12 Enrollment'!AG21+'Private Enrollment'!AG14</f>
        <v>1024075</v>
      </c>
      <c r="AH14" s="342">
        <f>'Public PreK-12 Enrollment'!AH21+'Private Enrollment'!AH14</f>
        <v>1036380</v>
      </c>
      <c r="AI14" s="342">
        <f>'Public PreK-12 Enrollment'!AI21+'Private Enrollment'!AI14</f>
        <v>1040793</v>
      </c>
      <c r="AJ14" s="342">
        <f>'Public PreK-12 Enrollment'!AJ21+'Private Enrollment'!AJ14</f>
        <v>1041473</v>
      </c>
      <c r="AK14" s="342">
        <f>'Public PreK-12 Enrollment'!AK21+'Private Enrollment'!AK14</f>
        <v>1036916</v>
      </c>
      <c r="AL14" s="342">
        <f>'Public PreK-12 Enrollment'!AL21+'Private Enrollment'!AL14</f>
        <v>1030370</v>
      </c>
      <c r="AM14" s="342">
        <f>'Public PreK-12 Enrollment'!AM21+'Private Enrollment'!AM14</f>
        <v>1019695</v>
      </c>
      <c r="AN14" s="342">
        <f>'Public PreK-12 Enrollment'!AN21+'Private Enrollment'!AN14</f>
        <v>1011460</v>
      </c>
      <c r="AO14" s="342">
        <f>'Public PreK-12 Enrollment'!AO21+'Private Enrollment'!AO14</f>
        <v>989948.5</v>
      </c>
      <c r="AP14" s="342">
        <f>'Public PreK-12 Enrollment'!AP21+'Private Enrollment'!AQ14</f>
        <v>994102</v>
      </c>
      <c r="AQ14" s="342">
        <f>'Public PreK-12 Enrollment'!AQ21+'Private Enrollment'!AR14</f>
        <v>993781</v>
      </c>
      <c r="AR14" s="342">
        <f>'Public PreK-12 Enrollment'!AR21+'Private Enrollment'!AS14</f>
        <v>991536</v>
      </c>
    </row>
    <row r="15" spans="1:44">
      <c r="A15" s="106" t="s">
        <v>92</v>
      </c>
      <c r="B15" s="342">
        <f>'Public PreK-12 Enrollment'!B22+'Private Enrollment'!B15</f>
        <v>605629</v>
      </c>
      <c r="C15" s="342">
        <f>'Public PreK-12 Enrollment'!C22+'Private Enrollment'!C15</f>
        <v>576941</v>
      </c>
      <c r="D15" s="342" t="str">
        <f>IF('Private Enrollment'!D15=0,"NA",'Public PreK-12 Enrollment'!D22+'Private Enrollment'!D15)</f>
        <v>NA</v>
      </c>
      <c r="E15" s="342" t="str">
        <f>IF('Private Enrollment'!E15=0,"NA",'Public PreK-12 Enrollment'!E22+'Private Enrollment'!E15)</f>
        <v>NA</v>
      </c>
      <c r="F15" s="342" t="str">
        <f>IF('Private Enrollment'!F15=0,"NA",'Public PreK-12 Enrollment'!F22+'Private Enrollment'!F15)</f>
        <v>NA</v>
      </c>
      <c r="G15" s="342" t="str">
        <f>IF('Private Enrollment'!G15=0,"NA",'Public PreK-12 Enrollment'!G22+'Private Enrollment'!G15)</f>
        <v>NA</v>
      </c>
      <c r="H15" s="342">
        <f>'Public PreK-12 Enrollment'!H22+'Private Enrollment'!H15</f>
        <v>573507</v>
      </c>
      <c r="I15" s="342" t="str">
        <f>IF('Private Enrollment'!I15=0,"NA",'Public PreK-12 Enrollment'!I22+'Private Enrollment'!I15)</f>
        <v>NA</v>
      </c>
      <c r="J15" s="342" t="str">
        <f>IF('Private Enrollment'!J15=0,"NA",'Public PreK-12 Enrollment'!J22+'Private Enrollment'!J15)</f>
        <v>NA</v>
      </c>
      <c r="K15" s="342">
        <f>'Public PreK-12 Enrollment'!K22+'Private Enrollment'!K15</f>
        <v>544873</v>
      </c>
      <c r="L15" s="342">
        <f>'Public PreK-12 Enrollment'!L22+'Private Enrollment'!L15</f>
        <v>532678.5</v>
      </c>
      <c r="M15" s="342">
        <f>'Public PreK-12 Enrollment'!M22+'Private Enrollment'!M15</f>
        <v>527175</v>
      </c>
      <c r="N15" s="342" t="str">
        <f>IF('Private Enrollment'!N15=0,"NA",'Public PreK-12 Enrollment'!N22+'Private Enrollment'!N15)</f>
        <v>NA</v>
      </c>
      <c r="O15" s="342" t="str">
        <f>IF('Private Enrollment'!O15=0,"NA",'Public PreK-12 Enrollment'!O22+'Private Enrollment'!O15)</f>
        <v>NA</v>
      </c>
      <c r="P15" s="342" t="str">
        <f>IF('Private Enrollment'!P15=0,"NA",'Public PreK-12 Enrollment'!P22+'Private Enrollment'!P15)</f>
        <v>NA</v>
      </c>
      <c r="Q15" s="342" t="str">
        <f>IF('Private Enrollment'!Q15=0,"NA",'Public PreK-12 Enrollment'!Q22+'Private Enrollment'!Q15)</f>
        <v>NA</v>
      </c>
      <c r="R15" s="342" t="str">
        <f>IF('Private Enrollment'!R15=0,"NA",'Public PreK-12 Enrollment'!R22+'Private Enrollment'!R15)</f>
        <v>NA</v>
      </c>
      <c r="S15" s="342" t="str">
        <f>IF('Private Enrollment'!S15=0,"NA",'Public PreK-12 Enrollment'!S22+'Private Enrollment'!S15)</f>
        <v>NA</v>
      </c>
      <c r="T15" s="342" t="str">
        <f>IF('Private Enrollment'!T15=0,"NA",'Public PreK-12 Enrollment'!T22+'Private Enrollment'!T15)</f>
        <v>NA</v>
      </c>
      <c r="U15" s="342" t="str">
        <f>IF('Private Enrollment'!U15=0,"NA",'Public PreK-12 Enrollment'!U22+'Private Enrollment'!U15)</f>
        <v>NA</v>
      </c>
      <c r="V15" s="342">
        <f>'Public PreK-12 Enrollment'!V22+'Private Enrollment'!V15</f>
        <v>557057</v>
      </c>
      <c r="W15" s="342">
        <f>'Public PreK-12 Enrollment'!W22+'Private Enrollment'!W15</f>
        <v>559314</v>
      </c>
      <c r="X15" s="342">
        <f>'Public PreK-12 Enrollment'!X22+'Private Enrollment'!X15</f>
        <v>562884</v>
      </c>
      <c r="Y15" s="342">
        <f>'Public PreK-12 Enrollment'!Y22+'Private Enrollment'!Y15</f>
        <v>565374</v>
      </c>
      <c r="Z15" s="342">
        <f>'Public PreK-12 Enrollment'!Z22+'Private Enrollment'!Z15</f>
        <v>564562</v>
      </c>
      <c r="AA15" s="342">
        <f>'Public PreK-12 Enrollment'!AA22+'Private Enrollment'!AA15</f>
        <v>560372.5</v>
      </c>
      <c r="AB15" s="342">
        <f>'Public PreK-12 Enrollment'!AB22+'Private Enrollment'!AB15</f>
        <v>556438</v>
      </c>
      <c r="AC15" s="342">
        <f>'Public PreK-12 Enrollment'!AC22+'Private Enrollment'!AC15</f>
        <v>557625</v>
      </c>
      <c r="AD15" s="342">
        <f>'Public PreK-12 Enrollment'!AD22+'Private Enrollment'!AD15</f>
        <v>561942</v>
      </c>
      <c r="AE15" s="342">
        <f>'Public PreK-12 Enrollment'!AE22+'Private Enrollment'!AE15</f>
        <v>564554</v>
      </c>
      <c r="AF15" s="342">
        <f>'Public PreK-12 Enrollment'!AF22+'Private Enrollment'!AF15</f>
        <v>567916</v>
      </c>
      <c r="AG15" s="342">
        <f>'Public PreK-12 Enrollment'!AG22+'Private Enrollment'!AG15</f>
        <v>565161</v>
      </c>
      <c r="AH15" s="342">
        <f>'Public PreK-12 Enrollment'!AH22+'Private Enrollment'!AH15</f>
        <v>560887</v>
      </c>
      <c r="AI15" s="342">
        <f>'Public PreK-12 Enrollment'!AI22+'Private Enrollment'!AI15</f>
        <v>554890</v>
      </c>
      <c r="AJ15" s="342">
        <f>'Public PreK-12 Enrollment'!AJ22+'Private Enrollment'!AJ15</f>
        <v>550650</v>
      </c>
      <c r="AK15" s="342">
        <f>'Public PreK-12 Enrollment'!AK22+'Private Enrollment'!AK15</f>
        <v>552896</v>
      </c>
      <c r="AL15" s="342">
        <f>'Public PreK-12 Enrollment'!AL22+'Private Enrollment'!AL15</f>
        <v>552884</v>
      </c>
      <c r="AM15" s="342">
        <f>'Public PreK-12 Enrollment'!AM22+'Private Enrollment'!AM15</f>
        <v>551626</v>
      </c>
      <c r="AN15" s="342">
        <f>'Public PreK-12 Enrollment'!AN22+'Private Enrollment'!AN15</f>
        <v>549392</v>
      </c>
      <c r="AO15" s="342">
        <f>'Public PreK-12 Enrollment'!AO22+'Private Enrollment'!AO15</f>
        <v>543277.5</v>
      </c>
      <c r="AP15" s="342">
        <f>'Public PreK-12 Enrollment'!AP22+'Private Enrollment'!AQ15</f>
        <v>547131</v>
      </c>
      <c r="AQ15" s="342">
        <f>'Public PreK-12 Enrollment'!AQ22+'Private Enrollment'!AR15</f>
        <v>543881</v>
      </c>
      <c r="AR15" s="342">
        <f>'Public PreK-12 Enrollment'!AR22+'Private Enrollment'!AS15</f>
        <v>542679</v>
      </c>
    </row>
    <row r="16" spans="1:44">
      <c r="A16" s="106" t="s">
        <v>93</v>
      </c>
      <c r="B16" s="342">
        <f>'Public PreK-12 Enrollment'!B23+'Private Enrollment'!B16</f>
        <v>1203658</v>
      </c>
      <c r="C16" s="342">
        <f>'Public PreK-12 Enrollment'!C23+'Private Enrollment'!C16</f>
        <v>1242708</v>
      </c>
      <c r="D16" s="342" t="str">
        <f>IF('Private Enrollment'!D16=0,"NA",'Public PreK-12 Enrollment'!D23+'Private Enrollment'!D16)</f>
        <v>NA</v>
      </c>
      <c r="E16" s="342" t="str">
        <f>IF('Private Enrollment'!E16=0,"NA",'Public PreK-12 Enrollment'!E23+'Private Enrollment'!E16)</f>
        <v>NA</v>
      </c>
      <c r="F16" s="342" t="str">
        <f>IF('Private Enrollment'!F16=0,"NA",'Public PreK-12 Enrollment'!F23+'Private Enrollment'!F16)</f>
        <v>NA</v>
      </c>
      <c r="G16" s="342" t="str">
        <f>IF('Private Enrollment'!G16=0,"NA",'Public PreK-12 Enrollment'!G23+'Private Enrollment'!G16)</f>
        <v>NA</v>
      </c>
      <c r="H16" s="342">
        <f>'Public PreK-12 Enrollment'!H23+'Private Enrollment'!H16</f>
        <v>1210496</v>
      </c>
      <c r="I16" s="342" t="str">
        <f>IF('Private Enrollment'!I16=0,"NA",'Public PreK-12 Enrollment'!I23+'Private Enrollment'!I16)</f>
        <v>NA</v>
      </c>
      <c r="J16" s="342" t="str">
        <f>IF('Private Enrollment'!J16=0,"NA",'Public PreK-12 Enrollment'!J23+'Private Enrollment'!J16)</f>
        <v>NA</v>
      </c>
      <c r="K16" s="342">
        <f>'Public PreK-12 Enrollment'!K23+'Private Enrollment'!K16</f>
        <v>1222816</v>
      </c>
      <c r="L16" s="342">
        <f>'Public PreK-12 Enrollment'!L23+'Private Enrollment'!L16</f>
        <v>1209095</v>
      </c>
      <c r="M16" s="342">
        <f>'Public PreK-12 Enrollment'!M23+'Private Enrollment'!M16</f>
        <v>1187454</v>
      </c>
      <c r="N16" s="342" t="str">
        <f>IF('Private Enrollment'!N16=0,"NA",'Public PreK-12 Enrollment'!N23+'Private Enrollment'!N16)</f>
        <v>NA</v>
      </c>
      <c r="O16" s="342" t="str">
        <f>IF('Private Enrollment'!O16=0,"NA",'Public PreK-12 Enrollment'!O23+'Private Enrollment'!O16)</f>
        <v>NA</v>
      </c>
      <c r="P16" s="342" t="str">
        <f>IF('Private Enrollment'!P16=0,"NA",'Public PreK-12 Enrollment'!P23+'Private Enrollment'!P16)</f>
        <v>NA</v>
      </c>
      <c r="Q16" s="342" t="str">
        <f>IF('Private Enrollment'!Q16=0,"NA",'Public PreK-12 Enrollment'!Q23+'Private Enrollment'!Q16)</f>
        <v>NA</v>
      </c>
      <c r="R16" s="342" t="str">
        <f>IF('Private Enrollment'!R16=0,"NA",'Public PreK-12 Enrollment'!R23+'Private Enrollment'!R16)</f>
        <v>NA</v>
      </c>
      <c r="S16" s="342" t="str">
        <f>IF('Private Enrollment'!S16=0,"NA",'Public PreK-12 Enrollment'!S23+'Private Enrollment'!S16)</f>
        <v>NA</v>
      </c>
      <c r="T16" s="342" t="str">
        <f>IF('Private Enrollment'!T16=0,"NA",'Public PreK-12 Enrollment'!T23+'Private Enrollment'!T16)</f>
        <v>NA</v>
      </c>
      <c r="U16" s="342" t="str">
        <f>IF('Private Enrollment'!U16=0,"NA",'Public PreK-12 Enrollment'!U23+'Private Enrollment'!U16)</f>
        <v>NA</v>
      </c>
      <c r="V16" s="342">
        <f>'Public PreK-12 Enrollment'!V23+'Private Enrollment'!V16</f>
        <v>1129094</v>
      </c>
      <c r="W16" s="342">
        <f>'Public PreK-12 Enrollment'!W23+'Private Enrollment'!W16</f>
        <v>1142673.5</v>
      </c>
      <c r="X16" s="342">
        <f>'Public PreK-12 Enrollment'!X23+'Private Enrollment'!X16</f>
        <v>1160853</v>
      </c>
      <c r="Y16" s="342">
        <f>'Public PreK-12 Enrollment'!Y23+'Private Enrollment'!Y16</f>
        <v>1180210.5</v>
      </c>
      <c r="Z16" s="342">
        <f>'Public PreK-12 Enrollment'!Z23+'Private Enrollment'!Z16</f>
        <v>1202231</v>
      </c>
      <c r="AA16" s="342">
        <f>'Public PreK-12 Enrollment'!AA23+'Private Enrollment'!AA16</f>
        <v>1231985.5</v>
      </c>
      <c r="AB16" s="342">
        <f>'Public PreK-12 Enrollment'!AB23+'Private Enrollment'!AB16</f>
        <v>1264527</v>
      </c>
      <c r="AC16" s="342">
        <f>'Public PreK-12 Enrollment'!AC23+'Private Enrollment'!AC16</f>
        <v>1303551.5</v>
      </c>
      <c r="AD16" s="342">
        <f>'Public PreK-12 Enrollment'!AD23+'Private Enrollment'!AD16</f>
        <v>1341533</v>
      </c>
      <c r="AE16" s="342">
        <f>'Public PreK-12 Enrollment'!AE23+'Private Enrollment'!AE16</f>
        <v>1359731</v>
      </c>
      <c r="AF16" s="342">
        <f>'Public PreK-12 Enrollment'!AF23+'Private Enrollment'!AF16</f>
        <v>1380295</v>
      </c>
      <c r="AG16" s="342">
        <f>'Public PreK-12 Enrollment'!AG23+'Private Enrollment'!AG16</f>
        <v>1404073</v>
      </c>
      <c r="AH16" s="342">
        <f>'Public PreK-12 Enrollment'!AH23+'Private Enrollment'!AH16</f>
        <v>1431863</v>
      </c>
      <c r="AI16" s="342">
        <f>'Public PreK-12 Enrollment'!AI23+'Private Enrollment'!AI16</f>
        <v>1457319</v>
      </c>
      <c r="AJ16" s="342">
        <f>'Public PreK-12 Enrollment'!AJ23+'Private Enrollment'!AJ16</f>
        <v>1486439</v>
      </c>
      <c r="AK16" s="342">
        <f>'Public PreK-12 Enrollment'!AK23+'Private Enrollment'!AK16</f>
        <v>1507509</v>
      </c>
      <c r="AL16" s="342">
        <f>'Public PreK-12 Enrollment'!AL23+'Private Enrollment'!AL16</f>
        <v>1533716</v>
      </c>
      <c r="AM16" s="342">
        <f>'Public PreK-12 Enrollment'!AM23+'Private Enrollment'!AM16</f>
        <v>1563951</v>
      </c>
      <c r="AN16" s="342">
        <f>'Public PreK-12 Enrollment'!AN23+'Private Enrollment'!AN16</f>
        <v>1611152</v>
      </c>
      <c r="AO16" s="342">
        <f>'Public PreK-12 Enrollment'!AO23+'Private Enrollment'!AO16</f>
        <v>1598766</v>
      </c>
      <c r="AP16" s="342">
        <f>'Public PreK-12 Enrollment'!AP23+'Private Enrollment'!AQ16</f>
        <v>1594137</v>
      </c>
      <c r="AQ16" s="342">
        <f>'Public PreK-12 Enrollment'!AQ23+'Private Enrollment'!AR16</f>
        <v>1605510</v>
      </c>
      <c r="AR16" s="342">
        <f>'Public PreK-12 Enrollment'!AR23+'Private Enrollment'!AS16</f>
        <v>1626934</v>
      </c>
    </row>
    <row r="17" spans="1:44">
      <c r="A17" s="106" t="s">
        <v>94</v>
      </c>
      <c r="B17" s="342">
        <f>'Public PreK-12 Enrollment'!B24+'Private Enrollment'!B17</f>
        <v>606806</v>
      </c>
      <c r="C17" s="342">
        <f>'Public PreK-12 Enrollment'!C24+'Private Enrollment'!C17</f>
        <v>644541</v>
      </c>
      <c r="D17" s="342" t="str">
        <f>IF('Private Enrollment'!D17=0,"NA",'Public PreK-12 Enrollment'!D24+'Private Enrollment'!D17)</f>
        <v>NA</v>
      </c>
      <c r="E17" s="342" t="str">
        <f>IF('Private Enrollment'!E17=0,"NA",'Public PreK-12 Enrollment'!E24+'Private Enrollment'!E17)</f>
        <v>NA</v>
      </c>
      <c r="F17" s="342" t="str">
        <f>IF('Private Enrollment'!F17=0,"NA",'Public PreK-12 Enrollment'!F24+'Private Enrollment'!F17)</f>
        <v>NA</v>
      </c>
      <c r="G17" s="342" t="str">
        <f>IF('Private Enrollment'!G17=0,"NA",'Public PreK-12 Enrollment'!G24+'Private Enrollment'!G17)</f>
        <v>NA</v>
      </c>
      <c r="H17" s="342">
        <f>'Public PreK-12 Enrollment'!H24+'Private Enrollment'!H17</f>
        <v>606116</v>
      </c>
      <c r="I17" s="342" t="str">
        <f>IF('Private Enrollment'!I17=0,"NA",'Public PreK-12 Enrollment'!I24+'Private Enrollment'!I17)</f>
        <v>NA</v>
      </c>
      <c r="J17" s="342" t="str">
        <f>IF('Private Enrollment'!J17=0,"NA",'Public PreK-12 Enrollment'!J24+'Private Enrollment'!J17)</f>
        <v>NA</v>
      </c>
      <c r="K17" s="342">
        <f>'Public PreK-12 Enrollment'!K24+'Private Enrollment'!K17</f>
        <v>605500</v>
      </c>
      <c r="L17" s="342">
        <f>'Public PreK-12 Enrollment'!L24+'Private Enrollment'!L17</f>
        <v>599940.5</v>
      </c>
      <c r="M17" s="342">
        <f>'Public PreK-12 Enrollment'!M24+'Private Enrollment'!M17</f>
        <v>594142</v>
      </c>
      <c r="N17" s="342" t="str">
        <f>IF('Private Enrollment'!N17=0,"NA",'Public PreK-12 Enrollment'!N24+'Private Enrollment'!N17)</f>
        <v>NA</v>
      </c>
      <c r="O17" s="342" t="str">
        <f>IF('Private Enrollment'!O17=0,"NA",'Public PreK-12 Enrollment'!O24+'Private Enrollment'!O17)</f>
        <v>NA</v>
      </c>
      <c r="P17" s="342" t="str">
        <f>IF('Private Enrollment'!P17=0,"NA",'Public PreK-12 Enrollment'!P24+'Private Enrollment'!P17)</f>
        <v>NA</v>
      </c>
      <c r="Q17" s="342" t="str">
        <f>IF('Private Enrollment'!Q17=0,"NA",'Public PreK-12 Enrollment'!Q24+'Private Enrollment'!Q17)</f>
        <v>NA</v>
      </c>
      <c r="R17" s="342" t="str">
        <f>IF('Private Enrollment'!R17=0,"NA",'Public PreK-12 Enrollment'!R24+'Private Enrollment'!R17)</f>
        <v>NA</v>
      </c>
      <c r="S17" s="342" t="str">
        <f>IF('Private Enrollment'!S17=0,"NA",'Public PreK-12 Enrollment'!S24+'Private Enrollment'!S17)</f>
        <v>NA</v>
      </c>
      <c r="T17" s="342" t="str">
        <f>IF('Private Enrollment'!T17=0,"NA",'Public PreK-12 Enrollment'!T24+'Private Enrollment'!T17)</f>
        <v>NA</v>
      </c>
      <c r="U17" s="342" t="str">
        <f>IF('Private Enrollment'!U17=0,"NA",'Public PreK-12 Enrollment'!U24+'Private Enrollment'!U17)</f>
        <v>NA</v>
      </c>
      <c r="V17" s="342">
        <f>'Public PreK-12 Enrollment'!V24+'Private Enrollment'!V17</f>
        <v>598514</v>
      </c>
      <c r="W17" s="342">
        <f>'Public PreK-12 Enrollment'!W24+'Private Enrollment'!W17</f>
        <v>606066.5</v>
      </c>
      <c r="X17" s="342">
        <f>'Public PreK-12 Enrollment'!X24+'Private Enrollment'!X17</f>
        <v>622288</v>
      </c>
      <c r="Y17" s="342">
        <f>'Public PreK-12 Enrollment'!Y24+'Private Enrollment'!Y17</f>
        <v>627027</v>
      </c>
      <c r="Z17" s="342">
        <f>'Public PreK-12 Enrollment'!Z24+'Private Enrollment'!Z17</f>
        <v>629913</v>
      </c>
      <c r="AA17" s="342">
        <f>'Public PreK-12 Enrollment'!AA24+'Private Enrollment'!AA17</f>
        <v>634963</v>
      </c>
      <c r="AB17" s="342">
        <f>'Public PreK-12 Enrollment'!AB24+'Private Enrollment'!AB17</f>
        <v>641046</v>
      </c>
      <c r="AC17" s="342">
        <f>'Public PreK-12 Enrollment'!AC24+'Private Enrollment'!AC17</f>
        <v>652811.5</v>
      </c>
      <c r="AD17" s="342">
        <f>'Public PreK-12 Enrollment'!AD24+'Private Enrollment'!AD17</f>
        <v>663261</v>
      </c>
      <c r="AE17" s="342">
        <f>'Public PreK-12 Enrollment'!AE24+'Private Enrollment'!AE17</f>
        <v>671112</v>
      </c>
      <c r="AF17" s="342">
        <f>'Public PreK-12 Enrollment'!AF24+'Private Enrollment'!AF17</f>
        <v>672692</v>
      </c>
      <c r="AG17" s="342">
        <f>'Public PreK-12 Enrollment'!AG24+'Private Enrollment'!AG17</f>
        <v>669225</v>
      </c>
      <c r="AH17" s="342">
        <f>'Public PreK-12 Enrollment'!AH24+'Private Enrollment'!AH17</f>
        <v>668709</v>
      </c>
      <c r="AI17" s="342">
        <f>'Public PreK-12 Enrollment'!AI24+'Private Enrollment'!AI17</f>
        <v>664983</v>
      </c>
      <c r="AJ17" s="342">
        <f>'Public PreK-12 Enrollment'!AJ24+'Private Enrollment'!AJ17</f>
        <v>660460</v>
      </c>
      <c r="AK17" s="342">
        <f>'Public PreK-12 Enrollment'!AK24+'Private Enrollment'!AK17</f>
        <v>664301</v>
      </c>
      <c r="AL17" s="342">
        <f>'Public PreK-12 Enrollment'!AL24+'Private Enrollment'!AL17</f>
        <v>670089</v>
      </c>
      <c r="AM17" s="342">
        <f>'Public PreK-12 Enrollment'!AM24+'Private Enrollment'!AM17</f>
        <v>677226</v>
      </c>
      <c r="AN17" s="342">
        <f>'Public PreK-12 Enrollment'!AN24+'Private Enrollment'!AN17</f>
        <v>682385</v>
      </c>
      <c r="AO17" s="342">
        <f>'Public PreK-12 Enrollment'!AO24+'Private Enrollment'!AO17</f>
        <v>679347.5</v>
      </c>
      <c r="AP17" s="342">
        <f>'Public PreK-12 Enrollment'!AP24+'Private Enrollment'!AQ17</f>
        <v>688802</v>
      </c>
      <c r="AQ17" s="342">
        <f>'Public PreK-12 Enrollment'!AQ24+'Private Enrollment'!AR17</f>
        <v>694786</v>
      </c>
      <c r="AR17" s="342">
        <f>'Public PreK-12 Enrollment'!AR24+'Private Enrollment'!AS17</f>
        <v>701870</v>
      </c>
    </row>
    <row r="18" spans="1:44">
      <c r="A18" s="106" t="s">
        <v>95</v>
      </c>
      <c r="B18" s="342">
        <f>'Public PreK-12 Enrollment'!B25+'Private Enrollment'!B18</f>
        <v>655090</v>
      </c>
      <c r="C18" s="342">
        <f>'Public PreK-12 Enrollment'!C25+'Private Enrollment'!C18</f>
        <v>671879</v>
      </c>
      <c r="D18" s="342" t="str">
        <f>IF('Private Enrollment'!D18=0,"NA",'Public PreK-12 Enrollment'!D25+'Private Enrollment'!D18)</f>
        <v>NA</v>
      </c>
      <c r="E18" s="342" t="str">
        <f>IF('Private Enrollment'!E18=0,"NA",'Public PreK-12 Enrollment'!E25+'Private Enrollment'!E18)</f>
        <v>NA</v>
      </c>
      <c r="F18" s="342" t="str">
        <f>IF('Private Enrollment'!F18=0,"NA",'Public PreK-12 Enrollment'!F25+'Private Enrollment'!F18)</f>
        <v>NA</v>
      </c>
      <c r="G18" s="342" t="str">
        <f>IF('Private Enrollment'!G18=0,"NA",'Public PreK-12 Enrollment'!G25+'Private Enrollment'!G18)</f>
        <v>NA</v>
      </c>
      <c r="H18" s="342">
        <f>'Public PreK-12 Enrollment'!H25+'Private Enrollment'!H18</f>
        <v>657229</v>
      </c>
      <c r="I18" s="342" t="str">
        <f>IF('Private Enrollment'!I18=0,"NA",'Public PreK-12 Enrollment'!I25+'Private Enrollment'!I18)</f>
        <v>NA</v>
      </c>
      <c r="J18" s="342" t="str">
        <f>IF('Private Enrollment'!J18=0,"NA",'Public PreK-12 Enrollment'!J25+'Private Enrollment'!J18)</f>
        <v>NA</v>
      </c>
      <c r="K18" s="342">
        <f>'Public PreK-12 Enrollment'!K25+'Private Enrollment'!K18</f>
        <v>676401</v>
      </c>
      <c r="L18" s="342">
        <f>'Public PreK-12 Enrollment'!L25+'Private Enrollment'!L18</f>
        <v>675339.5</v>
      </c>
      <c r="M18" s="342">
        <f>'Public PreK-12 Enrollment'!M25+'Private Enrollment'!M18</f>
        <v>668842</v>
      </c>
      <c r="N18" s="342" t="str">
        <f>IF('Private Enrollment'!N18=0,"NA",'Public PreK-12 Enrollment'!N25+'Private Enrollment'!N18)</f>
        <v>NA</v>
      </c>
      <c r="O18" s="342" t="str">
        <f>IF('Private Enrollment'!O18=0,"NA",'Public PreK-12 Enrollment'!O25+'Private Enrollment'!O18)</f>
        <v>NA</v>
      </c>
      <c r="P18" s="342" t="str">
        <f>IF('Private Enrollment'!P18=0,"NA",'Public PreK-12 Enrollment'!P25+'Private Enrollment'!P18)</f>
        <v>NA</v>
      </c>
      <c r="Q18" s="342" t="str">
        <f>IF('Private Enrollment'!Q18=0,"NA",'Public PreK-12 Enrollment'!Q25+'Private Enrollment'!Q18)</f>
        <v>NA</v>
      </c>
      <c r="R18" s="342" t="str">
        <f>IF('Private Enrollment'!R18=0,"NA",'Public PreK-12 Enrollment'!R25+'Private Enrollment'!R18)</f>
        <v>NA</v>
      </c>
      <c r="S18" s="342" t="str">
        <f>IF('Private Enrollment'!S18=0,"NA",'Public PreK-12 Enrollment'!S25+'Private Enrollment'!S18)</f>
        <v>NA</v>
      </c>
      <c r="T18" s="342" t="str">
        <f>IF('Private Enrollment'!T18=0,"NA",'Public PreK-12 Enrollment'!T25+'Private Enrollment'!T18)</f>
        <v>NA</v>
      </c>
      <c r="U18" s="342" t="str">
        <f>IF('Private Enrollment'!U18=0,"NA",'Public PreK-12 Enrollment'!U25+'Private Enrollment'!U18)</f>
        <v>NA</v>
      </c>
      <c r="V18" s="342">
        <f>'Public PreK-12 Enrollment'!V25+'Private Enrollment'!V18</f>
        <v>673201</v>
      </c>
      <c r="W18" s="342">
        <f>'Public PreK-12 Enrollment'!W25+'Private Enrollment'!W18</f>
        <v>673667</v>
      </c>
      <c r="X18" s="342">
        <f>'Public PreK-12 Enrollment'!X25+'Private Enrollment'!X18</f>
        <v>673556</v>
      </c>
      <c r="Y18" s="342">
        <f>'Public PreK-12 Enrollment'!Y25+'Private Enrollment'!Y18</f>
        <v>689307</v>
      </c>
      <c r="Z18" s="342">
        <f>'Public PreK-12 Enrollment'!Z25+'Private Enrollment'!Z18</f>
        <v>695296</v>
      </c>
      <c r="AA18" s="342">
        <f>'Public PreK-12 Enrollment'!AA25+'Private Enrollment'!AA18</f>
        <v>699606</v>
      </c>
      <c r="AB18" s="342">
        <f>'Public PreK-12 Enrollment'!AB25+'Private Enrollment'!AB18</f>
        <v>695748</v>
      </c>
      <c r="AC18" s="342">
        <f>'Public PreK-12 Enrollment'!AC25+'Private Enrollment'!AC18</f>
        <v>719092</v>
      </c>
      <c r="AD18" s="342">
        <f>'Public PreK-12 Enrollment'!AD25+'Private Enrollment'!AD18</f>
        <v>741663</v>
      </c>
      <c r="AE18" s="342">
        <f>'Public PreK-12 Enrollment'!AE25+'Private Enrollment'!AE18</f>
        <v>749200</v>
      </c>
      <c r="AF18" s="342">
        <f>'Public PreK-12 Enrollment'!AF25+'Private Enrollment'!AF18</f>
        <v>753590</v>
      </c>
      <c r="AG18" s="342">
        <f>'Public PreK-12 Enrollment'!AG25+'Private Enrollment'!AG18</f>
        <v>756291</v>
      </c>
      <c r="AH18" s="342">
        <f>'Public PreK-12 Enrollment'!AH25+'Private Enrollment'!AH18</f>
        <v>747148</v>
      </c>
      <c r="AI18" s="342">
        <f>'Public PreK-12 Enrollment'!AI25+'Private Enrollment'!AI18</f>
        <v>766764</v>
      </c>
      <c r="AJ18" s="342">
        <f>'Public PreK-12 Enrollment'!AJ25+'Private Enrollment'!AJ18</f>
        <v>772998</v>
      </c>
      <c r="AK18" s="342">
        <f>'Public PreK-12 Enrollment'!AK25+'Private Enrollment'!AK18</f>
        <v>775756</v>
      </c>
      <c r="AL18" s="342">
        <f>'Public PreK-12 Enrollment'!AL25+'Private Enrollment'!AL18</f>
        <v>771784</v>
      </c>
      <c r="AM18" s="342">
        <f>'Public PreK-12 Enrollment'!AM25+'Private Enrollment'!AM18</f>
        <v>778856</v>
      </c>
      <c r="AN18" s="342">
        <f>'Public PreK-12 Enrollment'!AN25+'Private Enrollment'!AN18</f>
        <v>783747</v>
      </c>
      <c r="AO18" s="342">
        <f>'Public PreK-12 Enrollment'!AO25+'Private Enrollment'!AO18</f>
        <v>778429.5</v>
      </c>
      <c r="AP18" s="342">
        <f>'Public PreK-12 Enrollment'!AP25+'Private Enrollment'!AQ18</f>
        <v>785463</v>
      </c>
      <c r="AQ18" s="342">
        <f>'Public PreK-12 Enrollment'!AQ25+'Private Enrollment'!AR18</f>
        <v>787443</v>
      </c>
      <c r="AR18" s="342">
        <f>'Public PreK-12 Enrollment'!AR25+'Private Enrollment'!AS18</f>
        <v>788076</v>
      </c>
    </row>
    <row r="19" spans="1:44">
      <c r="A19" s="106" t="s">
        <v>96</v>
      </c>
      <c r="B19" s="342">
        <f>'Public PreK-12 Enrollment'!B26+'Private Enrollment'!B19</f>
        <v>907598</v>
      </c>
      <c r="C19" s="342">
        <f>'Public PreK-12 Enrollment'!C26+'Private Enrollment'!C19</f>
        <v>949362</v>
      </c>
      <c r="D19" s="342" t="str">
        <f>IF('Private Enrollment'!D19=0,"NA",'Public PreK-12 Enrollment'!D26+'Private Enrollment'!D19)</f>
        <v>NA</v>
      </c>
      <c r="E19" s="342" t="str">
        <f>IF('Private Enrollment'!E19=0,"NA",'Public PreK-12 Enrollment'!E26+'Private Enrollment'!E19)</f>
        <v>NA</v>
      </c>
      <c r="F19" s="342" t="str">
        <f>IF('Private Enrollment'!F19=0,"NA",'Public PreK-12 Enrollment'!F26+'Private Enrollment'!F19)</f>
        <v>NA</v>
      </c>
      <c r="G19" s="342" t="str">
        <f>IF('Private Enrollment'!G19=0,"NA",'Public PreK-12 Enrollment'!G26+'Private Enrollment'!G19)</f>
        <v>NA</v>
      </c>
      <c r="H19" s="342">
        <f>'Public PreK-12 Enrollment'!H26+'Private Enrollment'!H19</f>
        <v>908326</v>
      </c>
      <c r="I19" s="342" t="str">
        <f>IF('Private Enrollment'!I19=0,"NA",'Public PreK-12 Enrollment'!I26+'Private Enrollment'!I19)</f>
        <v>NA</v>
      </c>
      <c r="J19" s="342" t="str">
        <f>IF('Private Enrollment'!J19=0,"NA",'Public PreK-12 Enrollment'!J26+'Private Enrollment'!J19)</f>
        <v>NA</v>
      </c>
      <c r="K19" s="342">
        <f>'Public PreK-12 Enrollment'!K26+'Private Enrollment'!K19</f>
        <v>947055</v>
      </c>
      <c r="L19" s="342">
        <f>'Public PreK-12 Enrollment'!L26+'Private Enrollment'!L19</f>
        <v>938935</v>
      </c>
      <c r="M19" s="342">
        <f>'Public PreK-12 Enrollment'!M26+'Private Enrollment'!M19</f>
        <v>925186</v>
      </c>
      <c r="N19" s="342" t="str">
        <f>IF('Private Enrollment'!N19=0,"NA",'Public PreK-12 Enrollment'!N26+'Private Enrollment'!N19)</f>
        <v>NA</v>
      </c>
      <c r="O19" s="342" t="str">
        <f>IF('Private Enrollment'!O19=0,"NA",'Public PreK-12 Enrollment'!O26+'Private Enrollment'!O19)</f>
        <v>NA</v>
      </c>
      <c r="P19" s="342" t="str">
        <f>IF('Private Enrollment'!P19=0,"NA",'Public PreK-12 Enrollment'!P26+'Private Enrollment'!P19)</f>
        <v>NA</v>
      </c>
      <c r="Q19" s="342" t="str">
        <f>IF('Private Enrollment'!Q19=0,"NA",'Public PreK-12 Enrollment'!Q26+'Private Enrollment'!Q19)</f>
        <v>NA</v>
      </c>
      <c r="R19" s="342" t="str">
        <f>IF('Private Enrollment'!R19=0,"NA",'Public PreK-12 Enrollment'!R26+'Private Enrollment'!R19)</f>
        <v>NA</v>
      </c>
      <c r="S19" s="342" t="str">
        <f>IF('Private Enrollment'!S19=0,"NA",'Public PreK-12 Enrollment'!S26+'Private Enrollment'!S19)</f>
        <v>NA</v>
      </c>
      <c r="T19" s="342" t="str">
        <f>IF('Private Enrollment'!T19=0,"NA",'Public PreK-12 Enrollment'!T26+'Private Enrollment'!T19)</f>
        <v>NA</v>
      </c>
      <c r="U19" s="342" t="str">
        <f>IF('Private Enrollment'!U19=0,"NA",'Public PreK-12 Enrollment'!U26+'Private Enrollment'!U19)</f>
        <v>NA</v>
      </c>
      <c r="V19" s="342">
        <f>'Public PreK-12 Enrollment'!V26+'Private Enrollment'!V19</f>
        <v>892675</v>
      </c>
      <c r="W19" s="342">
        <f>'Public PreK-12 Enrollment'!W26+'Private Enrollment'!W19</f>
        <v>902587</v>
      </c>
      <c r="X19" s="342">
        <f>'Public PreK-12 Enrollment'!X26+'Private Enrollment'!X19</f>
        <v>916620</v>
      </c>
      <c r="Y19" s="342">
        <f>'Public PreK-12 Enrollment'!Y26+'Private Enrollment'!Y19</f>
        <v>938984.5</v>
      </c>
      <c r="Z19" s="342">
        <f>'Public PreK-12 Enrollment'!Z26+'Private Enrollment'!Z19</f>
        <v>951095</v>
      </c>
      <c r="AA19" s="342">
        <f>'Public PreK-12 Enrollment'!AA26+'Private Enrollment'!AA19</f>
        <v>964044.5</v>
      </c>
      <c r="AB19" s="342">
        <f>'Public PreK-12 Enrollment'!AB26+'Private Enrollment'!AB19</f>
        <v>974471</v>
      </c>
      <c r="AC19" s="342">
        <f>'Public PreK-12 Enrollment'!AC26+'Private Enrollment'!AC19</f>
        <v>991108.5</v>
      </c>
      <c r="AD19" s="342">
        <f>'Public PreK-12 Enrollment'!AD26+'Private Enrollment'!AD19</f>
        <v>984924</v>
      </c>
      <c r="AE19" s="342">
        <f>'Public PreK-12 Enrollment'!AE26+'Private Enrollment'!AE19</f>
        <v>1003469</v>
      </c>
      <c r="AF19" s="342">
        <f>'Public PreK-12 Enrollment'!AF26+'Private Enrollment'!AF19</f>
        <v>1020352</v>
      </c>
      <c r="AG19" s="342">
        <f>'Public PreK-12 Enrollment'!AG26+'Private Enrollment'!AG19</f>
        <v>1010631</v>
      </c>
      <c r="AH19" s="342">
        <f>'Public PreK-12 Enrollment'!AH26+'Private Enrollment'!AH19</f>
        <v>1023689</v>
      </c>
      <c r="AI19" s="342">
        <f>'Public PreK-12 Enrollment'!AI26+'Private Enrollment'!AI19</f>
        <v>1023698</v>
      </c>
      <c r="AJ19" s="342">
        <f>'Public PreK-12 Enrollment'!AJ26+'Private Enrollment'!AJ19</f>
        <v>1030072</v>
      </c>
      <c r="AK19" s="342">
        <f>'Public PreK-12 Enrollment'!AK26+'Private Enrollment'!AK19</f>
        <v>1040406</v>
      </c>
      <c r="AL19" s="342">
        <f>'Public PreK-12 Enrollment'!AL26+'Private Enrollment'!AL19</f>
        <v>1059168</v>
      </c>
      <c r="AM19" s="342">
        <f>'Public PreK-12 Enrollment'!AM26+'Private Enrollment'!AM19</f>
        <v>1089758</v>
      </c>
      <c r="AN19" s="342">
        <f>'Public PreK-12 Enrollment'!AN26+'Private Enrollment'!AN19</f>
        <v>1081799</v>
      </c>
      <c r="AO19" s="342">
        <f>'Public PreK-12 Enrollment'!AO26+'Private Enrollment'!AO19</f>
        <v>1074597</v>
      </c>
      <c r="AP19" s="342">
        <f>'Public PreK-12 Enrollment'!AP26+'Private Enrollment'!AQ19</f>
        <v>1070859</v>
      </c>
      <c r="AQ19" s="342">
        <f>'Public PreK-12 Enrollment'!AQ26+'Private Enrollment'!AR19</f>
        <v>1082792</v>
      </c>
      <c r="AR19" s="342">
        <f>'Public PreK-12 Enrollment'!AR26+'Private Enrollment'!AS19</f>
        <v>1092123</v>
      </c>
    </row>
    <row r="20" spans="1:44">
      <c r="A20" s="106" t="s">
        <v>97</v>
      </c>
      <c r="B20" s="342">
        <f>'Public PreK-12 Enrollment'!B27+'Private Enrollment'!B20</f>
        <v>2685742</v>
      </c>
      <c r="C20" s="342">
        <f>'Public PreK-12 Enrollment'!C27+'Private Enrollment'!C20</f>
        <v>3017310</v>
      </c>
      <c r="D20" s="342" t="str">
        <f>IF('Private Enrollment'!D20=0,"NA",'Public PreK-12 Enrollment'!D27+'Private Enrollment'!D20)</f>
        <v>NA</v>
      </c>
      <c r="E20" s="342" t="str">
        <f>IF('Private Enrollment'!E20=0,"NA",'Public PreK-12 Enrollment'!E27+'Private Enrollment'!E20)</f>
        <v>NA</v>
      </c>
      <c r="F20" s="342" t="str">
        <f>IF('Private Enrollment'!F20=0,"NA",'Public PreK-12 Enrollment'!F27+'Private Enrollment'!F20)</f>
        <v>NA</v>
      </c>
      <c r="G20" s="342" t="str">
        <f>IF('Private Enrollment'!G20=0,"NA",'Public PreK-12 Enrollment'!G27+'Private Enrollment'!G20)</f>
        <v>NA</v>
      </c>
      <c r="H20" s="342">
        <f>'Public PreK-12 Enrollment'!H27+'Private Enrollment'!H20</f>
        <v>2922888</v>
      </c>
      <c r="I20" s="342" t="str">
        <f>IF('Private Enrollment'!I20=0,"NA",'Public PreK-12 Enrollment'!I27+'Private Enrollment'!I20)</f>
        <v>NA</v>
      </c>
      <c r="J20" s="342" t="str">
        <f>IF('Private Enrollment'!J20=0,"NA",'Public PreK-12 Enrollment'!J27+'Private Enrollment'!J20)</f>
        <v>NA</v>
      </c>
      <c r="K20" s="342">
        <f>'Public PreK-12 Enrollment'!K27+'Private Enrollment'!K20</f>
        <v>3020524</v>
      </c>
      <c r="L20" s="342">
        <f>'Public PreK-12 Enrollment'!L27+'Private Enrollment'!L20</f>
        <v>3023621</v>
      </c>
      <c r="M20" s="342">
        <f>'Public PreK-12 Enrollment'!M27+'Private Enrollment'!M20</f>
        <v>3048607</v>
      </c>
      <c r="N20" s="342" t="str">
        <f>IF('Private Enrollment'!N20=0,"NA",'Public PreK-12 Enrollment'!N27+'Private Enrollment'!N20)</f>
        <v>NA</v>
      </c>
      <c r="O20" s="342" t="str">
        <f>IF('Private Enrollment'!O20=0,"NA",'Public PreK-12 Enrollment'!O27+'Private Enrollment'!O20)</f>
        <v>NA</v>
      </c>
      <c r="P20" s="342" t="str">
        <f>IF('Private Enrollment'!P20=0,"NA",'Public PreK-12 Enrollment'!P27+'Private Enrollment'!P20)</f>
        <v>NA</v>
      </c>
      <c r="Q20" s="342" t="str">
        <f>IF('Private Enrollment'!Q20=0,"NA",'Public PreK-12 Enrollment'!Q27+'Private Enrollment'!Q20)</f>
        <v>NA</v>
      </c>
      <c r="R20" s="342" t="str">
        <f>IF('Private Enrollment'!R20=0,"NA",'Public PreK-12 Enrollment'!R27+'Private Enrollment'!R20)</f>
        <v>NA</v>
      </c>
      <c r="S20" s="342" t="str">
        <f>IF('Private Enrollment'!S20=0,"NA",'Public PreK-12 Enrollment'!S27+'Private Enrollment'!S20)</f>
        <v>NA</v>
      </c>
      <c r="T20" s="342" t="str">
        <f>IF('Private Enrollment'!T20=0,"NA",'Public PreK-12 Enrollment'!T27+'Private Enrollment'!T20)</f>
        <v>NA</v>
      </c>
      <c r="U20" s="342" t="str">
        <f>IF('Private Enrollment'!U20=0,"NA",'Public PreK-12 Enrollment'!U27+'Private Enrollment'!U20)</f>
        <v>NA</v>
      </c>
      <c r="V20" s="342">
        <f>'Public PreK-12 Enrollment'!V27+'Private Enrollment'!V20</f>
        <v>3528038</v>
      </c>
      <c r="W20" s="342">
        <f>'Public PreK-12 Enrollment'!W27+'Private Enrollment'!W20</f>
        <v>3567984</v>
      </c>
      <c r="X20" s="342">
        <f>'Public PreK-12 Enrollment'!X27+'Private Enrollment'!X20</f>
        <v>3635041</v>
      </c>
      <c r="Y20" s="342">
        <f>'Public PreK-12 Enrollment'!Y27+'Private Enrollment'!Y20</f>
        <v>3732772.5</v>
      </c>
      <c r="Z20" s="342">
        <f>'Public PreK-12 Enrollment'!Z27+'Private Enrollment'!Z20</f>
        <v>3819599</v>
      </c>
      <c r="AA20" s="342">
        <f>'Public PreK-12 Enrollment'!AA27+'Private Enrollment'!AA20</f>
        <v>3897516</v>
      </c>
      <c r="AB20" s="342">
        <f>'Public PreK-12 Enrollment'!AB27+'Private Enrollment'!AB20</f>
        <v>3977520</v>
      </c>
      <c r="AC20" s="342">
        <f>'Public PreK-12 Enrollment'!AC27+'Private Enrollment'!AC20</f>
        <v>4085211.5</v>
      </c>
      <c r="AD20" s="342">
        <f>'Public PreK-12 Enrollment'!AD27+'Private Enrollment'!AD20</f>
        <v>4174997</v>
      </c>
      <c r="AE20" s="342">
        <f>'Public PreK-12 Enrollment'!AE27+'Private Enrollment'!AE20</f>
        <v>4225812</v>
      </c>
      <c r="AF20" s="342">
        <f>'Public PreK-12 Enrollment'!AF27+'Private Enrollment'!AF20</f>
        <v>4269553</v>
      </c>
      <c r="AG20" s="342">
        <f>'Public PreK-12 Enrollment'!AG27+'Private Enrollment'!AG20</f>
        <v>4355609</v>
      </c>
      <c r="AH20" s="342">
        <f>'Public PreK-12 Enrollment'!AH27+'Private Enrollment'!AH20</f>
        <v>4477657</v>
      </c>
      <c r="AI20" s="342">
        <f>'Public PreK-12 Enrollment'!AI27+'Private Enrollment'!AI20</f>
        <v>4552618</v>
      </c>
      <c r="AJ20" s="342">
        <f>'Public PreK-12 Enrollment'!AJ27+'Private Enrollment'!AJ20</f>
        <v>4603131</v>
      </c>
      <c r="AK20" s="342">
        <f>'Public PreK-12 Enrollment'!AK27+'Private Enrollment'!AK20</f>
        <v>4692990</v>
      </c>
      <c r="AL20" s="342">
        <f>'Public PreK-12 Enrollment'!AL27+'Private Enrollment'!AL20</f>
        <v>4829564</v>
      </c>
      <c r="AM20" s="342">
        <f>'Public PreK-12 Enrollment'!AM27+'Private Enrollment'!AM20</f>
        <v>4899864</v>
      </c>
      <c r="AN20" s="342">
        <f>'Public PreK-12 Enrollment'!AN27+'Private Enrollment'!AN20</f>
        <v>4971372</v>
      </c>
      <c r="AO20" s="342">
        <f>'Public PreK-12 Enrollment'!AO27+'Private Enrollment'!AO20</f>
        <v>5023202</v>
      </c>
      <c r="AP20" s="342">
        <f>'Public PreK-12 Enrollment'!AP27+'Private Enrollment'!AQ20</f>
        <v>5163570</v>
      </c>
      <c r="AQ20" s="342">
        <f>'Public PreK-12 Enrollment'!AQ27+'Private Enrollment'!AR20</f>
        <v>5235055</v>
      </c>
      <c r="AR20" s="342">
        <f>'Public PreK-12 Enrollment'!AR27+'Private Enrollment'!AS20</f>
        <v>5285790</v>
      </c>
    </row>
    <row r="21" spans="1:44">
      <c r="A21" s="106" t="s">
        <v>98</v>
      </c>
      <c r="B21" s="342">
        <f>'Public PreK-12 Enrollment'!B28+'Private Enrollment'!B21</f>
        <v>1048723</v>
      </c>
      <c r="C21" s="342">
        <f>'Public PreK-12 Enrollment'!C28+'Private Enrollment'!C21</f>
        <v>1156417</v>
      </c>
      <c r="D21" s="342" t="str">
        <f>IF('Private Enrollment'!D21=0,"NA",'Public PreK-12 Enrollment'!D28+'Private Enrollment'!D21)</f>
        <v>NA</v>
      </c>
      <c r="E21" s="342" t="str">
        <f>IF('Private Enrollment'!E21=0,"NA",'Public PreK-12 Enrollment'!E28+'Private Enrollment'!E21)</f>
        <v>NA</v>
      </c>
      <c r="F21" s="342" t="str">
        <f>IF('Private Enrollment'!F21=0,"NA",'Public PreK-12 Enrollment'!F28+'Private Enrollment'!F21)</f>
        <v>NA</v>
      </c>
      <c r="G21" s="342" t="str">
        <f>IF('Private Enrollment'!G21=0,"NA",'Public PreK-12 Enrollment'!G28+'Private Enrollment'!G21)</f>
        <v>NA</v>
      </c>
      <c r="H21" s="342">
        <f>'Public PreK-12 Enrollment'!H28+'Private Enrollment'!H21</f>
        <v>1162969</v>
      </c>
      <c r="I21" s="342" t="str">
        <f>IF('Private Enrollment'!I21=0,"NA",'Public PreK-12 Enrollment'!I28+'Private Enrollment'!I21)</f>
        <v>NA</v>
      </c>
      <c r="J21" s="342" t="str">
        <f>IF('Private Enrollment'!J21=0,"NA",'Public PreK-12 Enrollment'!J28+'Private Enrollment'!J21)</f>
        <v>NA</v>
      </c>
      <c r="K21" s="342">
        <f>'Public PreK-12 Enrollment'!K28+'Private Enrollment'!K21</f>
        <v>1129463</v>
      </c>
      <c r="L21" s="342">
        <f>'Public PreK-12 Enrollment'!L28+'Private Enrollment'!L21</f>
        <v>1106050</v>
      </c>
      <c r="M21" s="342">
        <f>'Public PreK-12 Enrollment'!M28+'Private Enrollment'!M21</f>
        <v>1085440</v>
      </c>
      <c r="N21" s="342" t="str">
        <f>IF('Private Enrollment'!N21=0,"NA",'Public PreK-12 Enrollment'!N28+'Private Enrollment'!N21)</f>
        <v>NA</v>
      </c>
      <c r="O21" s="342" t="str">
        <f>IF('Private Enrollment'!O21=0,"NA",'Public PreK-12 Enrollment'!O28+'Private Enrollment'!O21)</f>
        <v>NA</v>
      </c>
      <c r="P21" s="342" t="str">
        <f>IF('Private Enrollment'!P21=0,"NA",'Public PreK-12 Enrollment'!P28+'Private Enrollment'!P21)</f>
        <v>NA</v>
      </c>
      <c r="Q21" s="342" t="str">
        <f>IF('Private Enrollment'!Q21=0,"NA",'Public PreK-12 Enrollment'!Q28+'Private Enrollment'!Q21)</f>
        <v>NA</v>
      </c>
      <c r="R21" s="342" t="str">
        <f>IF('Private Enrollment'!R21=0,"NA",'Public PreK-12 Enrollment'!R28+'Private Enrollment'!R21)</f>
        <v>NA</v>
      </c>
      <c r="S21" s="342" t="str">
        <f>IF('Private Enrollment'!S21=0,"NA",'Public PreK-12 Enrollment'!S28+'Private Enrollment'!S21)</f>
        <v>NA</v>
      </c>
      <c r="T21" s="342" t="str">
        <f>IF('Private Enrollment'!T21=0,"NA",'Public PreK-12 Enrollment'!T28+'Private Enrollment'!T21)</f>
        <v>NA</v>
      </c>
      <c r="U21" s="342" t="str">
        <f>IF('Private Enrollment'!U21=0,"NA",'Public PreK-12 Enrollment'!U28+'Private Enrollment'!U21)</f>
        <v>NA</v>
      </c>
      <c r="V21" s="342">
        <f>'Public PreK-12 Enrollment'!V28+'Private Enrollment'!V21</f>
        <v>1052193</v>
      </c>
      <c r="W21" s="342">
        <f>'Public PreK-12 Enrollment'!W28+'Private Enrollment'!W21</f>
        <v>1072468</v>
      </c>
      <c r="X21" s="342">
        <f>'Public PreK-12 Enrollment'!X28+'Private Enrollment'!X21</f>
        <v>1097091</v>
      </c>
      <c r="Y21" s="342">
        <f>'Public PreK-12 Enrollment'!Y28+'Private Enrollment'!Y21</f>
        <v>1114587.5</v>
      </c>
      <c r="Z21" s="342">
        <f>'Public PreK-12 Enrollment'!Z28+'Private Enrollment'!Z21</f>
        <v>1129909</v>
      </c>
      <c r="AA21" s="342">
        <f>'Public PreK-12 Enrollment'!AA28+'Private Enrollment'!AA21</f>
        <v>1146281.5</v>
      </c>
      <c r="AB21" s="342">
        <f>'Public PreK-12 Enrollment'!AB28+'Private Enrollment'!AB21</f>
        <v>1166361</v>
      </c>
      <c r="AC21" s="342">
        <f>'Public PreK-12 Enrollment'!AC28+'Private Enrollment'!AC21</f>
        <v>1197126.5</v>
      </c>
      <c r="AD21" s="342">
        <f>'Public PreK-12 Enrollment'!AD28+'Private Enrollment'!AD21</f>
        <v>1226375</v>
      </c>
      <c r="AE21" s="342">
        <f>'Public PreK-12 Enrollment'!AE28+'Private Enrollment'!AE21</f>
        <v>1239857</v>
      </c>
      <c r="AF21" s="342">
        <f>'Public PreK-12 Enrollment'!AF28+'Private Enrollment'!AF21</f>
        <v>1250104</v>
      </c>
      <c r="AG21" s="342">
        <f>'Public PreK-12 Enrollment'!AG28+'Private Enrollment'!AG21</f>
        <v>1267705</v>
      </c>
      <c r="AH21" s="342">
        <f>'Public PreK-12 Enrollment'!AH28+'Private Enrollment'!AH21</f>
        <v>1292561</v>
      </c>
      <c r="AI21" s="342">
        <f>'Public PreK-12 Enrollment'!AI28+'Private Enrollment'!AI21</f>
        <v>1307544</v>
      </c>
      <c r="AJ21" s="342">
        <f>'Public PreK-12 Enrollment'!AJ28+'Private Enrollment'!AJ21</f>
        <v>1323252</v>
      </c>
      <c r="AK21" s="342">
        <f>'Public PreK-12 Enrollment'!AK28+'Private Enrollment'!AK21</f>
        <v>1347929</v>
      </c>
      <c r="AL21" s="342">
        <f>'Public PreK-12 Enrollment'!AL28+'Private Enrollment'!AL21</f>
        <v>1368836</v>
      </c>
      <c r="AM21" s="342">
        <f>'Public PreK-12 Enrollment'!AM28+'Private Enrollment'!AM21</f>
        <v>1369620</v>
      </c>
      <c r="AN21" s="342">
        <f>'Public PreK-12 Enrollment'!AN28+'Private Enrollment'!AN21</f>
        <v>1373997</v>
      </c>
      <c r="AO21" s="342">
        <f>'Public PreK-12 Enrollment'!AO28+'Private Enrollment'!AO21</f>
        <v>1358903</v>
      </c>
      <c r="AP21" s="342">
        <f>'Public PreK-12 Enrollment'!AP28+'Private Enrollment'!AQ21</f>
        <v>1373480</v>
      </c>
      <c r="AQ21" s="342">
        <f>'Public PreK-12 Enrollment'!AQ28+'Private Enrollment'!AR21</f>
        <v>1377400</v>
      </c>
      <c r="AR21" s="342">
        <f>'Public PreK-12 Enrollment'!AR28+'Private Enrollment'!AS21</f>
        <v>1381663</v>
      </c>
    </row>
    <row r="22" spans="1:44">
      <c r="A22" s="110" t="s">
        <v>99</v>
      </c>
      <c r="B22" s="342">
        <f>'Public PreK-12 Enrollment'!B29+'Private Enrollment'!B22</f>
        <v>448043</v>
      </c>
      <c r="C22" s="342">
        <f>'Public PreK-12 Enrollment'!C29+'Private Enrollment'!C22</f>
        <v>417388</v>
      </c>
      <c r="D22" s="342" t="str">
        <f>IF('Private Enrollment'!D22=0,"NA",'Public PreK-12 Enrollment'!D29+'Private Enrollment'!D22)</f>
        <v>NA</v>
      </c>
      <c r="E22" s="342" t="str">
        <f>IF('Private Enrollment'!E22=0,"NA",'Public PreK-12 Enrollment'!E29+'Private Enrollment'!E22)</f>
        <v>NA</v>
      </c>
      <c r="F22" s="342" t="str">
        <f>IF('Private Enrollment'!F22=0,"NA",'Public PreK-12 Enrollment'!F29+'Private Enrollment'!F22)</f>
        <v>NA</v>
      </c>
      <c r="G22" s="342" t="str">
        <f>IF('Private Enrollment'!G22=0,"NA",'Public PreK-12 Enrollment'!G29+'Private Enrollment'!G22)</f>
        <v>NA</v>
      </c>
      <c r="H22" s="342">
        <f>'Public PreK-12 Enrollment'!H29+'Private Enrollment'!H22</f>
        <v>414719</v>
      </c>
      <c r="I22" s="342" t="str">
        <f>IF('Private Enrollment'!I22=0,"NA",'Public PreK-12 Enrollment'!I29+'Private Enrollment'!I22)</f>
        <v>NA</v>
      </c>
      <c r="J22" s="342" t="str">
        <f>IF('Private Enrollment'!J22=0,"NA",'Public PreK-12 Enrollment'!J29+'Private Enrollment'!J22)</f>
        <v>NA</v>
      </c>
      <c r="K22" s="342">
        <f>'Public PreK-12 Enrollment'!K29+'Private Enrollment'!K22</f>
        <v>409735</v>
      </c>
      <c r="L22" s="342">
        <f>'Public PreK-12 Enrollment'!L29+'Private Enrollment'!L22</f>
        <v>401276.5</v>
      </c>
      <c r="M22" s="342">
        <f>'Public PreK-12 Enrollment'!M29+'Private Enrollment'!M22</f>
        <v>396111</v>
      </c>
      <c r="N22" s="342" t="str">
        <f>IF('Private Enrollment'!N22=0,"NA",'Public PreK-12 Enrollment'!N29+'Private Enrollment'!N22)</f>
        <v>NA</v>
      </c>
      <c r="O22" s="342" t="str">
        <f>IF('Private Enrollment'!O22=0,"NA",'Public PreK-12 Enrollment'!O29+'Private Enrollment'!O22)</f>
        <v>NA</v>
      </c>
      <c r="P22" s="342" t="str">
        <f>IF('Private Enrollment'!P22=0,"NA",'Public PreK-12 Enrollment'!P29+'Private Enrollment'!P22)</f>
        <v>NA</v>
      </c>
      <c r="Q22" s="342" t="str">
        <f>IF('Private Enrollment'!Q22=0,"NA",'Public PreK-12 Enrollment'!Q29+'Private Enrollment'!Q22)</f>
        <v>NA</v>
      </c>
      <c r="R22" s="342" t="str">
        <f>IF('Private Enrollment'!R22=0,"NA",'Public PreK-12 Enrollment'!R29+'Private Enrollment'!R22)</f>
        <v>NA</v>
      </c>
      <c r="S22" s="342" t="str">
        <f>IF('Private Enrollment'!S22=0,"NA",'Public PreK-12 Enrollment'!S29+'Private Enrollment'!S22)</f>
        <v>NA</v>
      </c>
      <c r="T22" s="342" t="str">
        <f>IF('Private Enrollment'!T22=0,"NA",'Public PreK-12 Enrollment'!T29+'Private Enrollment'!T22)</f>
        <v>NA</v>
      </c>
      <c r="U22" s="342" t="str">
        <f>IF('Private Enrollment'!U22=0,"NA",'Public PreK-12 Enrollment'!U29+'Private Enrollment'!U22)</f>
        <v>NA</v>
      </c>
      <c r="V22" s="342">
        <f>'Public PreK-12 Enrollment'!V29+'Private Enrollment'!V22</f>
        <v>338773</v>
      </c>
      <c r="W22" s="342">
        <f>'Public PreK-12 Enrollment'!W29+'Private Enrollment'!W22</f>
        <v>334459.5</v>
      </c>
      <c r="X22" s="342">
        <f>'Public PreK-12 Enrollment'!X29+'Private Enrollment'!X22</f>
        <v>333157</v>
      </c>
      <c r="Y22" s="342">
        <f>'Public PreK-12 Enrollment'!Y29+'Private Enrollment'!Y22</f>
        <v>331519.5</v>
      </c>
      <c r="Z22" s="342">
        <f>'Public PreK-12 Enrollment'!Z29+'Private Enrollment'!Z22</f>
        <v>327922</v>
      </c>
      <c r="AA22" s="342">
        <f>'Public PreK-12 Enrollment'!AA29+'Private Enrollment'!AA22</f>
        <v>323901</v>
      </c>
      <c r="AB22" s="342">
        <f>'Public PreK-12 Enrollment'!AB29+'Private Enrollment'!AB22</f>
        <v>320353</v>
      </c>
      <c r="AC22" s="342">
        <f>'Public PreK-12 Enrollment'!AC29+'Private Enrollment'!AC22</f>
        <v>318302.5</v>
      </c>
      <c r="AD22" s="342">
        <f>'Public PreK-12 Enrollment'!AD29+'Private Enrollment'!AD22</f>
        <v>316679</v>
      </c>
      <c r="AE22" s="342">
        <f>'Public PreK-12 Enrollment'!AE29+'Private Enrollment'!AE22</f>
        <v>313345</v>
      </c>
      <c r="AF22" s="342">
        <f>'Public PreK-12 Enrollment'!AF29+'Private Enrollment'!AF22</f>
        <v>308181</v>
      </c>
      <c r="AG22" s="342">
        <f>'Public PreK-12 Enrollment'!AG29+'Private Enrollment'!AG22</f>
        <v>302832</v>
      </c>
      <c r="AH22" s="342">
        <f>'Public PreK-12 Enrollment'!AH29+'Private Enrollment'!AH22</f>
        <v>299445</v>
      </c>
      <c r="AI22" s="342">
        <f>'Public PreK-12 Enrollment'!AI29+'Private Enrollment'!AI22</f>
        <v>298385</v>
      </c>
      <c r="AJ22" s="342">
        <f>'Public PreK-12 Enrollment'!AJ29+'Private Enrollment'!AJ22</f>
        <v>296515</v>
      </c>
      <c r="AK22" s="342">
        <f>'Public PreK-12 Enrollment'!AK29+'Private Enrollment'!AK22</f>
        <v>295839</v>
      </c>
      <c r="AL22" s="342">
        <f>'Public PreK-12 Enrollment'!AL29+'Private Enrollment'!AL22</f>
        <v>296986</v>
      </c>
      <c r="AM22" s="342">
        <f>'Public PreK-12 Enrollment'!AM29+'Private Enrollment'!AM22</f>
        <v>297489</v>
      </c>
      <c r="AN22" s="342">
        <f>'Public PreK-12 Enrollment'!AN29+'Private Enrollment'!AN22</f>
        <v>297515</v>
      </c>
      <c r="AO22" s="342">
        <f>'Public PreK-12 Enrollment'!AO29+'Private Enrollment'!AO22</f>
        <v>296379.5</v>
      </c>
      <c r="AP22" s="434">
        <f>'Public PreK-12 Enrollment'!AP29+'Private Enrollment'!AQ22</f>
        <v>296522</v>
      </c>
      <c r="AQ22" s="434">
        <f>'Public PreK-12 Enrollment'!AQ29+'Private Enrollment'!AR22</f>
        <v>296524</v>
      </c>
      <c r="AR22" s="434">
        <f>'Public PreK-12 Enrollment'!AR29+'Private Enrollment'!AS22</f>
        <v>296300</v>
      </c>
    </row>
    <row r="23" spans="1:44">
      <c r="A23" s="111" t="s">
        <v>245</v>
      </c>
      <c r="B23" s="340">
        <f t="shared" ref="B23:AR23" si="3">SUM(B25:B37)</f>
        <v>8346820</v>
      </c>
      <c r="C23" s="340">
        <f t="shared" si="3"/>
        <v>8986180</v>
      </c>
      <c r="D23" s="340" t="str">
        <f>IF('Private Enrollment'!D23=0,"NA",'Public PreK-12 Enrollment'!D7+'Private Enrollment'!D23)</f>
        <v>NA</v>
      </c>
      <c r="E23" s="340" t="str">
        <f>IF('Private Enrollment'!E23=0,"NA",'Public PreK-12 Enrollment'!E7+'Private Enrollment'!E23)</f>
        <v>NA</v>
      </c>
      <c r="F23" s="340" t="str">
        <f>IF('Private Enrollment'!F23=0,"NA",'Public PreK-12 Enrollment'!F7+'Private Enrollment'!F23)</f>
        <v>NA</v>
      </c>
      <c r="G23" s="340" t="str">
        <f>IF('Private Enrollment'!G23=0,"NA",'Public PreK-12 Enrollment'!G7+'Private Enrollment'!G23)</f>
        <v>NA</v>
      </c>
      <c r="H23" s="340">
        <f t="shared" si="3"/>
        <v>8673603</v>
      </c>
      <c r="I23" s="340">
        <f t="shared" si="3"/>
        <v>0</v>
      </c>
      <c r="J23" s="340">
        <f t="shared" si="3"/>
        <v>0</v>
      </c>
      <c r="K23" s="340">
        <f t="shared" si="3"/>
        <v>8703203</v>
      </c>
      <c r="L23" s="340">
        <f t="shared" si="3"/>
        <v>8627997.5</v>
      </c>
      <c r="M23" s="340">
        <f t="shared" si="3"/>
        <v>8591775</v>
      </c>
      <c r="N23" s="340">
        <f t="shared" si="3"/>
        <v>0</v>
      </c>
      <c r="O23" s="340">
        <f t="shared" si="3"/>
        <v>0</v>
      </c>
      <c r="P23" s="340">
        <f t="shared" si="3"/>
        <v>0</v>
      </c>
      <c r="Q23" s="340">
        <f t="shared" si="3"/>
        <v>0</v>
      </c>
      <c r="R23" s="340">
        <f t="shared" si="3"/>
        <v>0</v>
      </c>
      <c r="S23" s="340">
        <f t="shared" si="3"/>
        <v>0</v>
      </c>
      <c r="T23" s="340">
        <f t="shared" si="3"/>
        <v>0</v>
      </c>
      <c r="U23" s="340">
        <f t="shared" si="3"/>
        <v>0</v>
      </c>
      <c r="V23" s="340">
        <f t="shared" si="3"/>
        <v>9728753</v>
      </c>
      <c r="W23" s="340">
        <f t="shared" si="3"/>
        <v>10058670</v>
      </c>
      <c r="X23" s="340">
        <f t="shared" si="3"/>
        <v>10387825</v>
      </c>
      <c r="Y23" s="340">
        <f t="shared" si="3"/>
        <v>10628943.5</v>
      </c>
      <c r="Z23" s="340">
        <f t="shared" si="3"/>
        <v>10795847</v>
      </c>
      <c r="AA23" s="340">
        <f t="shared" si="3"/>
        <v>11021536.5</v>
      </c>
      <c r="AB23" s="340">
        <f t="shared" si="3"/>
        <v>11265264</v>
      </c>
      <c r="AC23" s="340">
        <f t="shared" si="3"/>
        <v>11627110</v>
      </c>
      <c r="AD23" s="340">
        <f t="shared" si="3"/>
        <v>11891002</v>
      </c>
      <c r="AE23" s="340">
        <f t="shared" si="3"/>
        <v>12080449</v>
      </c>
      <c r="AF23" s="340">
        <f t="shared" si="3"/>
        <v>12220866</v>
      </c>
      <c r="AG23" s="340">
        <f t="shared" si="3"/>
        <v>12412109</v>
      </c>
      <c r="AH23" s="340">
        <f t="shared" si="3"/>
        <v>12648470</v>
      </c>
      <c r="AI23" s="340">
        <f t="shared" si="3"/>
        <v>12791085</v>
      </c>
      <c r="AJ23" s="340">
        <f t="shared" si="3"/>
        <v>12947748</v>
      </c>
      <c r="AK23" s="340">
        <f t="shared" si="3"/>
        <v>13064420</v>
      </c>
      <c r="AL23" s="340">
        <f t="shared" si="3"/>
        <v>13184807</v>
      </c>
      <c r="AM23" s="340">
        <f t="shared" si="3"/>
        <v>13145252</v>
      </c>
      <c r="AN23" s="340">
        <f t="shared" si="3"/>
        <v>13142264</v>
      </c>
      <c r="AO23" s="340">
        <f t="shared" si="3"/>
        <v>13001261.5</v>
      </c>
      <c r="AP23" s="340">
        <f t="shared" si="3"/>
        <v>12985713</v>
      </c>
      <c r="AQ23" s="340">
        <f t="shared" si="3"/>
        <v>13021797</v>
      </c>
      <c r="AR23" s="340">
        <f t="shared" si="3"/>
        <v>13044254</v>
      </c>
    </row>
    <row r="24" spans="1:44">
      <c r="A24" s="108" t="s">
        <v>244</v>
      </c>
      <c r="B24" s="341">
        <f t="shared" ref="B24:AR24" si="4">(B23/B4)*100</f>
        <v>17.053989432387187</v>
      </c>
      <c r="C24" s="341">
        <f t="shared" si="4"/>
        <v>17.406253291088341</v>
      </c>
      <c r="D24" s="341" t="str">
        <f>IF('Private Enrollment'!D24=0,"NA",'Public PreK-12 Enrollment'!D8+'Private Enrollment'!D24)</f>
        <v>NA</v>
      </c>
      <c r="E24" s="341" t="str">
        <f>IF('Private Enrollment'!E24=0,"NA",'Public PreK-12 Enrollment'!E8+'Private Enrollment'!E24)</f>
        <v>NA</v>
      </c>
      <c r="F24" s="341" t="str">
        <f>IF('Private Enrollment'!F24=0,"NA",'Public PreK-12 Enrollment'!F8+'Private Enrollment'!F24)</f>
        <v>NA</v>
      </c>
      <c r="G24" s="341" t="str">
        <f>IF('Private Enrollment'!G24=0,"NA",'Public PreK-12 Enrollment'!G8+'Private Enrollment'!G24)</f>
        <v>NA</v>
      </c>
      <c r="H24" s="341">
        <f t="shared" si="4"/>
        <v>17.551034234035605</v>
      </c>
      <c r="I24" s="341" t="e">
        <f t="shared" si="4"/>
        <v>#VALUE!</v>
      </c>
      <c r="J24" s="341" t="e">
        <f t="shared" si="4"/>
        <v>#VALUE!</v>
      </c>
      <c r="K24" s="341">
        <f t="shared" si="4"/>
        <v>18.27002036210617</v>
      </c>
      <c r="L24" s="341">
        <f t="shared" si="4"/>
        <v>18.485500383229301</v>
      </c>
      <c r="M24" s="341">
        <f t="shared" si="4"/>
        <v>18.74327704763666</v>
      </c>
      <c r="N24" s="341" t="e">
        <f t="shared" si="4"/>
        <v>#VALUE!</v>
      </c>
      <c r="O24" s="341" t="e">
        <f t="shared" si="4"/>
        <v>#VALUE!</v>
      </c>
      <c r="P24" s="341" t="e">
        <f t="shared" si="4"/>
        <v>#VALUE!</v>
      </c>
      <c r="Q24" s="341" t="e">
        <f t="shared" si="4"/>
        <v>#VALUE!</v>
      </c>
      <c r="R24" s="341" t="e">
        <f t="shared" si="4"/>
        <v>#VALUE!</v>
      </c>
      <c r="S24" s="341" t="e">
        <f t="shared" si="4"/>
        <v>#VALUE!</v>
      </c>
      <c r="T24" s="341" t="e">
        <f t="shared" si="4"/>
        <v>#VALUE!</v>
      </c>
      <c r="U24" s="341" t="e">
        <f t="shared" si="4"/>
        <v>#VALUE!</v>
      </c>
      <c r="V24" s="341">
        <f t="shared" si="4"/>
        <v>21.444348474991262</v>
      </c>
      <c r="W24" s="341">
        <f t="shared" si="4"/>
        <v>21.831649776987124</v>
      </c>
      <c r="X24" s="341">
        <f t="shared" si="4"/>
        <v>22.13171884113402</v>
      </c>
      <c r="Y24" s="341">
        <f t="shared" si="4"/>
        <v>22.289311750563385</v>
      </c>
      <c r="Z24" s="341">
        <f t="shared" si="4"/>
        <v>22.351020295266625</v>
      </c>
      <c r="AA24" s="341">
        <f t="shared" si="4"/>
        <v>22.471924281640675</v>
      </c>
      <c r="AB24" s="341">
        <f t="shared" si="4"/>
        <v>22.588043936274936</v>
      </c>
      <c r="AC24" s="341">
        <f t="shared" si="4"/>
        <v>22.753954736712306</v>
      </c>
      <c r="AD24" s="341">
        <f t="shared" si="4"/>
        <v>22.836049425952208</v>
      </c>
      <c r="AE24" s="341">
        <f t="shared" si="4"/>
        <v>23.00167346187262</v>
      </c>
      <c r="AF24" s="341">
        <f t="shared" si="4"/>
        <v>23.112561412976902</v>
      </c>
      <c r="AG24" s="341">
        <f t="shared" si="4"/>
        <v>23.255626569291923</v>
      </c>
      <c r="AH24" s="341">
        <f t="shared" si="4"/>
        <v>23.426776019292443</v>
      </c>
      <c r="AI24" s="341">
        <f t="shared" si="4"/>
        <v>23.516257058191222</v>
      </c>
      <c r="AJ24" s="341">
        <f t="shared" si="4"/>
        <v>23.696704825607213</v>
      </c>
      <c r="AK24" s="341">
        <f t="shared" si="4"/>
        <v>23.811198430815192</v>
      </c>
      <c r="AL24" s="341">
        <f t="shared" si="4"/>
        <v>23.904336797872123</v>
      </c>
      <c r="AM24" s="341">
        <f t="shared" si="4"/>
        <v>23.773999093585054</v>
      </c>
      <c r="AN24" s="341">
        <f t="shared" si="4"/>
        <v>23.807290395121527</v>
      </c>
      <c r="AO24" s="341">
        <f t="shared" si="4"/>
        <v>23.824609432283033</v>
      </c>
      <c r="AP24" s="341">
        <f t="shared" si="4"/>
        <v>23.675178919647774</v>
      </c>
      <c r="AQ24" s="341">
        <f t="shared" si="4"/>
        <v>23.735343260847362</v>
      </c>
      <c r="AR24" s="341">
        <f t="shared" si="4"/>
        <v>23.807832408972633</v>
      </c>
    </row>
    <row r="25" spans="1:44">
      <c r="A25" s="113" t="s">
        <v>129</v>
      </c>
      <c r="B25" s="342">
        <f>'Public PreK-12 Enrollment'!B31+'Private Enrollment'!B25</f>
        <v>62327</v>
      </c>
      <c r="C25" s="342">
        <f>'Public PreK-12 Enrollment'!C31+'Private Enrollment'!C25</f>
        <v>82317</v>
      </c>
      <c r="D25" s="342" t="str">
        <f>IF('Private Enrollment'!D25=0,"NA",'Public PreK-12 Enrollment'!D31+'Private Enrollment'!D25)</f>
        <v>NA</v>
      </c>
      <c r="E25" s="342" t="str">
        <f>IF('Private Enrollment'!E25=0,"NA",'Public PreK-12 Enrollment'!E31+'Private Enrollment'!E25)</f>
        <v>NA</v>
      </c>
      <c r="F25" s="342" t="str">
        <f>IF('Private Enrollment'!F25=0,"NA",'Public PreK-12 Enrollment'!F31+'Private Enrollment'!F25)</f>
        <v>NA</v>
      </c>
      <c r="G25" s="342" t="str">
        <f>IF('Private Enrollment'!G25=0,"NA",'Public PreK-12 Enrollment'!G31+'Private Enrollment'!G25)</f>
        <v>NA</v>
      </c>
      <c r="H25" s="342">
        <f>'Public PreK-12 Enrollment'!H31+'Private Enrollment'!H25</f>
        <v>89795</v>
      </c>
      <c r="I25" s="342" t="str">
        <f>IF('Private Enrollment'!I25=0,"NA",'Public PreK-12 Enrollment'!I31+'Private Enrollment'!I25)</f>
        <v>NA</v>
      </c>
      <c r="J25" s="342" t="str">
        <f>IF('Private Enrollment'!J25=0,"NA",'Public PreK-12 Enrollment'!J31+'Private Enrollment'!J25)</f>
        <v>NA</v>
      </c>
      <c r="K25" s="342">
        <f>'Public PreK-12 Enrollment'!K31+'Private Enrollment'!K25</f>
        <v>94903</v>
      </c>
      <c r="L25" s="342">
        <f>'Public PreK-12 Enrollment'!L31+'Private Enrollment'!L25</f>
        <v>92560.5</v>
      </c>
      <c r="M25" s="342">
        <f>'Public PreK-12 Enrollment'!M31+'Private Enrollment'!M25</f>
        <v>90314</v>
      </c>
      <c r="N25" s="342" t="str">
        <f>IF('Private Enrollment'!N25=0,"NA",'Public PreK-12 Enrollment'!N31+'Private Enrollment'!N25)</f>
        <v>NA</v>
      </c>
      <c r="O25" s="342" t="str">
        <f>IF('Private Enrollment'!O25=0,"NA",'Public PreK-12 Enrollment'!O31+'Private Enrollment'!O25)</f>
        <v>NA</v>
      </c>
      <c r="P25" s="342" t="str">
        <f>IF('Private Enrollment'!P25=0,"NA",'Public PreK-12 Enrollment'!P31+'Private Enrollment'!P25)</f>
        <v>NA</v>
      </c>
      <c r="Q25" s="342" t="str">
        <f>IF('Private Enrollment'!Q25=0,"NA",'Public PreK-12 Enrollment'!Q31+'Private Enrollment'!Q25)</f>
        <v>NA</v>
      </c>
      <c r="R25" s="342" t="str">
        <f>IF('Private Enrollment'!R25=0,"NA",'Public PreK-12 Enrollment'!R31+'Private Enrollment'!R25)</f>
        <v>NA</v>
      </c>
      <c r="S25" s="342" t="str">
        <f>IF('Private Enrollment'!S25=0,"NA",'Public PreK-12 Enrollment'!S31+'Private Enrollment'!S25)</f>
        <v>NA</v>
      </c>
      <c r="T25" s="342" t="str">
        <f>IF('Private Enrollment'!T25=0,"NA",'Public PreK-12 Enrollment'!T31+'Private Enrollment'!T25)</f>
        <v>NA</v>
      </c>
      <c r="U25" s="342" t="str">
        <f>IF('Private Enrollment'!U25=0,"NA",'Public PreK-12 Enrollment'!U31+'Private Enrollment'!U25)</f>
        <v>NA</v>
      </c>
      <c r="V25" s="342">
        <f>'Public PreK-12 Enrollment'!V31+'Private Enrollment'!V25</f>
        <v>113303</v>
      </c>
      <c r="W25" s="342">
        <f>'Public PreK-12 Enrollment'!W31+'Private Enrollment'!W25</f>
        <v>118674.5</v>
      </c>
      <c r="X25" s="342">
        <f>'Public PreK-12 Enrollment'!X31+'Private Enrollment'!X25</f>
        <v>124200</v>
      </c>
      <c r="Y25" s="342">
        <f>'Public PreK-12 Enrollment'!Y31+'Private Enrollment'!Y25</f>
        <v>128189</v>
      </c>
      <c r="Z25" s="342">
        <f>'Public PreK-12 Enrollment'!Z31+'Private Enrollment'!Z25</f>
        <v>131832</v>
      </c>
      <c r="AA25" s="342">
        <f>'Public PreK-12 Enrollment'!AA31+'Private Enrollment'!AA25</f>
        <v>133055.5</v>
      </c>
      <c r="AB25" s="342">
        <f>'Public PreK-12 Enrollment'!AB31+'Private Enrollment'!AB25</f>
        <v>133731</v>
      </c>
      <c r="AC25" s="342">
        <f>'Public PreK-12 Enrollment'!AC31+'Private Enrollment'!AC25</f>
        <v>136590.5</v>
      </c>
      <c r="AD25" s="342">
        <f>'Public PreK-12 Enrollment'!AD31+'Private Enrollment'!AD25</f>
        <v>139353</v>
      </c>
      <c r="AE25" s="342">
        <f>'Public PreK-12 Enrollment'!AE31+'Private Enrollment'!AE25</f>
        <v>142478</v>
      </c>
      <c r="AF25" s="342">
        <f>'Public PreK-12 Enrollment'!AF31+'Private Enrollment'!AF25</f>
        <v>141371</v>
      </c>
      <c r="AG25" s="342">
        <f>'Public PreK-12 Enrollment'!AG31+'Private Enrollment'!AG25</f>
        <v>140556</v>
      </c>
      <c r="AH25" s="342">
        <f>'Public PreK-12 Enrollment'!AH31+'Private Enrollment'!AH25</f>
        <v>141769</v>
      </c>
      <c r="AI25" s="342">
        <f>'Public PreK-12 Enrollment'!AI31+'Private Enrollment'!AI25</f>
        <v>141759</v>
      </c>
      <c r="AJ25" s="342">
        <f>'Public PreK-12 Enrollment'!AJ31+'Private Enrollment'!AJ25</f>
        <v>141303</v>
      </c>
      <c r="AK25" s="342">
        <f>'Public PreK-12 Enrollment'!AK31+'Private Enrollment'!AK25</f>
        <v>140405</v>
      </c>
      <c r="AL25" s="342">
        <f>'Public PreK-12 Enrollment'!AL31+'Private Enrollment'!AL25</f>
        <v>140788</v>
      </c>
      <c r="AM25" s="342">
        <f>'Public PreK-12 Enrollment'!AM31+'Private Enrollment'!AM25</f>
        <v>138853</v>
      </c>
      <c r="AN25" s="342">
        <f>'Public PreK-12 Enrollment'!AN31+'Private Enrollment'!AN25</f>
        <v>136019</v>
      </c>
      <c r="AO25" s="342">
        <f>'Public PreK-12 Enrollment'!AO31+'Private Enrollment'!AO25</f>
        <v>135370</v>
      </c>
      <c r="AP25" s="342">
        <f>'Public PreK-12 Enrollment'!AP31+'Private Enrollment'!AQ25</f>
        <v>139171</v>
      </c>
      <c r="AQ25" s="342">
        <f>'Public PreK-12 Enrollment'!AQ31+'Private Enrollment'!AR25</f>
        <v>138444</v>
      </c>
      <c r="AR25" s="342">
        <f>'Public PreK-12 Enrollment'!AR31+'Private Enrollment'!AS25</f>
        <v>136337</v>
      </c>
    </row>
    <row r="26" spans="1:44">
      <c r="A26" s="113" t="s">
        <v>130</v>
      </c>
      <c r="B26" s="342">
        <f>'Public PreK-12 Enrollment'!B32+'Private Enrollment'!B26</f>
        <v>409959</v>
      </c>
      <c r="C26" s="342">
        <f>'Public PreK-12 Enrollment'!C32+'Private Enrollment'!C26</f>
        <v>476486</v>
      </c>
      <c r="D26" s="342" t="str">
        <f>IF('Private Enrollment'!D26=0,"NA",'Public PreK-12 Enrollment'!D32+'Private Enrollment'!D26)</f>
        <v>NA</v>
      </c>
      <c r="E26" s="342" t="str">
        <f>IF('Private Enrollment'!E26=0,"NA",'Public PreK-12 Enrollment'!E32+'Private Enrollment'!E26)</f>
        <v>NA</v>
      </c>
      <c r="F26" s="342" t="str">
        <f>IF('Private Enrollment'!F26=0,"NA",'Public PreK-12 Enrollment'!F32+'Private Enrollment'!F26)</f>
        <v>NA</v>
      </c>
      <c r="G26" s="342" t="str">
        <f>IF('Private Enrollment'!G26=0,"NA",'Public PreK-12 Enrollment'!G32+'Private Enrollment'!G26)</f>
        <v>NA</v>
      </c>
      <c r="H26" s="342">
        <f>'Public PreK-12 Enrollment'!H32+'Private Enrollment'!H26</f>
        <v>519795</v>
      </c>
      <c r="I26" s="342" t="str">
        <f>IF('Private Enrollment'!I26=0,"NA",'Public PreK-12 Enrollment'!I32+'Private Enrollment'!I26)</f>
        <v>NA</v>
      </c>
      <c r="J26" s="342" t="str">
        <f>IF('Private Enrollment'!J26=0,"NA",'Public PreK-12 Enrollment'!J32+'Private Enrollment'!J26)</f>
        <v>NA</v>
      </c>
      <c r="K26" s="342">
        <f>'Public PreK-12 Enrollment'!K32+'Private Enrollment'!K26</f>
        <v>547474</v>
      </c>
      <c r="L26" s="342">
        <f>'Public PreK-12 Enrollment'!L32+'Private Enrollment'!L26</f>
        <v>548204.5</v>
      </c>
      <c r="M26" s="342">
        <f>'Public PreK-12 Enrollment'!M32+'Private Enrollment'!M26</f>
        <v>554051</v>
      </c>
      <c r="N26" s="342" t="str">
        <f>IF('Private Enrollment'!N26=0,"NA",'Public PreK-12 Enrollment'!N32+'Private Enrollment'!N26)</f>
        <v>NA</v>
      </c>
      <c r="O26" s="342" t="str">
        <f>IF('Private Enrollment'!O26=0,"NA",'Public PreK-12 Enrollment'!O32+'Private Enrollment'!O26)</f>
        <v>NA</v>
      </c>
      <c r="P26" s="342" t="str">
        <f>IF('Private Enrollment'!P26=0,"NA",'Public PreK-12 Enrollment'!P32+'Private Enrollment'!P26)</f>
        <v>NA</v>
      </c>
      <c r="Q26" s="342" t="str">
        <f>IF('Private Enrollment'!Q26=0,"NA",'Public PreK-12 Enrollment'!Q32+'Private Enrollment'!Q26)</f>
        <v>NA</v>
      </c>
      <c r="R26" s="342" t="str">
        <f>IF('Private Enrollment'!R26=0,"NA",'Public PreK-12 Enrollment'!R32+'Private Enrollment'!R26)</f>
        <v>NA</v>
      </c>
      <c r="S26" s="342" t="str">
        <f>IF('Private Enrollment'!S26=0,"NA",'Public PreK-12 Enrollment'!S32+'Private Enrollment'!S26)</f>
        <v>NA</v>
      </c>
      <c r="T26" s="342" t="str">
        <f>IF('Private Enrollment'!T26=0,"NA",'Public PreK-12 Enrollment'!T32+'Private Enrollment'!T26)</f>
        <v>NA</v>
      </c>
      <c r="U26" s="342" t="str">
        <f>IF('Private Enrollment'!U26=0,"NA",'Public PreK-12 Enrollment'!U32+'Private Enrollment'!U26)</f>
        <v>NA</v>
      </c>
      <c r="V26" s="342">
        <f>'Public PreK-12 Enrollment'!V32+'Private Enrollment'!V26</f>
        <v>639233</v>
      </c>
      <c r="W26" s="342">
        <f>'Public PreK-12 Enrollment'!W32+'Private Enrollment'!W26</f>
        <v>675392</v>
      </c>
      <c r="X26" s="342">
        <f>'Public PreK-12 Enrollment'!X32+'Private Enrollment'!X26</f>
        <v>696440</v>
      </c>
      <c r="Y26" s="342">
        <f>'Public PreK-12 Enrollment'!Y32+'Private Enrollment'!Y26</f>
        <v>714185.5</v>
      </c>
      <c r="Z26" s="342">
        <f>'Public PreK-12 Enrollment'!Z32+'Private Enrollment'!Z26</f>
        <v>751410</v>
      </c>
      <c r="AA26" s="342">
        <f>'Public PreK-12 Enrollment'!AA32+'Private Enrollment'!AA26</f>
        <v>780469.5</v>
      </c>
      <c r="AB26" s="342">
        <f>'Public PreK-12 Enrollment'!AB32+'Private Enrollment'!AB26</f>
        <v>787700</v>
      </c>
      <c r="AC26" s="342">
        <f>'Public PreK-12 Enrollment'!AC32+'Private Enrollment'!AC26</f>
        <v>851182</v>
      </c>
      <c r="AD26" s="342">
        <f>'Public PreK-12 Enrollment'!AD32+'Private Enrollment'!AD26</f>
        <v>873843</v>
      </c>
      <c r="AE26" s="342">
        <f>'Public PreK-12 Enrollment'!AE32+'Private Enrollment'!AE26</f>
        <v>907497</v>
      </c>
      <c r="AF26" s="342">
        <f>'Public PreK-12 Enrollment'!AF32+'Private Enrollment'!AF26</f>
        <v>911352</v>
      </c>
      <c r="AG26" s="342">
        <f>'Public PreK-12 Enrollment'!AG32+'Private Enrollment'!AG26</f>
        <v>946396</v>
      </c>
      <c r="AH26" s="342">
        <f>'Public PreK-12 Enrollment'!AH32+'Private Enrollment'!AH26</f>
        <v>1000840</v>
      </c>
      <c r="AI26" s="342">
        <f>'Public PreK-12 Enrollment'!AI32+'Private Enrollment'!AI26</f>
        <v>1014765</v>
      </c>
      <c r="AJ26" s="342">
        <f>'Public PreK-12 Enrollment'!AJ32+'Private Enrollment'!AJ26</f>
        <v>1087428</v>
      </c>
      <c r="AK26" s="342">
        <f>'Public PreK-12 Enrollment'!AK32+'Private Enrollment'!AK26</f>
        <v>1114398</v>
      </c>
      <c r="AL26" s="342">
        <f>'Public PreK-12 Enrollment'!AL32+'Private Enrollment'!AL26</f>
        <v>1161294</v>
      </c>
      <c r="AM26" s="342">
        <f>'Public PreK-12 Enrollment'!AM32+'Private Enrollment'!AM26</f>
        <v>1134124</v>
      </c>
      <c r="AN26" s="342">
        <f>'Public PreK-12 Enrollment'!AN32+'Private Enrollment'!AN26</f>
        <v>1152357</v>
      </c>
      <c r="AO26" s="342">
        <f>'Public PreK-12 Enrollment'!AO32+'Private Enrollment'!AO26</f>
        <v>1142551.5</v>
      </c>
      <c r="AP26" s="342">
        <f>'Public PreK-12 Enrollment'!AP32+'Private Enrollment'!AQ26</f>
        <v>1133221</v>
      </c>
      <c r="AQ26" s="342">
        <f>'Public PreK-12 Enrollment'!AQ32+'Private Enrollment'!AR26</f>
        <v>1126006</v>
      </c>
      <c r="AR26" s="342">
        <f>'Public PreK-12 Enrollment'!AR32+'Private Enrollment'!AS26</f>
        <v>1133439</v>
      </c>
    </row>
    <row r="27" spans="1:44">
      <c r="A27" s="113" t="s">
        <v>131</v>
      </c>
      <c r="B27" s="342">
        <f>'Public PreK-12 Enrollment'!B33+'Private Enrollment'!B27</f>
        <v>4703300</v>
      </c>
      <c r="C27" s="342">
        <f>'Public PreK-12 Enrollment'!C33+'Private Enrollment'!C27</f>
        <v>5032147</v>
      </c>
      <c r="D27" s="342" t="str">
        <f>IF('Private Enrollment'!D27=0,"NA",'Public PreK-12 Enrollment'!D33+'Private Enrollment'!D27)</f>
        <v>NA</v>
      </c>
      <c r="E27" s="342" t="str">
        <f>IF('Private Enrollment'!E27=0,"NA",'Public PreK-12 Enrollment'!E33+'Private Enrollment'!E27)</f>
        <v>NA</v>
      </c>
      <c r="F27" s="342" t="str">
        <f>IF('Private Enrollment'!F27=0,"NA",'Public PreK-12 Enrollment'!F33+'Private Enrollment'!F27)</f>
        <v>NA</v>
      </c>
      <c r="G27" s="342" t="str">
        <f>IF('Private Enrollment'!G27=0,"NA",'Public PreK-12 Enrollment'!G33+'Private Enrollment'!G27)</f>
        <v>NA</v>
      </c>
      <c r="H27" s="342">
        <f>'Public PreK-12 Enrollment'!H33+'Private Enrollment'!H27</f>
        <v>4722271</v>
      </c>
      <c r="I27" s="342" t="str">
        <f>IF('Private Enrollment'!I27=0,"NA",'Public PreK-12 Enrollment'!I33+'Private Enrollment'!I27)</f>
        <v>NA</v>
      </c>
      <c r="J27" s="342" t="str">
        <f>IF('Private Enrollment'!J27=0,"NA",'Public PreK-12 Enrollment'!J33+'Private Enrollment'!J27)</f>
        <v>NA</v>
      </c>
      <c r="K27" s="342">
        <f>'Public PreK-12 Enrollment'!K33+'Private Enrollment'!K27</f>
        <v>4671921</v>
      </c>
      <c r="L27" s="342">
        <f>'Public PreK-12 Enrollment'!L33+'Private Enrollment'!L27</f>
        <v>4618342.5</v>
      </c>
      <c r="M27" s="342">
        <f>'Public PreK-12 Enrollment'!M33+'Private Enrollment'!M27</f>
        <v>4590130</v>
      </c>
      <c r="N27" s="342" t="str">
        <f>IF('Private Enrollment'!N27=0,"NA",'Public PreK-12 Enrollment'!N33+'Private Enrollment'!N27)</f>
        <v>NA</v>
      </c>
      <c r="O27" s="342" t="str">
        <f>IF('Private Enrollment'!O27=0,"NA",'Public PreK-12 Enrollment'!O33+'Private Enrollment'!O27)</f>
        <v>NA</v>
      </c>
      <c r="P27" s="342" t="str">
        <f>IF('Private Enrollment'!P27=0,"NA",'Public PreK-12 Enrollment'!P33+'Private Enrollment'!P27)</f>
        <v>NA</v>
      </c>
      <c r="Q27" s="342" t="str">
        <f>IF('Private Enrollment'!Q27=0,"NA",'Public PreK-12 Enrollment'!Q33+'Private Enrollment'!Q27)</f>
        <v>NA</v>
      </c>
      <c r="R27" s="342" t="str">
        <f>IF('Private Enrollment'!R27=0,"NA",'Public PreK-12 Enrollment'!R33+'Private Enrollment'!R27)</f>
        <v>NA</v>
      </c>
      <c r="S27" s="342" t="str">
        <f>IF('Private Enrollment'!S27=0,"NA",'Public PreK-12 Enrollment'!S33+'Private Enrollment'!S27)</f>
        <v>NA</v>
      </c>
      <c r="T27" s="342" t="str">
        <f>IF('Private Enrollment'!T27=0,"NA",'Public PreK-12 Enrollment'!T33+'Private Enrollment'!T27)</f>
        <v>NA</v>
      </c>
      <c r="U27" s="342" t="str">
        <f>IF('Private Enrollment'!U27=0,"NA",'Public PreK-12 Enrollment'!U33+'Private Enrollment'!U27)</f>
        <v>NA</v>
      </c>
      <c r="V27" s="342">
        <f>'Public PreK-12 Enrollment'!V33+'Private Enrollment'!V27</f>
        <v>5332566</v>
      </c>
      <c r="W27" s="342">
        <f>'Public PreK-12 Enrollment'!W33+'Private Enrollment'!W27</f>
        <v>5537302</v>
      </c>
      <c r="X27" s="342">
        <f>'Public PreK-12 Enrollment'!X33+'Private Enrollment'!X27</f>
        <v>5720213</v>
      </c>
      <c r="Y27" s="342">
        <f>'Public PreK-12 Enrollment'!Y33+'Private Enrollment'!Y27</f>
        <v>5845909</v>
      </c>
      <c r="Z27" s="342">
        <f>'Public PreK-12 Enrollment'!Z33+'Private Enrollment'!Z27</f>
        <v>5896293</v>
      </c>
      <c r="AA27" s="342">
        <f>'Public PreK-12 Enrollment'!AA33+'Private Enrollment'!AA27</f>
        <v>6006678</v>
      </c>
      <c r="AB27" s="342">
        <f>'Public PreK-12 Enrollment'!AB33+'Private Enrollment'!AB27</f>
        <v>6165750</v>
      </c>
      <c r="AC27" s="342">
        <f>'Public PreK-12 Enrollment'!AC33+'Private Enrollment'!AC27</f>
        <v>6361475</v>
      </c>
      <c r="AD27" s="342">
        <f>'Public PreK-12 Enrollment'!AD33+'Private Enrollment'!AD27</f>
        <v>6525097</v>
      </c>
      <c r="AE27" s="342">
        <f>'Public PreK-12 Enrollment'!AE33+'Private Enrollment'!AE27</f>
        <v>6648647</v>
      </c>
      <c r="AF27" s="342">
        <f>'Public PreK-12 Enrollment'!AF33+'Private Enrollment'!AF27</f>
        <v>6762600</v>
      </c>
      <c r="AG27" s="342">
        <f>'Public PreK-12 Enrollment'!AG33+'Private Enrollment'!AG27</f>
        <v>6881694</v>
      </c>
      <c r="AH27" s="342">
        <f>'Public PreK-12 Enrollment'!AH33+'Private Enrollment'!AH27</f>
        <v>7005476</v>
      </c>
      <c r="AI27" s="342">
        <f>'Public PreK-12 Enrollment'!AI33+'Private Enrollment'!AI27</f>
        <v>7102772</v>
      </c>
      <c r="AJ27" s="342">
        <f>'Public PreK-12 Enrollment'!AJ33+'Private Enrollment'!AJ27</f>
        <v>7154327</v>
      </c>
      <c r="AK27" s="342">
        <f>'Public PreK-12 Enrollment'!AK33+'Private Enrollment'!AK27</f>
        <v>7180532</v>
      </c>
      <c r="AL27" s="342">
        <f>'Public PreK-12 Enrollment'!AL33+'Private Enrollment'!AL27</f>
        <v>7174692</v>
      </c>
      <c r="AM27" s="342">
        <f>'Public PreK-12 Enrollment'!AM33+'Private Enrollment'!AM27</f>
        <v>7127400</v>
      </c>
      <c r="AN27" s="342">
        <f>'Public PreK-12 Enrollment'!AN33+'Private Enrollment'!AN27</f>
        <v>7047281</v>
      </c>
      <c r="AO27" s="342">
        <f>'Public PreK-12 Enrollment'!AO33+'Private Enrollment'!AO27</f>
        <v>6944296</v>
      </c>
      <c r="AP27" s="342">
        <f>'Public PreK-12 Enrollment'!AP33+'Private Enrollment'!AQ27</f>
        <v>6886588</v>
      </c>
      <c r="AQ27" s="342">
        <f>'Public PreK-12 Enrollment'!AQ33+'Private Enrollment'!AR27</f>
        <v>6905188</v>
      </c>
      <c r="AR27" s="342">
        <f>'Public PreK-12 Enrollment'!AR33+'Private Enrollment'!AS27</f>
        <v>6895904</v>
      </c>
    </row>
    <row r="28" spans="1:44">
      <c r="A28" s="113" t="s">
        <v>132</v>
      </c>
      <c r="B28" s="342">
        <f>'Public PreK-12 Enrollment'!B34+'Private Enrollment'!B28</f>
        <v>535384</v>
      </c>
      <c r="C28" s="342">
        <f>'Public PreK-12 Enrollment'!C34+'Private Enrollment'!C28</f>
        <v>590543</v>
      </c>
      <c r="D28" s="342" t="str">
        <f>IF('Private Enrollment'!D28=0,"NA",'Public PreK-12 Enrollment'!D34+'Private Enrollment'!D28)</f>
        <v>NA</v>
      </c>
      <c r="E28" s="342" t="str">
        <f>IF('Private Enrollment'!E28=0,"NA",'Public PreK-12 Enrollment'!E34+'Private Enrollment'!E28)</f>
        <v>NA</v>
      </c>
      <c r="F28" s="342" t="str">
        <f>IF('Private Enrollment'!F28=0,"NA",'Public PreK-12 Enrollment'!F34+'Private Enrollment'!F28)</f>
        <v>NA</v>
      </c>
      <c r="G28" s="342" t="str">
        <f>IF('Private Enrollment'!G28=0,"NA",'Public PreK-12 Enrollment'!G34+'Private Enrollment'!G28)</f>
        <v>NA</v>
      </c>
      <c r="H28" s="342">
        <f>'Public PreK-12 Enrollment'!H34+'Private Enrollment'!H28</f>
        <v>600651</v>
      </c>
      <c r="I28" s="342" t="str">
        <f>IF('Private Enrollment'!I28=0,"NA",'Public PreK-12 Enrollment'!I34+'Private Enrollment'!I28)</f>
        <v>NA</v>
      </c>
      <c r="J28" s="342" t="str">
        <f>IF('Private Enrollment'!J28=0,"NA",'Public PreK-12 Enrollment'!J34+'Private Enrollment'!J28)</f>
        <v>NA</v>
      </c>
      <c r="K28" s="342">
        <f>'Public PreK-12 Enrollment'!K34+'Private Enrollment'!K28</f>
        <v>595301</v>
      </c>
      <c r="L28" s="342">
        <f>'Public PreK-12 Enrollment'!L34+'Private Enrollment'!L28</f>
        <v>586660</v>
      </c>
      <c r="M28" s="342">
        <f>'Public PreK-12 Enrollment'!M34+'Private Enrollment'!M28</f>
        <v>581283</v>
      </c>
      <c r="N28" s="342" t="str">
        <f>IF('Private Enrollment'!N28=0,"NA",'Public PreK-12 Enrollment'!N34+'Private Enrollment'!N28)</f>
        <v>NA</v>
      </c>
      <c r="O28" s="342" t="str">
        <f>IF('Private Enrollment'!O28=0,"NA",'Public PreK-12 Enrollment'!O34+'Private Enrollment'!O28)</f>
        <v>NA</v>
      </c>
      <c r="P28" s="342" t="str">
        <f>IF('Private Enrollment'!P28=0,"NA",'Public PreK-12 Enrollment'!P34+'Private Enrollment'!P28)</f>
        <v>NA</v>
      </c>
      <c r="Q28" s="342" t="str">
        <f>IF('Private Enrollment'!Q28=0,"NA",'Public PreK-12 Enrollment'!Q34+'Private Enrollment'!Q28)</f>
        <v>NA</v>
      </c>
      <c r="R28" s="342" t="str">
        <f>IF('Private Enrollment'!R28=0,"NA",'Public PreK-12 Enrollment'!R34+'Private Enrollment'!R28)</f>
        <v>NA</v>
      </c>
      <c r="S28" s="342" t="str">
        <f>IF('Private Enrollment'!S28=0,"NA",'Public PreK-12 Enrollment'!S34+'Private Enrollment'!S28)</f>
        <v>NA</v>
      </c>
      <c r="T28" s="342" t="str">
        <f>IF('Private Enrollment'!T28=0,"NA",'Public PreK-12 Enrollment'!T34+'Private Enrollment'!T28)</f>
        <v>NA</v>
      </c>
      <c r="U28" s="342" t="str">
        <f>IF('Private Enrollment'!U28=0,"NA",'Public PreK-12 Enrollment'!U34+'Private Enrollment'!U28)</f>
        <v>NA</v>
      </c>
      <c r="V28" s="342">
        <f>'Public PreK-12 Enrollment'!V34+'Private Enrollment'!V28</f>
        <v>598536</v>
      </c>
      <c r="W28" s="342">
        <f>'Public PreK-12 Enrollment'!W34+'Private Enrollment'!W28</f>
        <v>620779.5</v>
      </c>
      <c r="X28" s="342">
        <f>'Public PreK-12 Enrollment'!X34+'Private Enrollment'!X28</f>
        <v>650382</v>
      </c>
      <c r="Y28" s="342">
        <f>'Public PreK-12 Enrollment'!Y34+'Private Enrollment'!Y28</f>
        <v>668177</v>
      </c>
      <c r="Z28" s="342">
        <f>'Public PreK-12 Enrollment'!Z34+'Private Enrollment'!Z28</f>
        <v>678794</v>
      </c>
      <c r="AA28" s="342">
        <f>'Public PreK-12 Enrollment'!AA34+'Private Enrollment'!AA28</f>
        <v>691875.5</v>
      </c>
      <c r="AB28" s="342">
        <f>'Public PreK-12 Enrollment'!AB34+'Private Enrollment'!AB28</f>
        <v>705256</v>
      </c>
      <c r="AC28" s="342">
        <f>'Public PreK-12 Enrollment'!AC34+'Private Enrollment'!AC28</f>
        <v>730631.5</v>
      </c>
      <c r="AD28" s="342">
        <f>'Public PreK-12 Enrollment'!AD34+'Private Enrollment'!AD28</f>
        <v>752577</v>
      </c>
      <c r="AE28" s="342">
        <f>'Public PreK-12 Enrollment'!AE34+'Private Enrollment'!AE28</f>
        <v>764685</v>
      </c>
      <c r="AF28" s="342">
        <f>'Public PreK-12 Enrollment'!AF34+'Private Enrollment'!AF28</f>
        <v>773799</v>
      </c>
      <c r="AG28" s="342">
        <f>'Public PreK-12 Enrollment'!AG34+'Private Enrollment'!AG28</f>
        <v>789703</v>
      </c>
      <c r="AH28" s="342">
        <f>'Public PreK-12 Enrollment'!AH34+'Private Enrollment'!AH28</f>
        <v>806845</v>
      </c>
      <c r="AI28" s="342">
        <f>'Public PreK-12 Enrollment'!AI34+'Private Enrollment'!AI28</f>
        <v>815252</v>
      </c>
      <c r="AJ28" s="342">
        <f>'Public PreK-12 Enrollment'!AJ34+'Private Enrollment'!AJ28</f>
        <v>819773</v>
      </c>
      <c r="AK28" s="342">
        <f>'Public PreK-12 Enrollment'!AK34+'Private Enrollment'!AK28</f>
        <v>832401</v>
      </c>
      <c r="AL28" s="342">
        <f>'Public PreK-12 Enrollment'!AL34+'Private Enrollment'!AL28</f>
        <v>850596</v>
      </c>
      <c r="AM28" s="342">
        <f>'Public PreK-12 Enrollment'!AM34+'Private Enrollment'!AM28</f>
        <v>861781</v>
      </c>
      <c r="AN28" s="342">
        <f>'Public PreK-12 Enrollment'!AN34+'Private Enrollment'!AN28</f>
        <v>866607</v>
      </c>
      <c r="AO28" s="342">
        <f>'Public PreK-12 Enrollment'!AO34+'Private Enrollment'!AO28</f>
        <v>875085.5</v>
      </c>
      <c r="AP28" s="342">
        <f>'Public PreK-12 Enrollment'!AP34+'Private Enrollment'!AQ28</f>
        <v>896088</v>
      </c>
      <c r="AQ28" s="342">
        <f>'Public PreK-12 Enrollment'!AQ34+'Private Enrollment'!AR28</f>
        <v>905746</v>
      </c>
      <c r="AR28" s="342">
        <f>'Public PreK-12 Enrollment'!AR34+'Private Enrollment'!AS28</f>
        <v>915405</v>
      </c>
    </row>
    <row r="29" spans="1:44">
      <c r="A29" s="113" t="s">
        <v>134</v>
      </c>
      <c r="B29" s="342">
        <f>'Public PreK-12 Enrollment'!B35+'Private Enrollment'!B29</f>
        <v>195600</v>
      </c>
      <c r="C29" s="342">
        <f>'Public PreK-12 Enrollment'!C35+'Private Enrollment'!C29</f>
        <v>203406</v>
      </c>
      <c r="D29" s="342" t="str">
        <f>IF('Private Enrollment'!D29=0,"NA",'Public PreK-12 Enrollment'!D35+'Private Enrollment'!D29)</f>
        <v>NA</v>
      </c>
      <c r="E29" s="342" t="str">
        <f>IF('Private Enrollment'!E29=0,"NA",'Public PreK-12 Enrollment'!E35+'Private Enrollment'!E29)</f>
        <v>NA</v>
      </c>
      <c r="F29" s="342" t="str">
        <f>IF('Private Enrollment'!F29=0,"NA",'Public PreK-12 Enrollment'!F35+'Private Enrollment'!F29)</f>
        <v>NA</v>
      </c>
      <c r="G29" s="342" t="str">
        <f>IF('Private Enrollment'!G29=0,"NA",'Public PreK-12 Enrollment'!G35+'Private Enrollment'!G29)</f>
        <v>NA</v>
      </c>
      <c r="H29" s="342">
        <f>'Public PreK-12 Enrollment'!H35+'Private Enrollment'!H29</f>
        <v>196030</v>
      </c>
      <c r="I29" s="342" t="str">
        <f>IF('Private Enrollment'!I29=0,"NA",'Public PreK-12 Enrollment'!I35+'Private Enrollment'!I29)</f>
        <v>NA</v>
      </c>
      <c r="J29" s="342" t="str">
        <f>IF('Private Enrollment'!J29=0,"NA",'Public PreK-12 Enrollment'!J35+'Private Enrollment'!J29)</f>
        <v>NA</v>
      </c>
      <c r="K29" s="342">
        <f>'Public PreK-12 Enrollment'!K35+'Private Enrollment'!K29</f>
        <v>205428</v>
      </c>
      <c r="L29" s="342">
        <f>'Public PreK-12 Enrollment'!L35+'Private Enrollment'!L29</f>
        <v>204567</v>
      </c>
      <c r="M29" s="342">
        <f>'Public PreK-12 Enrollment'!M35+'Private Enrollment'!M29</f>
        <v>202215</v>
      </c>
      <c r="N29" s="342" t="str">
        <f>IF('Private Enrollment'!N29=0,"NA",'Public PreK-12 Enrollment'!N35+'Private Enrollment'!N29)</f>
        <v>NA</v>
      </c>
      <c r="O29" s="342" t="str">
        <f>IF('Private Enrollment'!O29=0,"NA",'Public PreK-12 Enrollment'!O35+'Private Enrollment'!O29)</f>
        <v>NA</v>
      </c>
      <c r="P29" s="342" t="str">
        <f>IF('Private Enrollment'!P29=0,"NA",'Public PreK-12 Enrollment'!P35+'Private Enrollment'!P29)</f>
        <v>NA</v>
      </c>
      <c r="Q29" s="342" t="str">
        <f>IF('Private Enrollment'!Q29=0,"NA",'Public PreK-12 Enrollment'!Q35+'Private Enrollment'!Q29)</f>
        <v>NA</v>
      </c>
      <c r="R29" s="342" t="str">
        <f>IF('Private Enrollment'!R29=0,"NA",'Public PreK-12 Enrollment'!R35+'Private Enrollment'!R29)</f>
        <v>NA</v>
      </c>
      <c r="S29" s="342" t="str">
        <f>IF('Private Enrollment'!S29=0,"NA",'Public PreK-12 Enrollment'!S35+'Private Enrollment'!S29)</f>
        <v>NA</v>
      </c>
      <c r="T29" s="342" t="str">
        <f>IF('Private Enrollment'!T29=0,"NA",'Public PreK-12 Enrollment'!T35+'Private Enrollment'!T29)</f>
        <v>NA</v>
      </c>
      <c r="U29" s="342" t="str">
        <f>IF('Private Enrollment'!U29=0,"NA",'Public PreK-12 Enrollment'!U35+'Private Enrollment'!U29)</f>
        <v>NA</v>
      </c>
      <c r="V29" s="342">
        <f>'Public PreK-12 Enrollment'!V35+'Private Enrollment'!V29</f>
        <v>205425</v>
      </c>
      <c r="W29" s="342">
        <f>'Public PreK-12 Enrollment'!W35+'Private Enrollment'!W29</f>
        <v>207827</v>
      </c>
      <c r="X29" s="342">
        <f>'Public PreK-12 Enrollment'!X35+'Private Enrollment'!X29</f>
        <v>211053</v>
      </c>
      <c r="Y29" s="342">
        <f>'Public PreK-12 Enrollment'!Y35+'Private Enrollment'!Y29</f>
        <v>210869.5</v>
      </c>
      <c r="Z29" s="342">
        <f>'Public PreK-12 Enrollment'!Z35+'Private Enrollment'!Z29</f>
        <v>210947</v>
      </c>
      <c r="AA29" s="342">
        <f>'Public PreK-12 Enrollment'!AA35+'Private Enrollment'!AA29</f>
        <v>216334</v>
      </c>
      <c r="AB29" s="342">
        <f>'Public PreK-12 Enrollment'!AB35+'Private Enrollment'!AB29</f>
        <v>221721</v>
      </c>
      <c r="AC29" s="342">
        <f>'Public PreK-12 Enrollment'!AC35+'Private Enrollment'!AC29</f>
        <v>222688.5</v>
      </c>
      <c r="AD29" s="342">
        <f>'Public PreK-12 Enrollment'!AD35+'Private Enrollment'!AD29</f>
        <v>225417</v>
      </c>
      <c r="AE29" s="342">
        <f>'Public PreK-12 Enrollment'!AE35+'Private Enrollment'!AE29</f>
        <v>223609</v>
      </c>
      <c r="AF29" s="342">
        <f>'Public PreK-12 Enrollment'!AF35+'Private Enrollment'!AF29</f>
        <v>221410</v>
      </c>
      <c r="AG29" s="342">
        <f>'Public PreK-12 Enrollment'!AG35+'Private Enrollment'!AG29</f>
        <v>223625</v>
      </c>
      <c r="AH29" s="342">
        <f>'Public PreK-12 Enrollment'!AH35+'Private Enrollment'!AH29</f>
        <v>227526</v>
      </c>
      <c r="AI29" s="342">
        <f>'Public PreK-12 Enrollment'!AI35+'Private Enrollment'!AI29</f>
        <v>225289</v>
      </c>
      <c r="AJ29" s="342">
        <f>'Public PreK-12 Enrollment'!AJ35+'Private Enrollment'!AJ29</f>
        <v>223549</v>
      </c>
      <c r="AK29" s="342">
        <f>'Public PreK-12 Enrollment'!AK35+'Private Enrollment'!AK29</f>
        <v>219560</v>
      </c>
      <c r="AL29" s="342">
        <f>'Public PreK-12 Enrollment'!AL35+'Private Enrollment'!AL29</f>
        <v>215628</v>
      </c>
      <c r="AM29" s="342">
        <f>'Public PreK-12 Enrollment'!AM35+'Private Enrollment'!AM29</f>
        <v>215783</v>
      </c>
      <c r="AN29" s="342">
        <f>'Public PreK-12 Enrollment'!AN35+'Private Enrollment'!AN29</f>
        <v>217197</v>
      </c>
      <c r="AO29" s="342">
        <f>'Public PreK-12 Enrollment'!AO35+'Private Enrollment'!AO29</f>
        <v>214896</v>
      </c>
      <c r="AP29" s="342">
        <f>'Public PreK-12 Enrollment'!AP35+'Private Enrollment'!AQ29</f>
        <v>217326</v>
      </c>
      <c r="AQ29" s="342">
        <f>'Public PreK-12 Enrollment'!AQ35+'Private Enrollment'!AR29</f>
        <v>216931</v>
      </c>
      <c r="AR29" s="342">
        <f>'Public PreK-12 Enrollment'!AR35+'Private Enrollment'!AS29</f>
        <v>220236</v>
      </c>
    </row>
    <row r="30" spans="1:44">
      <c r="A30" s="113" t="s">
        <v>135</v>
      </c>
      <c r="B30" s="342">
        <f>'Public PreK-12 Enrollment'!B36+'Private Enrollment'!B30</f>
        <v>183996</v>
      </c>
      <c r="C30" s="342">
        <f>'Public PreK-12 Enrollment'!C36+'Private Enrollment'!C30</f>
        <v>191821</v>
      </c>
      <c r="D30" s="342" t="str">
        <f>IF('Private Enrollment'!D30=0,"NA",'Public PreK-12 Enrollment'!D36+'Private Enrollment'!D30)</f>
        <v>NA</v>
      </c>
      <c r="E30" s="342" t="str">
        <f>IF('Private Enrollment'!E30=0,"NA",'Public PreK-12 Enrollment'!E36+'Private Enrollment'!E30)</f>
        <v>NA</v>
      </c>
      <c r="F30" s="342" t="str">
        <f>IF('Private Enrollment'!F30=0,"NA",'Public PreK-12 Enrollment'!F36+'Private Enrollment'!F30)</f>
        <v>NA</v>
      </c>
      <c r="G30" s="342" t="str">
        <f>IF('Private Enrollment'!G30=0,"NA",'Public PreK-12 Enrollment'!G36+'Private Enrollment'!G30)</f>
        <v>NA</v>
      </c>
      <c r="H30" s="342">
        <f>'Public PreK-12 Enrollment'!H36+'Private Enrollment'!H30</f>
        <v>202216</v>
      </c>
      <c r="I30" s="342" t="str">
        <f>IF('Private Enrollment'!I30=0,"NA",'Public PreK-12 Enrollment'!I36+'Private Enrollment'!I30)</f>
        <v>NA</v>
      </c>
      <c r="J30" s="342" t="str">
        <f>IF('Private Enrollment'!J30=0,"NA",'Public PreK-12 Enrollment'!J36+'Private Enrollment'!J30)</f>
        <v>NA</v>
      </c>
      <c r="K30" s="342">
        <f>'Public PreK-12 Enrollment'!K36+'Private Enrollment'!K30</f>
        <v>209211</v>
      </c>
      <c r="L30" s="342">
        <f>'Public PreK-12 Enrollment'!L36+'Private Enrollment'!L30</f>
        <v>208772</v>
      </c>
      <c r="M30" s="342">
        <f>'Public PreK-12 Enrollment'!M36+'Private Enrollment'!M30</f>
        <v>209086</v>
      </c>
      <c r="N30" s="342" t="str">
        <f>IF('Private Enrollment'!N30=0,"NA",'Public PreK-12 Enrollment'!N36+'Private Enrollment'!N30)</f>
        <v>NA</v>
      </c>
      <c r="O30" s="342" t="str">
        <f>IF('Private Enrollment'!O30=0,"NA",'Public PreK-12 Enrollment'!O36+'Private Enrollment'!O30)</f>
        <v>NA</v>
      </c>
      <c r="P30" s="342" t="str">
        <f>IF('Private Enrollment'!P30=0,"NA",'Public PreK-12 Enrollment'!P36+'Private Enrollment'!P30)</f>
        <v>NA</v>
      </c>
      <c r="Q30" s="342" t="str">
        <f>IF('Private Enrollment'!Q30=0,"NA",'Public PreK-12 Enrollment'!Q36+'Private Enrollment'!Q30)</f>
        <v>NA</v>
      </c>
      <c r="R30" s="342" t="str">
        <f>IF('Private Enrollment'!R30=0,"NA",'Public PreK-12 Enrollment'!R36+'Private Enrollment'!R30)</f>
        <v>NA</v>
      </c>
      <c r="S30" s="342" t="str">
        <f>IF('Private Enrollment'!S30=0,"NA",'Public PreK-12 Enrollment'!S36+'Private Enrollment'!S30)</f>
        <v>NA</v>
      </c>
      <c r="T30" s="342" t="str">
        <f>IF('Private Enrollment'!T30=0,"NA",'Public PreK-12 Enrollment'!T36+'Private Enrollment'!T30)</f>
        <v>NA</v>
      </c>
      <c r="U30" s="342" t="str">
        <f>IF('Private Enrollment'!U30=0,"NA",'Public PreK-12 Enrollment'!U36+'Private Enrollment'!U30)</f>
        <v>NA</v>
      </c>
      <c r="V30" s="342">
        <f>'Public PreK-12 Enrollment'!V36+'Private Enrollment'!V30</f>
        <v>224776</v>
      </c>
      <c r="W30" s="342">
        <f>'Public PreK-12 Enrollment'!W36+'Private Enrollment'!W30</f>
        <v>229084</v>
      </c>
      <c r="X30" s="342">
        <f>'Public PreK-12 Enrollment'!X36+'Private Enrollment'!X30</f>
        <v>232324</v>
      </c>
      <c r="Y30" s="342">
        <f>'Public PreK-12 Enrollment'!Y36+'Private Enrollment'!Y30</f>
        <v>238999.5</v>
      </c>
      <c r="Z30" s="342">
        <f>'Public PreK-12 Enrollment'!Z36+'Private Enrollment'!Z30</f>
        <v>244793</v>
      </c>
      <c r="AA30" s="342">
        <f>'Public PreK-12 Enrollment'!AA36+'Private Enrollment'!AA30</f>
        <v>249062.5</v>
      </c>
      <c r="AB30" s="342">
        <f>'Public PreK-12 Enrollment'!AB36+'Private Enrollment'!AB30</f>
        <v>252307</v>
      </c>
      <c r="AC30" s="342">
        <f>'Public PreK-12 Enrollment'!AC36+'Private Enrollment'!AC30</f>
        <v>255427</v>
      </c>
      <c r="AD30" s="342">
        <f>'Public PreK-12 Enrollment'!AD36+'Private Enrollment'!AD30</f>
        <v>255543</v>
      </c>
      <c r="AE30" s="342">
        <f>'Public PreK-12 Enrollment'!AE36+'Private Enrollment'!AE30</f>
        <v>256652</v>
      </c>
      <c r="AF30" s="342">
        <f>'Public PreK-12 Enrollment'!AF36+'Private Enrollment'!AF30</f>
        <v>257856</v>
      </c>
      <c r="AG30" s="342">
        <f>'Public PreK-12 Enrollment'!AG36+'Private Enrollment'!AG30</f>
        <v>257502</v>
      </c>
      <c r="AH30" s="342">
        <f>'Public PreK-12 Enrollment'!AH36+'Private Enrollment'!AH30</f>
        <v>258571</v>
      </c>
      <c r="AI30" s="342">
        <f>'Public PreK-12 Enrollment'!AI36+'Private Enrollment'!AI30</f>
        <v>260914</v>
      </c>
      <c r="AJ30" s="342">
        <f>'Public PreK-12 Enrollment'!AJ36+'Private Enrollment'!AJ30</f>
        <v>264690</v>
      </c>
      <c r="AK30" s="342">
        <f>'Public PreK-12 Enrollment'!AK36+'Private Enrollment'!AK30</f>
        <v>270029</v>
      </c>
      <c r="AL30" s="342">
        <f>'Public PreK-12 Enrollment'!AL36+'Private Enrollment'!AL30</f>
        <v>277302</v>
      </c>
      <c r="AM30" s="342">
        <f>'Public PreK-12 Enrollment'!AM36+'Private Enrollment'!AM30</f>
        <v>287390</v>
      </c>
      <c r="AN30" s="342">
        <f>'Public PreK-12 Enrollment'!AN36+'Private Enrollment'!AN30</f>
        <v>296819</v>
      </c>
      <c r="AO30" s="342">
        <f>'Public PreK-12 Enrollment'!AO36+'Private Enrollment'!AO30</f>
        <v>294654.5</v>
      </c>
      <c r="AP30" s="342">
        <f>'Public PreK-12 Enrollment'!AP36+'Private Enrollment'!AQ30</f>
        <v>294979</v>
      </c>
      <c r="AQ30" s="342">
        <f>'Public PreK-12 Enrollment'!AQ36+'Private Enrollment'!AR30</f>
        <v>292034</v>
      </c>
      <c r="AR30" s="342">
        <f>'Public PreK-12 Enrollment'!AR36+'Private Enrollment'!AS30</f>
        <v>293543</v>
      </c>
    </row>
    <row r="31" spans="1:44">
      <c r="A31" s="113" t="s">
        <v>145</v>
      </c>
      <c r="B31" s="342">
        <f>'Public PreK-12 Enrollment'!B37+'Private Enrollment'!B31</f>
        <v>190065</v>
      </c>
      <c r="C31" s="342">
        <f>'Public PreK-12 Enrollment'!C37+'Private Enrollment'!C31</f>
        <v>190466</v>
      </c>
      <c r="D31" s="342" t="str">
        <f>IF('Private Enrollment'!D31=0,"NA",'Public PreK-12 Enrollment'!D37+'Private Enrollment'!D31)</f>
        <v>NA</v>
      </c>
      <c r="E31" s="342" t="str">
        <f>IF('Private Enrollment'!E31=0,"NA",'Public PreK-12 Enrollment'!E37+'Private Enrollment'!E31)</f>
        <v>NA</v>
      </c>
      <c r="F31" s="342" t="str">
        <f>IF('Private Enrollment'!F31=0,"NA",'Public PreK-12 Enrollment'!F37+'Private Enrollment'!F31)</f>
        <v>NA</v>
      </c>
      <c r="G31" s="342" t="str">
        <f>IF('Private Enrollment'!G31=0,"NA",'Public PreK-12 Enrollment'!G37+'Private Enrollment'!G31)</f>
        <v>NA</v>
      </c>
      <c r="H31" s="342">
        <f>'Public PreK-12 Enrollment'!H37+'Private Enrollment'!H31</f>
        <v>181688</v>
      </c>
      <c r="I31" s="342" t="str">
        <f>IF('Private Enrollment'!I31=0,"NA",'Public PreK-12 Enrollment'!I37+'Private Enrollment'!I31)</f>
        <v>NA</v>
      </c>
      <c r="J31" s="342" t="str">
        <f>IF('Private Enrollment'!J31=0,"NA",'Public PreK-12 Enrollment'!J37+'Private Enrollment'!J31)</f>
        <v>NA</v>
      </c>
      <c r="K31" s="342">
        <f>'Public PreK-12 Enrollment'!K37+'Private Enrollment'!K31</f>
        <v>174073</v>
      </c>
      <c r="L31" s="342">
        <f>'Public PreK-12 Enrollment'!L37+'Private Enrollment'!L31</f>
        <v>166915.5</v>
      </c>
      <c r="M31" s="342">
        <f>'Public PreK-12 Enrollment'!M37+'Private Enrollment'!M31</f>
        <v>162861</v>
      </c>
      <c r="N31" s="342" t="str">
        <f>IF('Private Enrollment'!N31=0,"NA",'Public PreK-12 Enrollment'!N37+'Private Enrollment'!N31)</f>
        <v>NA</v>
      </c>
      <c r="O31" s="342" t="str">
        <f>IF('Private Enrollment'!O31=0,"NA",'Public PreK-12 Enrollment'!O37+'Private Enrollment'!O31)</f>
        <v>NA</v>
      </c>
      <c r="P31" s="342" t="str">
        <f>IF('Private Enrollment'!P31=0,"NA",'Public PreK-12 Enrollment'!P37+'Private Enrollment'!P31)</f>
        <v>NA</v>
      </c>
      <c r="Q31" s="342" t="str">
        <f>IF('Private Enrollment'!Q31=0,"NA",'Public PreK-12 Enrollment'!Q37+'Private Enrollment'!Q31)</f>
        <v>NA</v>
      </c>
      <c r="R31" s="342" t="str">
        <f>IF('Private Enrollment'!R31=0,"NA",'Public PreK-12 Enrollment'!R37+'Private Enrollment'!R31)</f>
        <v>NA</v>
      </c>
      <c r="S31" s="342" t="str">
        <f>IF('Private Enrollment'!S31=0,"NA",'Public PreK-12 Enrollment'!S37+'Private Enrollment'!S31)</f>
        <v>NA</v>
      </c>
      <c r="T31" s="342" t="str">
        <f>IF('Private Enrollment'!T31=0,"NA",'Public PreK-12 Enrollment'!T37+'Private Enrollment'!T31)</f>
        <v>NA</v>
      </c>
      <c r="U31" s="342" t="str">
        <f>IF('Private Enrollment'!U31=0,"NA",'Public PreK-12 Enrollment'!U37+'Private Enrollment'!U31)</f>
        <v>NA</v>
      </c>
      <c r="V31" s="342">
        <f>'Public PreK-12 Enrollment'!V37+'Private Enrollment'!V31</f>
        <v>165234</v>
      </c>
      <c r="W31" s="342">
        <f>'Public PreK-12 Enrollment'!W37+'Private Enrollment'!W31</f>
        <v>164780.5</v>
      </c>
      <c r="X31" s="342">
        <f>'Public PreK-12 Enrollment'!X37+'Private Enrollment'!X31</f>
        <v>165423</v>
      </c>
      <c r="Y31" s="342">
        <f>'Public PreK-12 Enrollment'!Y37+'Private Enrollment'!Y31</f>
        <v>169388.5</v>
      </c>
      <c r="Z31" s="342">
        <f>'Public PreK-12 Enrollment'!Z37+'Private Enrollment'!Z31</f>
        <v>172120</v>
      </c>
      <c r="AA31" s="342">
        <f>'Public PreK-12 Enrollment'!AA37+'Private Enrollment'!AA31</f>
        <v>173125.5</v>
      </c>
      <c r="AB31" s="342">
        <f>'Public PreK-12 Enrollment'!AB37+'Private Enrollment'!AB31</f>
        <v>174005</v>
      </c>
      <c r="AC31" s="342">
        <f>'Public PreK-12 Enrollment'!AC37+'Private Enrollment'!AC31</f>
        <v>173381</v>
      </c>
      <c r="AD31" s="342">
        <f>'Public PreK-12 Enrollment'!AD37+'Private Enrollment'!AD31</f>
        <v>171385</v>
      </c>
      <c r="AE31" s="342">
        <f>'Public PreK-12 Enrollment'!AE37+'Private Enrollment'!AE31</f>
        <v>169598</v>
      </c>
      <c r="AF31" s="342">
        <f>'Public PreK-12 Enrollment'!AF37+'Private Enrollment'!AF31</f>
        <v>167726</v>
      </c>
      <c r="AG31" s="342">
        <f>'Public PreK-12 Enrollment'!AG37+'Private Enrollment'!AG31</f>
        <v>166425</v>
      </c>
      <c r="AH31" s="342">
        <f>'Public PreK-12 Enrollment'!AH37+'Private Enrollment'!AH31</f>
        <v>164877</v>
      </c>
      <c r="AI31" s="342">
        <f>'Public PreK-12 Enrollment'!AI37+'Private Enrollment'!AI31</f>
        <v>162715</v>
      </c>
      <c r="AJ31" s="342">
        <f>'Public PreK-12 Enrollment'!AJ37+'Private Enrollment'!AJ31</f>
        <v>160866</v>
      </c>
      <c r="AK31" s="342">
        <f>'Public PreK-12 Enrollment'!AK37+'Private Enrollment'!AK31</f>
        <v>170950</v>
      </c>
      <c r="AL31" s="342">
        <f>'Public PreK-12 Enrollment'!AL37+'Private Enrollment'!AL31</f>
        <v>181396</v>
      </c>
      <c r="AM31" s="342">
        <f>'Public PreK-12 Enrollment'!AM37+'Private Enrollment'!AM31</f>
        <v>169923</v>
      </c>
      <c r="AN31" s="342">
        <f>'Public PreK-12 Enrollment'!AN37+'Private Enrollment'!AN31</f>
        <v>157853</v>
      </c>
      <c r="AO31" s="342">
        <f>'Public PreK-12 Enrollment'!AO37+'Private Enrollment'!AO31</f>
        <v>153407.5</v>
      </c>
      <c r="AP31" s="342">
        <f>'Public PreK-12 Enrollment'!AP37+'Private Enrollment'!AQ31</f>
        <v>152197</v>
      </c>
      <c r="AQ31" s="342">
        <f>'Public PreK-12 Enrollment'!AQ37+'Private Enrollment'!AR31</f>
        <v>152163</v>
      </c>
      <c r="AR31" s="342">
        <f>'Public PreK-12 Enrollment'!AR37+'Private Enrollment'!AS31</f>
        <v>152899</v>
      </c>
    </row>
    <row r="32" spans="1:44">
      <c r="A32" s="113" t="s">
        <v>147</v>
      </c>
      <c r="B32" s="342">
        <f>'Public PreK-12 Enrollment'!B38+'Private Enrollment'!B32</f>
        <v>110452</v>
      </c>
      <c r="C32" s="342">
        <f>'Public PreK-12 Enrollment'!C38+'Private Enrollment'!C32</f>
        <v>131914</v>
      </c>
      <c r="D32" s="342" t="str">
        <f>IF('Private Enrollment'!D32=0,"NA",'Public PreK-12 Enrollment'!D38+'Private Enrollment'!D32)</f>
        <v>NA</v>
      </c>
      <c r="E32" s="342" t="str">
        <f>IF('Private Enrollment'!E32=0,"NA",'Public PreK-12 Enrollment'!E38+'Private Enrollment'!E32)</f>
        <v>NA</v>
      </c>
      <c r="F32" s="342" t="str">
        <f>IF('Private Enrollment'!F32=0,"NA",'Public PreK-12 Enrollment'!F38+'Private Enrollment'!F32)</f>
        <v>NA</v>
      </c>
      <c r="G32" s="342" t="str">
        <f>IF('Private Enrollment'!G32=0,"NA",'Public PreK-12 Enrollment'!G38+'Private Enrollment'!G32)</f>
        <v>NA</v>
      </c>
      <c r="H32" s="342">
        <f>'Public PreK-12 Enrollment'!H38+'Private Enrollment'!H32</f>
        <v>142445</v>
      </c>
      <c r="I32" s="342" t="str">
        <f>IF('Private Enrollment'!I32=0,"NA",'Public PreK-12 Enrollment'!I38+'Private Enrollment'!I32)</f>
        <v>NA</v>
      </c>
      <c r="J32" s="342" t="str">
        <f>IF('Private Enrollment'!J32=0,"NA",'Public PreK-12 Enrollment'!J38+'Private Enrollment'!J32)</f>
        <v>NA</v>
      </c>
      <c r="K32" s="342">
        <f>'Public PreK-12 Enrollment'!K38+'Private Enrollment'!K32</f>
        <v>152348</v>
      </c>
      <c r="L32" s="342">
        <f>'Public PreK-12 Enrollment'!L38+'Private Enrollment'!L32</f>
        <v>154067</v>
      </c>
      <c r="M32" s="342">
        <f>'Public PreK-12 Enrollment'!M38+'Private Enrollment'!M32</f>
        <v>156080</v>
      </c>
      <c r="N32" s="342" t="str">
        <f>IF('Private Enrollment'!N32=0,"NA",'Public PreK-12 Enrollment'!N38+'Private Enrollment'!N32)</f>
        <v>NA</v>
      </c>
      <c r="O32" s="342" t="str">
        <f>IF('Private Enrollment'!O32=0,"NA",'Public PreK-12 Enrollment'!O38+'Private Enrollment'!O32)</f>
        <v>NA</v>
      </c>
      <c r="P32" s="342" t="str">
        <f>IF('Private Enrollment'!P32=0,"NA",'Public PreK-12 Enrollment'!P38+'Private Enrollment'!P32)</f>
        <v>NA</v>
      </c>
      <c r="Q32" s="342" t="str">
        <f>IF('Private Enrollment'!Q32=0,"NA",'Public PreK-12 Enrollment'!Q38+'Private Enrollment'!Q32)</f>
        <v>NA</v>
      </c>
      <c r="R32" s="342" t="str">
        <f>IF('Private Enrollment'!R32=0,"NA",'Public PreK-12 Enrollment'!R38+'Private Enrollment'!R32)</f>
        <v>NA</v>
      </c>
      <c r="S32" s="342" t="str">
        <f>IF('Private Enrollment'!S32=0,"NA",'Public PreK-12 Enrollment'!S38+'Private Enrollment'!S32)</f>
        <v>NA</v>
      </c>
      <c r="T32" s="342" t="str">
        <f>IF('Private Enrollment'!T32=0,"NA",'Public PreK-12 Enrollment'!T38+'Private Enrollment'!T32)</f>
        <v>NA</v>
      </c>
      <c r="U32" s="342" t="str">
        <f>IF('Private Enrollment'!U32=0,"NA",'Public PreK-12 Enrollment'!U38+'Private Enrollment'!U32)</f>
        <v>NA</v>
      </c>
      <c r="V32" s="342">
        <f>'Public PreK-12 Enrollment'!V38+'Private Enrollment'!V32</f>
        <v>196547</v>
      </c>
      <c r="W32" s="342">
        <f>'Public PreK-12 Enrollment'!W38+'Private Enrollment'!W32</f>
        <v>210413.5</v>
      </c>
      <c r="X32" s="342">
        <f>'Public PreK-12 Enrollment'!X38+'Private Enrollment'!X32</f>
        <v>220292</v>
      </c>
      <c r="Y32" s="342">
        <f>'Public PreK-12 Enrollment'!Y38+'Private Enrollment'!Y32</f>
        <v>232576.5</v>
      </c>
      <c r="Z32" s="342">
        <f>'Public PreK-12 Enrollment'!Z38+'Private Enrollment'!Z32</f>
        <v>246523</v>
      </c>
      <c r="AA32" s="342">
        <f>'Public PreK-12 Enrollment'!AA38+'Private Enrollment'!AA32</f>
        <v>262234</v>
      </c>
      <c r="AB32" s="342">
        <f>'Public PreK-12 Enrollment'!AB38+'Private Enrollment'!AB32</f>
        <v>277292</v>
      </c>
      <c r="AC32" s="342">
        <f>'Public PreK-12 Enrollment'!AC38+'Private Enrollment'!AC32</f>
        <v>295936.5</v>
      </c>
      <c r="AD32" s="342">
        <f>'Public PreK-12 Enrollment'!AD38+'Private Enrollment'!AD32</f>
        <v>311981</v>
      </c>
      <c r="AE32" s="342">
        <f>'Public PreK-12 Enrollment'!AE38+'Private Enrollment'!AE32</f>
        <v>327416</v>
      </c>
      <c r="AF32" s="342">
        <f>'Public PreK-12 Enrollment'!AF38+'Private Enrollment'!AF32</f>
        <v>342960</v>
      </c>
      <c r="AG32" s="342">
        <f>'Public PreK-12 Enrollment'!AG38+'Private Enrollment'!AG32</f>
        <v>359566</v>
      </c>
      <c r="AH32" s="342">
        <f>'Public PreK-12 Enrollment'!AH38+'Private Enrollment'!AH32</f>
        <v>377184</v>
      </c>
      <c r="AI32" s="342">
        <f>'Public PreK-12 Enrollment'!AI38+'Private Enrollment'!AI32</f>
        <v>391648</v>
      </c>
      <c r="AJ32" s="342">
        <f>'Public PreK-12 Enrollment'!AJ38+'Private Enrollment'!AJ32</f>
        <v>409331</v>
      </c>
      <c r="AK32" s="342">
        <f>'Public PreK-12 Enrollment'!AK38+'Private Enrollment'!AK32</f>
        <v>426608</v>
      </c>
      <c r="AL32" s="342">
        <f>'Public PreK-12 Enrollment'!AL38+'Private Enrollment'!AL32</f>
        <v>441515</v>
      </c>
      <c r="AM32" s="342">
        <f>'Public PreK-12 Enrollment'!AM38+'Private Enrollment'!AM32</f>
        <v>454236</v>
      </c>
      <c r="AN32" s="342">
        <f>'Public PreK-12 Enrollment'!AN38+'Private Enrollment'!AN32</f>
        <v>459182</v>
      </c>
      <c r="AO32" s="342">
        <f>'Public PreK-12 Enrollment'!AO38+'Private Enrollment'!AO32</f>
        <v>458335</v>
      </c>
      <c r="AP32" s="342">
        <f>'Public PreK-12 Enrollment'!AP38+'Private Enrollment'!AQ32</f>
        <v>454007</v>
      </c>
      <c r="AQ32" s="342">
        <f>'Public PreK-12 Enrollment'!AQ38+'Private Enrollment'!AR32</f>
        <v>462744</v>
      </c>
      <c r="AR32" s="342">
        <f>'Public PreK-12 Enrollment'!AR38+'Private Enrollment'!AS32</f>
        <v>465764</v>
      </c>
    </row>
    <row r="33" spans="1:44">
      <c r="A33" s="113" t="s">
        <v>150</v>
      </c>
      <c r="B33" s="342">
        <f>'Public PreK-12 Enrollment'!B39+'Private Enrollment'!B33</f>
        <v>298100</v>
      </c>
      <c r="C33" s="342">
        <f>'Public PreK-12 Enrollment'!C39+'Private Enrollment'!C33</f>
        <v>298345</v>
      </c>
      <c r="D33" s="342" t="str">
        <f>IF('Private Enrollment'!D33=0,"NA",'Public PreK-12 Enrollment'!D39+'Private Enrollment'!D33)</f>
        <v>NA</v>
      </c>
      <c r="E33" s="342" t="str">
        <f>IF('Private Enrollment'!E33=0,"NA",'Public PreK-12 Enrollment'!E39+'Private Enrollment'!E33)</f>
        <v>NA</v>
      </c>
      <c r="F33" s="342" t="str">
        <f>IF('Private Enrollment'!F33=0,"NA",'Public PreK-12 Enrollment'!F39+'Private Enrollment'!F33)</f>
        <v>NA</v>
      </c>
      <c r="G33" s="342" t="str">
        <f>IF('Private Enrollment'!G33=0,"NA",'Public PreK-12 Enrollment'!G39+'Private Enrollment'!G33)</f>
        <v>NA</v>
      </c>
      <c r="H33" s="342">
        <f>'Public PreK-12 Enrollment'!H39+'Private Enrollment'!H33</f>
        <v>287012</v>
      </c>
      <c r="I33" s="342" t="str">
        <f>IF('Private Enrollment'!I33=0,"NA",'Public PreK-12 Enrollment'!I39+'Private Enrollment'!I33)</f>
        <v>NA</v>
      </c>
      <c r="J33" s="342" t="str">
        <f>IF('Private Enrollment'!J33=0,"NA",'Public PreK-12 Enrollment'!J39+'Private Enrollment'!J33)</f>
        <v>NA</v>
      </c>
      <c r="K33" s="342">
        <f>'Public PreK-12 Enrollment'!K39+'Private Enrollment'!K33</f>
        <v>298263</v>
      </c>
      <c r="L33" s="342">
        <f>'Public PreK-12 Enrollment'!L39+'Private Enrollment'!L33</f>
        <v>294092.5</v>
      </c>
      <c r="M33" s="342">
        <f>'Public PreK-12 Enrollment'!M39+'Private Enrollment'!M33</f>
        <v>289225</v>
      </c>
      <c r="N33" s="342" t="str">
        <f>IF('Private Enrollment'!N33=0,"NA",'Public PreK-12 Enrollment'!N39+'Private Enrollment'!N33)</f>
        <v>NA</v>
      </c>
      <c r="O33" s="342" t="str">
        <f>IF('Private Enrollment'!O33=0,"NA",'Public PreK-12 Enrollment'!O39+'Private Enrollment'!O33)</f>
        <v>NA</v>
      </c>
      <c r="P33" s="342" t="str">
        <f>IF('Private Enrollment'!P33=0,"NA",'Public PreK-12 Enrollment'!P39+'Private Enrollment'!P33)</f>
        <v>NA</v>
      </c>
      <c r="Q33" s="342" t="str">
        <f>IF('Private Enrollment'!Q33=0,"NA",'Public PreK-12 Enrollment'!Q39+'Private Enrollment'!Q33)</f>
        <v>NA</v>
      </c>
      <c r="R33" s="342" t="str">
        <f>IF('Private Enrollment'!R33=0,"NA",'Public PreK-12 Enrollment'!R39+'Private Enrollment'!R33)</f>
        <v>NA</v>
      </c>
      <c r="S33" s="342" t="str">
        <f>IF('Private Enrollment'!S33=0,"NA",'Public PreK-12 Enrollment'!S39+'Private Enrollment'!S33)</f>
        <v>NA</v>
      </c>
      <c r="T33" s="342" t="str">
        <f>IF('Private Enrollment'!T33=0,"NA",'Public PreK-12 Enrollment'!T39+'Private Enrollment'!T33)</f>
        <v>NA</v>
      </c>
      <c r="U33" s="342" t="str">
        <f>IF('Private Enrollment'!U33=0,"NA",'Public PreK-12 Enrollment'!U39+'Private Enrollment'!U33)</f>
        <v>NA</v>
      </c>
      <c r="V33" s="342">
        <f>'Public PreK-12 Enrollment'!V39+'Private Enrollment'!V33</f>
        <v>329093</v>
      </c>
      <c r="W33" s="342">
        <f>'Public PreK-12 Enrollment'!W39+'Private Enrollment'!W33</f>
        <v>330017</v>
      </c>
      <c r="X33" s="342">
        <f>'Public PreK-12 Enrollment'!X39+'Private Enrollment'!X33</f>
        <v>331903</v>
      </c>
      <c r="Y33" s="342">
        <f>'Public PreK-12 Enrollment'!Y39+'Private Enrollment'!Y33</f>
        <v>337289.5</v>
      </c>
      <c r="Z33" s="342">
        <f>'Public PreK-12 Enrollment'!Z39+'Private Enrollment'!Z33</f>
        <v>342299</v>
      </c>
      <c r="AA33" s="342">
        <f>'Public PreK-12 Enrollment'!AA39+'Private Enrollment'!AA33</f>
        <v>348698</v>
      </c>
      <c r="AB33" s="342">
        <f>'Public PreK-12 Enrollment'!AB39+'Private Enrollment'!AB33</f>
        <v>352533</v>
      </c>
      <c r="AC33" s="342">
        <f>'Public PreK-12 Enrollment'!AC39+'Private Enrollment'!AC33</f>
        <v>355868.5</v>
      </c>
      <c r="AD33" s="342">
        <f>'Public PreK-12 Enrollment'!AD39+'Private Enrollment'!AD33</f>
        <v>355253</v>
      </c>
      <c r="AE33" s="342">
        <f>'Public PreK-12 Enrollment'!AE39+'Private Enrollment'!AE33</f>
        <v>354828</v>
      </c>
      <c r="AF33" s="342">
        <f>'Public PreK-12 Enrollment'!AF39+'Private Enrollment'!AF33</f>
        <v>353065</v>
      </c>
      <c r="AG33" s="342">
        <f>'Public PreK-12 Enrollment'!AG39+'Private Enrollment'!AG33</f>
        <v>347846</v>
      </c>
      <c r="AH33" s="342">
        <f>'Public PreK-12 Enrollment'!AH39+'Private Enrollment'!AH33</f>
        <v>346770</v>
      </c>
      <c r="AI33" s="342">
        <f>'Public PreK-12 Enrollment'!AI39+'Private Enrollment'!AI33</f>
        <v>348144</v>
      </c>
      <c r="AJ33" s="342">
        <f>'Public PreK-12 Enrollment'!AJ39+'Private Enrollment'!AJ33</f>
        <v>352376</v>
      </c>
      <c r="AK33" s="342">
        <f>'Public PreK-12 Enrollment'!AK39+'Private Enrollment'!AK33</f>
        <v>353272</v>
      </c>
      <c r="AL33" s="342">
        <f>'Public PreK-12 Enrollment'!AL39+'Private Enrollment'!AL33</f>
        <v>351788</v>
      </c>
      <c r="AM33" s="342">
        <f>'Public PreK-12 Enrollment'!AM39+'Private Enrollment'!AM33</f>
        <v>354380</v>
      </c>
      <c r="AN33" s="342">
        <f>'Public PreK-12 Enrollment'!AN39+'Private Enrollment'!AN33</f>
        <v>356330</v>
      </c>
      <c r="AO33" s="342">
        <f>'Public PreK-12 Enrollment'!AO39+'Private Enrollment'!AO33</f>
        <v>354164</v>
      </c>
      <c r="AP33" s="342">
        <f>'Public PreK-12 Enrollment'!AP39+'Private Enrollment'!AQ33</f>
        <v>358149</v>
      </c>
      <c r="AQ33" s="342">
        <f>'Public PreK-12 Enrollment'!AQ39+'Private Enrollment'!AR33</f>
        <v>361327</v>
      </c>
      <c r="AR33" s="342">
        <f>'Public PreK-12 Enrollment'!AR39+'Private Enrollment'!AS33</f>
        <v>359905</v>
      </c>
    </row>
    <row r="34" spans="1:44">
      <c r="A34" s="113" t="s">
        <v>154</v>
      </c>
      <c r="B34" s="342">
        <f>'Public PreK-12 Enrollment'!B40+'Private Enrollment'!B34</f>
        <v>486927</v>
      </c>
      <c r="C34" s="342">
        <f>'Public PreK-12 Enrollment'!C40+'Private Enrollment'!C34</f>
        <v>517992</v>
      </c>
      <c r="D34" s="342" t="str">
        <f>IF('Private Enrollment'!D34=0,"NA",'Public PreK-12 Enrollment'!D40+'Private Enrollment'!D34)</f>
        <v>NA</v>
      </c>
      <c r="E34" s="342" t="str">
        <f>IF('Private Enrollment'!E34=0,"NA",'Public PreK-12 Enrollment'!E40+'Private Enrollment'!E34)</f>
        <v>NA</v>
      </c>
      <c r="F34" s="342" t="str">
        <f>IF('Private Enrollment'!F34=0,"NA",'Public PreK-12 Enrollment'!F40+'Private Enrollment'!F34)</f>
        <v>NA</v>
      </c>
      <c r="G34" s="342" t="str">
        <f>IF('Private Enrollment'!G34=0,"NA",'Public PreK-12 Enrollment'!G40+'Private Enrollment'!G34)</f>
        <v>NA</v>
      </c>
      <c r="H34" s="342">
        <f>'Public PreK-12 Enrollment'!H40+'Private Enrollment'!H34</f>
        <v>500659</v>
      </c>
      <c r="I34" s="342" t="str">
        <f>IF('Private Enrollment'!I34=0,"NA",'Public PreK-12 Enrollment'!I40+'Private Enrollment'!I34)</f>
        <v>NA</v>
      </c>
      <c r="J34" s="342" t="str">
        <f>IF('Private Enrollment'!J34=0,"NA",'Public PreK-12 Enrollment'!J40+'Private Enrollment'!J34)</f>
        <v>NA</v>
      </c>
      <c r="K34" s="342">
        <f>'Public PreK-12 Enrollment'!K40+'Private Enrollment'!K34</f>
        <v>498037</v>
      </c>
      <c r="L34" s="342">
        <f>'Public PreK-12 Enrollment'!L40+'Private Enrollment'!L34</f>
        <v>494373.5</v>
      </c>
      <c r="M34" s="342">
        <f>'Public PreK-12 Enrollment'!M40+'Private Enrollment'!M34</f>
        <v>492427</v>
      </c>
      <c r="N34" s="342" t="str">
        <f>IF('Private Enrollment'!N34=0,"NA",'Public PreK-12 Enrollment'!N40+'Private Enrollment'!N34)</f>
        <v>NA</v>
      </c>
      <c r="O34" s="342" t="str">
        <f>IF('Private Enrollment'!O34=0,"NA",'Public PreK-12 Enrollment'!O40+'Private Enrollment'!O34)</f>
        <v>NA</v>
      </c>
      <c r="P34" s="342" t="str">
        <f>IF('Private Enrollment'!P34=0,"NA",'Public PreK-12 Enrollment'!P40+'Private Enrollment'!P34)</f>
        <v>NA</v>
      </c>
      <c r="Q34" s="342" t="str">
        <f>IF('Private Enrollment'!Q34=0,"NA",'Public PreK-12 Enrollment'!Q40+'Private Enrollment'!Q34)</f>
        <v>NA</v>
      </c>
      <c r="R34" s="342" t="str">
        <f>IF('Private Enrollment'!R34=0,"NA",'Public PreK-12 Enrollment'!R40+'Private Enrollment'!R34)</f>
        <v>NA</v>
      </c>
      <c r="S34" s="342" t="str">
        <f>IF('Private Enrollment'!S34=0,"NA",'Public PreK-12 Enrollment'!S40+'Private Enrollment'!S34)</f>
        <v>NA</v>
      </c>
      <c r="T34" s="342" t="str">
        <f>IF('Private Enrollment'!T34=0,"NA",'Public PreK-12 Enrollment'!T40+'Private Enrollment'!T34)</f>
        <v>NA</v>
      </c>
      <c r="U34" s="342" t="str">
        <f>IF('Private Enrollment'!U34=0,"NA",'Public PreK-12 Enrollment'!U40+'Private Enrollment'!U34)</f>
        <v>NA</v>
      </c>
      <c r="V34" s="342">
        <f>'Public PreK-12 Enrollment'!V40+'Private Enrollment'!V34</f>
        <v>505385</v>
      </c>
      <c r="W34" s="342">
        <f>'Public PreK-12 Enrollment'!W40+'Private Enrollment'!W34</f>
        <v>504348.5</v>
      </c>
      <c r="X34" s="342">
        <f>'Public PreK-12 Enrollment'!X40+'Private Enrollment'!X34</f>
        <v>529532</v>
      </c>
      <c r="Y34" s="342">
        <f>'Public PreK-12 Enrollment'!Y40+'Private Enrollment'!Y34</f>
        <v>542627</v>
      </c>
      <c r="Z34" s="342">
        <f>'Public PreK-12 Enrollment'!Z40+'Private Enrollment'!Z34</f>
        <v>550703</v>
      </c>
      <c r="AA34" s="342">
        <f>'Public PreK-12 Enrollment'!AA40+'Private Enrollment'!AA34</f>
        <v>560741.5</v>
      </c>
      <c r="AB34" s="342">
        <f>'Public PreK-12 Enrollment'!AB40+'Private Enrollment'!AB34</f>
        <v>571415</v>
      </c>
      <c r="AC34" s="342">
        <f>'Public PreK-12 Enrollment'!AC40+'Private Enrollment'!AC34</f>
        <v>588749.5</v>
      </c>
      <c r="AD34" s="342">
        <f>'Public PreK-12 Enrollment'!AD40+'Private Enrollment'!AD34</f>
        <v>599636</v>
      </c>
      <c r="AE34" s="342">
        <f>'Public PreK-12 Enrollment'!AE40+'Private Enrollment'!AE34</f>
        <v>602454</v>
      </c>
      <c r="AF34" s="342">
        <f>'Public PreK-12 Enrollment'!AF40+'Private Enrollment'!AF34</f>
        <v>606033</v>
      </c>
      <c r="AG34" s="342">
        <f>'Public PreK-12 Enrollment'!AG40+'Private Enrollment'!AG34</f>
        <v>612481</v>
      </c>
      <c r="AH34" s="342">
        <f>'Public PreK-12 Enrollment'!AH40+'Private Enrollment'!AH34</f>
        <v>622980</v>
      </c>
      <c r="AI34" s="342">
        <f>'Public PreK-12 Enrollment'!AI40+'Private Enrollment'!AI34</f>
        <v>616981</v>
      </c>
      <c r="AJ34" s="342">
        <f>'Public PreK-12 Enrollment'!AJ40+'Private Enrollment'!AJ34</f>
        <v>605593</v>
      </c>
      <c r="AK34" s="342">
        <f>'Public PreK-12 Enrollment'!AK40+'Private Enrollment'!AK34</f>
        <v>614475</v>
      </c>
      <c r="AL34" s="342">
        <f>'Public PreK-12 Enrollment'!AL40+'Private Enrollment'!AL34</f>
        <v>621814</v>
      </c>
      <c r="AM34" s="342">
        <f>'Public PreK-12 Enrollment'!AM40+'Private Enrollment'!AM34</f>
        <v>630514</v>
      </c>
      <c r="AN34" s="342">
        <f>'Public PreK-12 Enrollment'!AN40+'Private Enrollment'!AN34</f>
        <v>631846</v>
      </c>
      <c r="AO34" s="342">
        <f>'Public PreK-12 Enrollment'!AO40+'Private Enrollment'!AO34</f>
        <v>632084.5</v>
      </c>
      <c r="AP34" s="342">
        <f>'Public PreK-12 Enrollment'!AP40+'Private Enrollment'!AQ34</f>
        <v>639659</v>
      </c>
      <c r="AQ34" s="342">
        <f>'Public PreK-12 Enrollment'!AQ40+'Private Enrollment'!AR34</f>
        <v>625730</v>
      </c>
      <c r="AR34" s="342">
        <f>'Public PreK-12 Enrollment'!AR40+'Private Enrollment'!AS34</f>
        <v>621408</v>
      </c>
    </row>
    <row r="35" spans="1:44">
      <c r="A35" s="113" t="s">
        <v>158</v>
      </c>
      <c r="B35" s="342">
        <f>'Public PreK-12 Enrollment'!B41+'Private Enrollment'!B35</f>
        <v>293204</v>
      </c>
      <c r="C35" s="342">
        <f>'Public PreK-12 Enrollment'!C41+'Private Enrollment'!C35</f>
        <v>310286</v>
      </c>
      <c r="D35" s="342" t="str">
        <f>IF('Private Enrollment'!D35=0,"NA",'Public PreK-12 Enrollment'!D41+'Private Enrollment'!D35)</f>
        <v>NA</v>
      </c>
      <c r="E35" s="342" t="str">
        <f>IF('Private Enrollment'!E35=0,"NA",'Public PreK-12 Enrollment'!E41+'Private Enrollment'!E35)</f>
        <v>NA</v>
      </c>
      <c r="F35" s="342" t="str">
        <f>IF('Private Enrollment'!F35=0,"NA",'Public PreK-12 Enrollment'!F41+'Private Enrollment'!F35)</f>
        <v>NA</v>
      </c>
      <c r="G35" s="342" t="str">
        <f>IF('Private Enrollment'!G35=0,"NA",'Public PreK-12 Enrollment'!G41+'Private Enrollment'!G35)</f>
        <v>NA</v>
      </c>
      <c r="H35" s="342">
        <f>'Public PreK-12 Enrollment'!H41+'Private Enrollment'!H35</f>
        <v>314008</v>
      </c>
      <c r="I35" s="342" t="str">
        <f>IF('Private Enrollment'!I35=0,"NA",'Public PreK-12 Enrollment'!I41+'Private Enrollment'!I35)</f>
        <v>NA</v>
      </c>
      <c r="J35" s="342" t="str">
        <f>IF('Private Enrollment'!J35=0,"NA",'Public PreK-12 Enrollment'!J41+'Private Enrollment'!J35)</f>
        <v>NA</v>
      </c>
      <c r="K35" s="342">
        <f>'Public PreK-12 Enrollment'!K41+'Private Enrollment'!K35</f>
        <v>330977</v>
      </c>
      <c r="L35" s="342">
        <f>'Public PreK-12 Enrollment'!L41+'Private Enrollment'!L35</f>
        <v>338802</v>
      </c>
      <c r="M35" s="342">
        <f>'Public PreK-12 Enrollment'!M41+'Private Enrollment'!M35</f>
        <v>349173</v>
      </c>
      <c r="N35" s="342" t="str">
        <f>IF('Private Enrollment'!N35=0,"NA",'Public PreK-12 Enrollment'!N41+'Private Enrollment'!N35)</f>
        <v>NA</v>
      </c>
      <c r="O35" s="342" t="str">
        <f>IF('Private Enrollment'!O35=0,"NA",'Public PreK-12 Enrollment'!O41+'Private Enrollment'!O35)</f>
        <v>NA</v>
      </c>
      <c r="P35" s="342" t="str">
        <f>IF('Private Enrollment'!P35=0,"NA",'Public PreK-12 Enrollment'!P41+'Private Enrollment'!P35)</f>
        <v>NA</v>
      </c>
      <c r="Q35" s="342" t="str">
        <f>IF('Private Enrollment'!Q35=0,"NA",'Public PreK-12 Enrollment'!Q41+'Private Enrollment'!Q35)</f>
        <v>NA</v>
      </c>
      <c r="R35" s="342" t="str">
        <f>IF('Private Enrollment'!R35=0,"NA",'Public PreK-12 Enrollment'!R41+'Private Enrollment'!R35)</f>
        <v>NA</v>
      </c>
      <c r="S35" s="342" t="str">
        <f>IF('Private Enrollment'!S35=0,"NA",'Public PreK-12 Enrollment'!S41+'Private Enrollment'!S35)</f>
        <v>NA</v>
      </c>
      <c r="T35" s="342" t="str">
        <f>IF('Private Enrollment'!T35=0,"NA",'Public PreK-12 Enrollment'!T41+'Private Enrollment'!T35)</f>
        <v>NA</v>
      </c>
      <c r="U35" s="342" t="str">
        <f>IF('Private Enrollment'!U35=0,"NA",'Public PreK-12 Enrollment'!U41+'Private Enrollment'!U35)</f>
        <v>NA</v>
      </c>
      <c r="V35" s="342">
        <f>'Public PreK-12 Enrollment'!V41+'Private Enrollment'!V35</f>
        <v>444808</v>
      </c>
      <c r="W35" s="342">
        <f>'Public PreK-12 Enrollment'!W41+'Private Enrollment'!W35</f>
        <v>454697</v>
      </c>
      <c r="X35" s="342">
        <f>'Public PreK-12 Enrollment'!X41+'Private Enrollment'!X35</f>
        <v>466266</v>
      </c>
      <c r="Y35" s="342">
        <f>'Public PreK-12 Enrollment'!Y41+'Private Enrollment'!Y35</f>
        <v>473684.5</v>
      </c>
      <c r="Z35" s="342">
        <f>'Public PreK-12 Enrollment'!Z41+'Private Enrollment'!Z35</f>
        <v>481158</v>
      </c>
      <c r="AA35" s="342">
        <f>'Public PreK-12 Enrollment'!AA41+'Private Enrollment'!AA35</f>
        <v>485991.5</v>
      </c>
      <c r="AB35" s="342">
        <f>'Public PreK-12 Enrollment'!AB41+'Private Enrollment'!AB35</f>
        <v>489961</v>
      </c>
      <c r="AC35" s="342">
        <f>'Public PreK-12 Enrollment'!AC41+'Private Enrollment'!AC35</f>
        <v>497357</v>
      </c>
      <c r="AD35" s="342">
        <f>'Public PreK-12 Enrollment'!AD41+'Private Enrollment'!AD35</f>
        <v>501207</v>
      </c>
      <c r="AE35" s="342">
        <f>'Public PreK-12 Enrollment'!AE41+'Private Enrollment'!AE35</f>
        <v>498251</v>
      </c>
      <c r="AF35" s="342">
        <f>'Public PreK-12 Enrollment'!AF41+'Private Enrollment'!AF35</f>
        <v>496155</v>
      </c>
      <c r="AG35" s="342">
        <f>'Public PreK-12 Enrollment'!AG41+'Private Enrollment'!AG35</f>
        <v>499455</v>
      </c>
      <c r="AH35" s="342">
        <f>'Public PreK-12 Enrollment'!AH41+'Private Enrollment'!AH35</f>
        <v>504724</v>
      </c>
      <c r="AI35" s="342">
        <f>'Public PreK-12 Enrollment'!AI41+'Private Enrollment'!AI35</f>
        <v>509277</v>
      </c>
      <c r="AJ35" s="342">
        <f>'Public PreK-12 Enrollment'!AJ41+'Private Enrollment'!AJ35</f>
        <v>515971</v>
      </c>
      <c r="AK35" s="342">
        <f>'Public PreK-12 Enrollment'!AK41+'Private Enrollment'!AK35</f>
        <v>524212</v>
      </c>
      <c r="AL35" s="342">
        <f>'Public PreK-12 Enrollment'!AL41+'Private Enrollment'!AL35</f>
        <v>529650</v>
      </c>
      <c r="AM35" s="342">
        <f>'Public PreK-12 Enrollment'!AM41+'Private Enrollment'!AM35</f>
        <v>544426</v>
      </c>
      <c r="AN35" s="342">
        <f>'Public PreK-12 Enrollment'!AN41+'Private Enrollment'!AN35</f>
        <v>597104</v>
      </c>
      <c r="AO35" s="342">
        <f>'Public PreK-12 Enrollment'!AO41+'Private Enrollment'!AO35</f>
        <v>579227</v>
      </c>
      <c r="AP35" s="342">
        <f>'Public PreK-12 Enrollment'!AP41+'Private Enrollment'!AQ35</f>
        <v>593576</v>
      </c>
      <c r="AQ35" s="342">
        <f>'Public PreK-12 Enrollment'!AQ41+'Private Enrollment'!AR35</f>
        <v>605877</v>
      </c>
      <c r="AR35" s="342">
        <f>'Public PreK-12 Enrollment'!AR41+'Private Enrollment'!AS35</f>
        <v>617492</v>
      </c>
    </row>
    <row r="36" spans="1:44">
      <c r="A36" s="113" t="s">
        <v>160</v>
      </c>
      <c r="B36" s="342">
        <f>'Public PreK-12 Enrollment'!B42+'Private Enrollment'!B36</f>
        <v>786798</v>
      </c>
      <c r="C36" s="342">
        <f>'Public PreK-12 Enrollment'!C42+'Private Enrollment'!C36</f>
        <v>870557</v>
      </c>
      <c r="D36" s="342" t="str">
        <f>IF('Private Enrollment'!D36=0,"NA",'Public PreK-12 Enrollment'!D42+'Private Enrollment'!D36)</f>
        <v>NA</v>
      </c>
      <c r="E36" s="342" t="str">
        <f>IF('Private Enrollment'!E36=0,"NA",'Public PreK-12 Enrollment'!E42+'Private Enrollment'!E36)</f>
        <v>NA</v>
      </c>
      <c r="F36" s="342" t="str">
        <f>IF('Private Enrollment'!F36=0,"NA",'Public PreK-12 Enrollment'!F42+'Private Enrollment'!F36)</f>
        <v>NA</v>
      </c>
      <c r="G36" s="342" t="str">
        <f>IF('Private Enrollment'!G36=0,"NA",'Public PreK-12 Enrollment'!G42+'Private Enrollment'!G36)</f>
        <v>NA</v>
      </c>
      <c r="H36" s="342">
        <f>'Public PreK-12 Enrollment'!H42+'Private Enrollment'!H36</f>
        <v>826849</v>
      </c>
      <c r="I36" s="342" t="str">
        <f>IF('Private Enrollment'!I36=0,"NA",'Public PreK-12 Enrollment'!I42+'Private Enrollment'!I36)</f>
        <v>NA</v>
      </c>
      <c r="J36" s="342" t="str">
        <f>IF('Private Enrollment'!J36=0,"NA",'Public PreK-12 Enrollment'!J42+'Private Enrollment'!J36)</f>
        <v>NA</v>
      </c>
      <c r="K36" s="342">
        <f>'Public PreK-12 Enrollment'!K42+'Private Enrollment'!K36</f>
        <v>826994</v>
      </c>
      <c r="L36" s="342">
        <f>'Public PreK-12 Enrollment'!L42+'Private Enrollment'!L36</f>
        <v>821728</v>
      </c>
      <c r="M36" s="342">
        <f>'Public PreK-12 Enrollment'!M42+'Private Enrollment'!M36</f>
        <v>813589</v>
      </c>
      <c r="N36" s="342" t="str">
        <f>IF('Private Enrollment'!N36=0,"NA",'Public PreK-12 Enrollment'!N42+'Private Enrollment'!N36)</f>
        <v>NA</v>
      </c>
      <c r="O36" s="342" t="str">
        <f>IF('Private Enrollment'!O36=0,"NA",'Public PreK-12 Enrollment'!O42+'Private Enrollment'!O36)</f>
        <v>NA</v>
      </c>
      <c r="P36" s="342" t="str">
        <f>IF('Private Enrollment'!P36=0,"NA",'Public PreK-12 Enrollment'!P42+'Private Enrollment'!P36)</f>
        <v>NA</v>
      </c>
      <c r="Q36" s="342" t="str">
        <f>IF('Private Enrollment'!Q36=0,"NA",'Public PreK-12 Enrollment'!Q42+'Private Enrollment'!Q36)</f>
        <v>NA</v>
      </c>
      <c r="R36" s="342" t="str">
        <f>IF('Private Enrollment'!R36=0,"NA",'Public PreK-12 Enrollment'!R42+'Private Enrollment'!R36)</f>
        <v>NA</v>
      </c>
      <c r="S36" s="342" t="str">
        <f>IF('Private Enrollment'!S36=0,"NA",'Public PreK-12 Enrollment'!S42+'Private Enrollment'!S36)</f>
        <v>NA</v>
      </c>
      <c r="T36" s="342" t="str">
        <f>IF('Private Enrollment'!T36=0,"NA",'Public PreK-12 Enrollment'!T42+'Private Enrollment'!T36)</f>
        <v>NA</v>
      </c>
      <c r="U36" s="342" t="str">
        <f>IF('Private Enrollment'!U36=0,"NA",'Public PreK-12 Enrollment'!U42+'Private Enrollment'!U36)</f>
        <v>NA</v>
      </c>
      <c r="V36" s="342">
        <f>'Public PreK-12 Enrollment'!V42+'Private Enrollment'!V36</f>
        <v>874723</v>
      </c>
      <c r="W36" s="342">
        <f>'Public PreK-12 Enrollment'!W42+'Private Enrollment'!W36</f>
        <v>905232.5</v>
      </c>
      <c r="X36" s="342">
        <f>'Public PreK-12 Enrollment'!X42+'Private Enrollment'!X36</f>
        <v>935883</v>
      </c>
      <c r="Y36" s="342">
        <f>'Public PreK-12 Enrollment'!Y42+'Private Enrollment'!Y36</f>
        <v>964855.5</v>
      </c>
      <c r="Z36" s="342">
        <f>'Public PreK-12 Enrollment'!Z42+'Private Enrollment'!Z36</f>
        <v>986157</v>
      </c>
      <c r="AA36" s="342">
        <f>'Public PreK-12 Enrollment'!AA42+'Private Enrollment'!AA36</f>
        <v>1010861.5</v>
      </c>
      <c r="AB36" s="342">
        <f>'Public PreK-12 Enrollment'!AB42+'Private Enrollment'!AB36</f>
        <v>1031462</v>
      </c>
      <c r="AC36" s="342">
        <f>'Public PreK-12 Enrollment'!AC42+'Private Enrollment'!AC36</f>
        <v>1056029</v>
      </c>
      <c r="AD36" s="342">
        <f>'Public PreK-12 Enrollment'!AD42+'Private Enrollment'!AD36</f>
        <v>1079395</v>
      </c>
      <c r="AE36" s="342">
        <f>'Public PreK-12 Enrollment'!AE42+'Private Enrollment'!AE36</f>
        <v>1086173</v>
      </c>
      <c r="AF36" s="342">
        <f>'Public PreK-12 Enrollment'!AF42+'Private Enrollment'!AF36</f>
        <v>1091794</v>
      </c>
      <c r="AG36" s="342">
        <f>'Public PreK-12 Enrollment'!AG42+'Private Enrollment'!AG36</f>
        <v>1094385</v>
      </c>
      <c r="AH36" s="342">
        <f>'Public PreK-12 Enrollment'!AH42+'Private Enrollment'!AH36</f>
        <v>1100350</v>
      </c>
      <c r="AI36" s="342">
        <f>'Public PreK-12 Enrollment'!AI42+'Private Enrollment'!AI36</f>
        <v>1110938</v>
      </c>
      <c r="AJ36" s="342">
        <f>'Public PreK-12 Enrollment'!AJ42+'Private Enrollment'!AJ36</f>
        <v>1122479</v>
      </c>
      <c r="AK36" s="342">
        <f>'Public PreK-12 Enrollment'!AK42+'Private Enrollment'!AK36</f>
        <v>1130390</v>
      </c>
      <c r="AL36" s="342">
        <f>'Public PreK-12 Enrollment'!AL42+'Private Enrollment'!AL36</f>
        <v>1151625</v>
      </c>
      <c r="AM36" s="342">
        <f>'Public PreK-12 Enrollment'!AM42+'Private Enrollment'!AM36</f>
        <v>1138629</v>
      </c>
      <c r="AN36" s="342">
        <f>'Public PreK-12 Enrollment'!AN42+'Private Enrollment'!AN36</f>
        <v>1134317</v>
      </c>
      <c r="AO36" s="342">
        <f>'Public PreK-12 Enrollment'!AO42+'Private Enrollment'!AO36</f>
        <v>1127565</v>
      </c>
      <c r="AP36" s="342">
        <f>'Public PreK-12 Enrollment'!AP42+'Private Enrollment'!AQ36</f>
        <v>1129687</v>
      </c>
      <c r="AQ36" s="342">
        <f>'Public PreK-12 Enrollment'!AQ42+'Private Enrollment'!AR36</f>
        <v>1137773</v>
      </c>
      <c r="AR36" s="342">
        <f>'Public PreK-12 Enrollment'!AR42+'Private Enrollment'!AS36</f>
        <v>1139083</v>
      </c>
    </row>
    <row r="37" spans="1:44">
      <c r="A37" s="114" t="s">
        <v>162</v>
      </c>
      <c r="B37" s="342">
        <f>'Public PreK-12 Enrollment'!B43+'Private Enrollment'!B37</f>
        <v>90708</v>
      </c>
      <c r="C37" s="342">
        <f>'Public PreK-12 Enrollment'!C43+'Private Enrollment'!C37</f>
        <v>89900</v>
      </c>
      <c r="D37" s="342" t="str">
        <f>IF('Private Enrollment'!D37=0,"NA",'Public PreK-12 Enrollment'!D43+'Private Enrollment'!D37)</f>
        <v>NA</v>
      </c>
      <c r="E37" s="342" t="str">
        <f>IF('Private Enrollment'!E37=0,"NA",'Public PreK-12 Enrollment'!E43+'Private Enrollment'!E37)</f>
        <v>NA</v>
      </c>
      <c r="F37" s="342" t="str">
        <f>IF('Private Enrollment'!F37=0,"NA",'Public PreK-12 Enrollment'!F43+'Private Enrollment'!F37)</f>
        <v>NA</v>
      </c>
      <c r="G37" s="342" t="str">
        <f>IF('Private Enrollment'!G37=0,"NA",'Public PreK-12 Enrollment'!G43+'Private Enrollment'!G37)</f>
        <v>NA</v>
      </c>
      <c r="H37" s="342">
        <f>'Public PreK-12 Enrollment'!H43+'Private Enrollment'!H37</f>
        <v>90184</v>
      </c>
      <c r="I37" s="342" t="str">
        <f>IF('Private Enrollment'!I37=0,"NA",'Public PreK-12 Enrollment'!I43+'Private Enrollment'!I37)</f>
        <v>NA</v>
      </c>
      <c r="J37" s="342" t="str">
        <f>IF('Private Enrollment'!J37=0,"NA",'Public PreK-12 Enrollment'!J43+'Private Enrollment'!J37)</f>
        <v>NA</v>
      </c>
      <c r="K37" s="342">
        <f>'Public PreK-12 Enrollment'!K43+'Private Enrollment'!K37</f>
        <v>98273</v>
      </c>
      <c r="L37" s="342">
        <f>'Public PreK-12 Enrollment'!L43+'Private Enrollment'!L37</f>
        <v>98912.5</v>
      </c>
      <c r="M37" s="342">
        <f>'Public PreK-12 Enrollment'!M43+'Private Enrollment'!M37</f>
        <v>101341</v>
      </c>
      <c r="N37" s="342" t="str">
        <f>IF('Private Enrollment'!N37=0,"NA",'Public PreK-12 Enrollment'!N43+'Private Enrollment'!N37)</f>
        <v>NA</v>
      </c>
      <c r="O37" s="342" t="str">
        <f>IF('Private Enrollment'!O37=0,"NA",'Public PreK-12 Enrollment'!O43+'Private Enrollment'!O37)</f>
        <v>NA</v>
      </c>
      <c r="P37" s="342" t="str">
        <f>IF('Private Enrollment'!P37=0,"NA",'Public PreK-12 Enrollment'!P43+'Private Enrollment'!P37)</f>
        <v>NA</v>
      </c>
      <c r="Q37" s="342" t="str">
        <f>IF('Private Enrollment'!Q37=0,"NA",'Public PreK-12 Enrollment'!Q43+'Private Enrollment'!Q37)</f>
        <v>NA</v>
      </c>
      <c r="R37" s="342" t="str">
        <f>IF('Private Enrollment'!R37=0,"NA",'Public PreK-12 Enrollment'!R43+'Private Enrollment'!R37)</f>
        <v>NA</v>
      </c>
      <c r="S37" s="342" t="str">
        <f>IF('Private Enrollment'!S37=0,"NA",'Public PreK-12 Enrollment'!S43+'Private Enrollment'!S37)</f>
        <v>NA</v>
      </c>
      <c r="T37" s="342" t="str">
        <f>IF('Private Enrollment'!T37=0,"NA",'Public PreK-12 Enrollment'!T43+'Private Enrollment'!T37)</f>
        <v>NA</v>
      </c>
      <c r="U37" s="342" t="str">
        <f>IF('Private Enrollment'!U37=0,"NA",'Public PreK-12 Enrollment'!U43+'Private Enrollment'!U37)</f>
        <v>NA</v>
      </c>
      <c r="V37" s="342">
        <f>'Public PreK-12 Enrollment'!V43+'Private Enrollment'!V37</f>
        <v>99124</v>
      </c>
      <c r="W37" s="342">
        <f>'Public PreK-12 Enrollment'!W43+'Private Enrollment'!W37</f>
        <v>100122</v>
      </c>
      <c r="X37" s="342">
        <f>'Public PreK-12 Enrollment'!X43+'Private Enrollment'!X37</f>
        <v>103914</v>
      </c>
      <c r="Y37" s="342">
        <f>'Public PreK-12 Enrollment'!Y43+'Private Enrollment'!Y37</f>
        <v>102192.5</v>
      </c>
      <c r="Z37" s="342">
        <f>'Public PreK-12 Enrollment'!Z43+'Private Enrollment'!Z37</f>
        <v>102818</v>
      </c>
      <c r="AA37" s="342">
        <f>'Public PreK-12 Enrollment'!AA43+'Private Enrollment'!AA37</f>
        <v>102409.5</v>
      </c>
      <c r="AB37" s="342">
        <f>'Public PreK-12 Enrollment'!AB43+'Private Enrollment'!AB37</f>
        <v>102131</v>
      </c>
      <c r="AC37" s="342">
        <f>'Public PreK-12 Enrollment'!AC43+'Private Enrollment'!AC37</f>
        <v>101794</v>
      </c>
      <c r="AD37" s="342">
        <f>'Public PreK-12 Enrollment'!AD43+'Private Enrollment'!AD37</f>
        <v>100315</v>
      </c>
      <c r="AE37" s="342">
        <f>'Public PreK-12 Enrollment'!AE43+'Private Enrollment'!AE37</f>
        <v>98161</v>
      </c>
      <c r="AF37" s="342">
        <f>'Public PreK-12 Enrollment'!AF43+'Private Enrollment'!AF37</f>
        <v>94745</v>
      </c>
      <c r="AG37" s="342">
        <f>'Public PreK-12 Enrollment'!AG43+'Private Enrollment'!AG37</f>
        <v>92475</v>
      </c>
      <c r="AH37" s="342">
        <f>'Public PreK-12 Enrollment'!AH43+'Private Enrollment'!AH37</f>
        <v>90558</v>
      </c>
      <c r="AI37" s="342">
        <f>'Public PreK-12 Enrollment'!AI43+'Private Enrollment'!AI37</f>
        <v>90631</v>
      </c>
      <c r="AJ37" s="342">
        <f>'Public PreK-12 Enrollment'!AJ43+'Private Enrollment'!AJ37</f>
        <v>90062</v>
      </c>
      <c r="AK37" s="342">
        <f>'Public PreK-12 Enrollment'!AK43+'Private Enrollment'!AK37</f>
        <v>87188</v>
      </c>
      <c r="AL37" s="342">
        <f>'Public PreK-12 Enrollment'!AL43+'Private Enrollment'!AL37</f>
        <v>86719</v>
      </c>
      <c r="AM37" s="342">
        <f>'Public PreK-12 Enrollment'!AM43+'Private Enrollment'!AM37</f>
        <v>87813</v>
      </c>
      <c r="AN37" s="342">
        <f>'Public PreK-12 Enrollment'!AN43+'Private Enrollment'!AN37</f>
        <v>89352</v>
      </c>
      <c r="AO37" s="342">
        <f>'Public PreK-12 Enrollment'!AO43+'Private Enrollment'!AO37</f>
        <v>89625</v>
      </c>
      <c r="AP37" s="434">
        <f>'Public PreK-12 Enrollment'!AP43+'Private Enrollment'!AQ37</f>
        <v>91065</v>
      </c>
      <c r="AQ37" s="434">
        <f>'Public PreK-12 Enrollment'!AQ43+'Private Enrollment'!AR37</f>
        <v>91834</v>
      </c>
      <c r="AR37" s="434">
        <f>'Public PreK-12 Enrollment'!AR43+'Private Enrollment'!AS37</f>
        <v>92839</v>
      </c>
    </row>
    <row r="38" spans="1:44">
      <c r="A38" s="111" t="s">
        <v>246</v>
      </c>
      <c r="B38" s="340">
        <f t="shared" ref="B38:AR38" si="5">SUM(B40:B51)</f>
        <v>14363748</v>
      </c>
      <c r="C38" s="340">
        <f t="shared" si="5"/>
        <v>14825639</v>
      </c>
      <c r="D38" s="340" t="str">
        <f>IF('Private Enrollment'!D38=0,"NA",'Public PreK-12 Enrollment'!D9+'Private Enrollment'!D38)</f>
        <v>NA</v>
      </c>
      <c r="E38" s="340" t="str">
        <f>IF('Private Enrollment'!E38=0,"NA",'Public PreK-12 Enrollment'!E9+'Private Enrollment'!E38)</f>
        <v>NA</v>
      </c>
      <c r="F38" s="340" t="str">
        <f>IF('Private Enrollment'!F38=0,"NA",'Public PreK-12 Enrollment'!F9+'Private Enrollment'!F38)</f>
        <v>NA</v>
      </c>
      <c r="G38" s="340" t="str">
        <f>IF('Private Enrollment'!G38=0,"NA",'Public PreK-12 Enrollment'!G9+'Private Enrollment'!G38)</f>
        <v>NA</v>
      </c>
      <c r="H38" s="340">
        <f t="shared" si="5"/>
        <v>13842296</v>
      </c>
      <c r="I38" s="340">
        <f t="shared" si="5"/>
        <v>0</v>
      </c>
      <c r="J38" s="340">
        <f t="shared" si="5"/>
        <v>0</v>
      </c>
      <c r="K38" s="340">
        <f t="shared" si="5"/>
        <v>12829255</v>
      </c>
      <c r="L38" s="340">
        <f t="shared" si="5"/>
        <v>12514353.5</v>
      </c>
      <c r="M38" s="340">
        <f t="shared" si="5"/>
        <v>12154486</v>
      </c>
      <c r="N38" s="340">
        <f t="shared" si="5"/>
        <v>0</v>
      </c>
      <c r="O38" s="340">
        <f t="shared" si="5"/>
        <v>0</v>
      </c>
      <c r="P38" s="340">
        <f t="shared" si="5"/>
        <v>0</v>
      </c>
      <c r="Q38" s="340">
        <f t="shared" si="5"/>
        <v>0</v>
      </c>
      <c r="R38" s="340">
        <f t="shared" si="5"/>
        <v>0</v>
      </c>
      <c r="S38" s="340">
        <f t="shared" si="5"/>
        <v>0</v>
      </c>
      <c r="T38" s="340">
        <f t="shared" si="5"/>
        <v>0</v>
      </c>
      <c r="U38" s="340">
        <f t="shared" si="5"/>
        <v>0</v>
      </c>
      <c r="V38" s="340">
        <f t="shared" si="5"/>
        <v>11213673</v>
      </c>
      <c r="W38" s="340">
        <f t="shared" si="5"/>
        <v>11303038.5</v>
      </c>
      <c r="X38" s="340">
        <f t="shared" si="5"/>
        <v>11433350</v>
      </c>
      <c r="Y38" s="340">
        <f t="shared" si="5"/>
        <v>11528906</v>
      </c>
      <c r="Z38" s="340">
        <f t="shared" si="5"/>
        <v>11598413</v>
      </c>
      <c r="AA38" s="340">
        <f t="shared" si="5"/>
        <v>11715206</v>
      </c>
      <c r="AB38" s="340">
        <f t="shared" si="5"/>
        <v>11861197</v>
      </c>
      <c r="AC38" s="340">
        <f t="shared" si="5"/>
        <v>12076492</v>
      </c>
      <c r="AD38" s="340">
        <f t="shared" si="5"/>
        <v>12232727</v>
      </c>
      <c r="AE38" s="340">
        <f t="shared" si="5"/>
        <v>12245986</v>
      </c>
      <c r="AF38" s="340">
        <f t="shared" si="5"/>
        <v>12246380</v>
      </c>
      <c r="AG38" s="340">
        <f t="shared" si="5"/>
        <v>12268032</v>
      </c>
      <c r="AH38" s="340">
        <f t="shared" si="5"/>
        <v>12300176</v>
      </c>
      <c r="AI38" s="340">
        <f t="shared" si="5"/>
        <v>12327030</v>
      </c>
      <c r="AJ38" s="340">
        <f t="shared" si="5"/>
        <v>12269457</v>
      </c>
      <c r="AK38" s="340">
        <f t="shared" si="5"/>
        <v>12222704</v>
      </c>
      <c r="AL38" s="340">
        <f t="shared" si="5"/>
        <v>12252925</v>
      </c>
      <c r="AM38" s="340">
        <f t="shared" si="5"/>
        <v>12212338</v>
      </c>
      <c r="AN38" s="340">
        <f t="shared" si="5"/>
        <v>12122282</v>
      </c>
      <c r="AO38" s="340">
        <f t="shared" si="5"/>
        <v>11986373</v>
      </c>
      <c r="AP38" s="340">
        <f t="shared" si="5"/>
        <v>11968251</v>
      </c>
      <c r="AQ38" s="340">
        <f t="shared" si="5"/>
        <v>11888979</v>
      </c>
      <c r="AR38" s="340">
        <f t="shared" si="5"/>
        <v>11836462</v>
      </c>
    </row>
    <row r="39" spans="1:44">
      <c r="A39" s="108" t="s">
        <v>244</v>
      </c>
      <c r="B39" s="341">
        <f t="shared" ref="B39:AR39" si="6">(B38/B4)*100</f>
        <v>29.34760862238225</v>
      </c>
      <c r="C39" s="341">
        <f t="shared" si="6"/>
        <v>28.717300080372045</v>
      </c>
      <c r="D39" s="341" t="str">
        <f>IF('Private Enrollment'!D39=0,"NA",'Public PreK-12 Enrollment'!D10+'Private Enrollment'!D39)</f>
        <v>NA</v>
      </c>
      <c r="E39" s="341" t="str">
        <f>IF('Private Enrollment'!E39=0,"NA",'Public PreK-12 Enrollment'!E10+'Private Enrollment'!E39)</f>
        <v>NA</v>
      </c>
      <c r="F39" s="341" t="str">
        <f>IF('Private Enrollment'!F39=0,"NA",'Public PreK-12 Enrollment'!F10+'Private Enrollment'!F39)</f>
        <v>NA</v>
      </c>
      <c r="G39" s="341" t="str">
        <f>IF('Private Enrollment'!G39=0,"NA",'Public PreK-12 Enrollment'!G10+'Private Enrollment'!G39)</f>
        <v>NA</v>
      </c>
      <c r="H39" s="341">
        <f t="shared" si="6"/>
        <v>28.00988366353107</v>
      </c>
      <c r="I39" s="341" t="e">
        <f t="shared" si="6"/>
        <v>#VALUE!</v>
      </c>
      <c r="J39" s="341" t="e">
        <f t="shared" si="6"/>
        <v>#VALUE!</v>
      </c>
      <c r="K39" s="341">
        <f t="shared" si="6"/>
        <v>26.931550382158431</v>
      </c>
      <c r="L39" s="341">
        <f t="shared" si="6"/>
        <v>26.812025202848861</v>
      </c>
      <c r="M39" s="341">
        <f t="shared" si="6"/>
        <v>26.515463739404382</v>
      </c>
      <c r="N39" s="341" t="e">
        <f t="shared" si="6"/>
        <v>#VALUE!</v>
      </c>
      <c r="O39" s="341" t="e">
        <f t="shared" si="6"/>
        <v>#VALUE!</v>
      </c>
      <c r="P39" s="341" t="e">
        <f t="shared" si="6"/>
        <v>#VALUE!</v>
      </c>
      <c r="Q39" s="341" t="e">
        <f t="shared" si="6"/>
        <v>#VALUE!</v>
      </c>
      <c r="R39" s="341" t="e">
        <f t="shared" si="6"/>
        <v>#VALUE!</v>
      </c>
      <c r="S39" s="341" t="e">
        <f t="shared" si="6"/>
        <v>#VALUE!</v>
      </c>
      <c r="T39" s="341" t="e">
        <f t="shared" si="6"/>
        <v>#VALUE!</v>
      </c>
      <c r="U39" s="341" t="e">
        <f t="shared" si="6"/>
        <v>#VALUE!</v>
      </c>
      <c r="V39" s="341">
        <f t="shared" si="6"/>
        <v>24.717444414160859</v>
      </c>
      <c r="W39" s="341">
        <f t="shared" si="6"/>
        <v>24.532465817826996</v>
      </c>
      <c r="X39" s="341">
        <f t="shared" si="6"/>
        <v>24.359255918566173</v>
      </c>
      <c r="Y39" s="341">
        <f t="shared" si="6"/>
        <v>24.176568440404331</v>
      </c>
      <c r="Z39" s="341">
        <f t="shared" si="6"/>
        <v>24.012600804354147</v>
      </c>
      <c r="AA39" s="341">
        <f t="shared" si="6"/>
        <v>23.886254169354928</v>
      </c>
      <c r="AB39" s="341">
        <f t="shared" si="6"/>
        <v>23.782952532032315</v>
      </c>
      <c r="AC39" s="341">
        <f t="shared" si="6"/>
        <v>23.633383733900192</v>
      </c>
      <c r="AD39" s="341">
        <f t="shared" si="6"/>
        <v>23.492314473261384</v>
      </c>
      <c r="AE39" s="341">
        <f t="shared" si="6"/>
        <v>23.316862741663297</v>
      </c>
      <c r="AF39" s="341">
        <f t="shared" si="6"/>
        <v>23.160814449373074</v>
      </c>
      <c r="AG39" s="341">
        <f t="shared" si="6"/>
        <v>22.985680429661354</v>
      </c>
      <c r="AH39" s="341">
        <f t="shared" si="6"/>
        <v>22.78168570189726</v>
      </c>
      <c r="AI39" s="341">
        <f t="shared" si="6"/>
        <v>22.663097481099918</v>
      </c>
      <c r="AJ39" s="341">
        <f t="shared" si="6"/>
        <v>22.455310444679665</v>
      </c>
      <c r="AK39" s="341">
        <f t="shared" si="6"/>
        <v>22.277087716494002</v>
      </c>
      <c r="AL39" s="341">
        <f t="shared" si="6"/>
        <v>22.214814821261115</v>
      </c>
      <c r="AM39" s="341">
        <f t="shared" si="6"/>
        <v>22.086766578727765</v>
      </c>
      <c r="AN39" s="341">
        <f t="shared" si="6"/>
        <v>21.959586858516506</v>
      </c>
      <c r="AO39" s="341">
        <f t="shared" si="6"/>
        <v>21.964842045109446</v>
      </c>
      <c r="AP39" s="341">
        <f t="shared" si="6"/>
        <v>21.820171428419325</v>
      </c>
      <c r="AQ39" s="341">
        <f t="shared" si="6"/>
        <v>21.670511188740367</v>
      </c>
      <c r="AR39" s="341">
        <f t="shared" si="6"/>
        <v>21.60342044943107</v>
      </c>
    </row>
    <row r="40" spans="1:44">
      <c r="A40" s="113" t="s">
        <v>136</v>
      </c>
      <c r="B40" s="342">
        <f>'Public PreK-12 Enrollment'!B45+'Private Enrollment'!B40</f>
        <v>2686789</v>
      </c>
      <c r="C40" s="342">
        <f>'Public PreK-12 Enrollment'!C45+'Private Enrollment'!C40</f>
        <v>2815053</v>
      </c>
      <c r="D40" s="342" t="str">
        <f>IF('Private Enrollment'!D40=0,"NA",'Public PreK-12 Enrollment'!D45+'Private Enrollment'!D40)</f>
        <v>NA</v>
      </c>
      <c r="E40" s="342" t="str">
        <f>IF('Private Enrollment'!E40=0,"NA",'Public PreK-12 Enrollment'!E45+'Private Enrollment'!E40)</f>
        <v>NA</v>
      </c>
      <c r="F40" s="342" t="str">
        <f>IF('Private Enrollment'!F40=0,"NA",'Public PreK-12 Enrollment'!F45+'Private Enrollment'!F40)</f>
        <v>NA</v>
      </c>
      <c r="G40" s="342" t="str">
        <f>IF('Private Enrollment'!G40=0,"NA",'Public PreK-12 Enrollment'!G45+'Private Enrollment'!G40)</f>
        <v>NA</v>
      </c>
      <c r="H40" s="342">
        <f>'Public PreK-12 Enrollment'!H45+'Private Enrollment'!H40</f>
        <v>2668092</v>
      </c>
      <c r="I40" s="342" t="str">
        <f>IF('Private Enrollment'!I40=0,"NA",'Public PreK-12 Enrollment'!I45+'Private Enrollment'!I40)</f>
        <v>NA</v>
      </c>
      <c r="J40" s="342" t="str">
        <f>IF('Private Enrollment'!J40=0,"NA",'Public PreK-12 Enrollment'!J45+'Private Enrollment'!J40)</f>
        <v>NA</v>
      </c>
      <c r="K40" s="342">
        <f>'Public PreK-12 Enrollment'!K45+'Private Enrollment'!K40</f>
        <v>2401416</v>
      </c>
      <c r="L40" s="342">
        <f>'Public PreK-12 Enrollment'!L45+'Private Enrollment'!L40</f>
        <v>2398963.5</v>
      </c>
      <c r="M40" s="342">
        <f>'Public PreK-12 Enrollment'!M45+'Private Enrollment'!M40</f>
        <v>2332926</v>
      </c>
      <c r="N40" s="342" t="str">
        <f>IF('Private Enrollment'!N40=0,"NA",'Public PreK-12 Enrollment'!N45+'Private Enrollment'!N40)</f>
        <v>NA</v>
      </c>
      <c r="O40" s="342" t="str">
        <f>IF('Private Enrollment'!O40=0,"NA",'Public PreK-12 Enrollment'!O45+'Private Enrollment'!O40)</f>
        <v>NA</v>
      </c>
      <c r="P40" s="342" t="str">
        <f>IF('Private Enrollment'!P40=0,"NA",'Public PreK-12 Enrollment'!P45+'Private Enrollment'!P40)</f>
        <v>NA</v>
      </c>
      <c r="Q40" s="342" t="str">
        <f>IF('Private Enrollment'!Q40=0,"NA",'Public PreK-12 Enrollment'!Q45+'Private Enrollment'!Q40)</f>
        <v>NA</v>
      </c>
      <c r="R40" s="342" t="str">
        <f>IF('Private Enrollment'!R40=0,"NA",'Public PreK-12 Enrollment'!R45+'Private Enrollment'!R40)</f>
        <v>NA</v>
      </c>
      <c r="S40" s="342" t="str">
        <f>IF('Private Enrollment'!S40=0,"NA",'Public PreK-12 Enrollment'!S45+'Private Enrollment'!S40)</f>
        <v>NA</v>
      </c>
      <c r="T40" s="342" t="str">
        <f>IF('Private Enrollment'!T40=0,"NA",'Public PreK-12 Enrollment'!T45+'Private Enrollment'!T40)</f>
        <v>NA</v>
      </c>
      <c r="U40" s="342" t="str">
        <f>IF('Private Enrollment'!U40=0,"NA",'Public PreK-12 Enrollment'!U45+'Private Enrollment'!U40)</f>
        <v>NA</v>
      </c>
      <c r="V40" s="342">
        <f>'Public PreK-12 Enrollment'!V45+'Private Enrollment'!V40</f>
        <v>2105328</v>
      </c>
      <c r="W40" s="342">
        <f>'Public PreK-12 Enrollment'!W45+'Private Enrollment'!W40</f>
        <v>2126080.5</v>
      </c>
      <c r="X40" s="342">
        <f>'Public PreK-12 Enrollment'!X45+'Private Enrollment'!X40</f>
        <v>2149540</v>
      </c>
      <c r="Y40" s="342">
        <f>'Public PreK-12 Enrollment'!Y45+'Private Enrollment'!Y40</f>
        <v>2170773</v>
      </c>
      <c r="Z40" s="342">
        <f>'Public PreK-12 Enrollment'!Z45+'Private Enrollment'!Z40</f>
        <v>2186116</v>
      </c>
      <c r="AA40" s="342">
        <f>'Public PreK-12 Enrollment'!AA45+'Private Enrollment'!AA40</f>
        <v>2213181.5</v>
      </c>
      <c r="AB40" s="342">
        <f>'Public PreK-12 Enrollment'!AB45+'Private Enrollment'!AB40</f>
        <v>2244604</v>
      </c>
      <c r="AC40" s="342">
        <f>'Public PreK-12 Enrollment'!AC45+'Private Enrollment'!AC40</f>
        <v>2296155.5</v>
      </c>
      <c r="AD40" s="342">
        <f>'Public PreK-12 Enrollment'!AD45+'Private Enrollment'!AD40</f>
        <v>2343539</v>
      </c>
      <c r="AE40" s="342">
        <f>'Public PreK-12 Enrollment'!AE45+'Private Enrollment'!AE40</f>
        <v>2358030</v>
      </c>
      <c r="AF40" s="342">
        <f>'Public PreK-12 Enrollment'!AF45+'Private Enrollment'!AF40</f>
        <v>2375350</v>
      </c>
      <c r="AG40" s="342">
        <f>'Public PreK-12 Enrollment'!AG45+'Private Enrollment'!AG40</f>
        <v>2401362</v>
      </c>
      <c r="AH40" s="342">
        <f>'Public PreK-12 Enrollment'!AH45+'Private Enrollment'!AH40</f>
        <v>2428781</v>
      </c>
      <c r="AI40" s="342">
        <f>'Public PreK-12 Enrollment'!AI45+'Private Enrollment'!AI40</f>
        <v>2421097</v>
      </c>
      <c r="AJ40" s="342">
        <f>'Public PreK-12 Enrollment'!AJ45+'Private Enrollment'!AJ40</f>
        <v>2417391</v>
      </c>
      <c r="AK40" s="342">
        <f>'Public PreK-12 Enrollment'!AK45+'Private Enrollment'!AK40</f>
        <v>2414688</v>
      </c>
      <c r="AL40" s="342">
        <f>'Public PreK-12 Enrollment'!AL45+'Private Enrollment'!AL40</f>
        <v>2429646</v>
      </c>
      <c r="AM40" s="342">
        <f>'Public PreK-12 Enrollment'!AM45+'Private Enrollment'!AM40</f>
        <v>2433381</v>
      </c>
      <c r="AN40" s="342">
        <f>'Public PreK-12 Enrollment'!AN45+'Private Enrollment'!AN40</f>
        <v>2425075</v>
      </c>
      <c r="AO40" s="342">
        <f>'Public PreK-12 Enrollment'!AO45+'Private Enrollment'!AO40</f>
        <v>2397544.5</v>
      </c>
      <c r="AP40" s="342">
        <f>'Public PreK-12 Enrollment'!AP45+'Private Enrollment'!AQ40</f>
        <v>2393895</v>
      </c>
      <c r="AQ40" s="342">
        <f>'Public PreK-12 Enrollment'!AQ45+'Private Enrollment'!AR40</f>
        <v>2372029</v>
      </c>
      <c r="AR40" s="342">
        <f>'Public PreK-12 Enrollment'!AR45+'Private Enrollment'!AS40</f>
        <v>2354127</v>
      </c>
    </row>
    <row r="41" spans="1:44">
      <c r="A41" s="113" t="s">
        <v>137</v>
      </c>
      <c r="B41" s="342">
        <f>'Public PreK-12 Enrollment'!B46+'Private Enrollment'!B41</f>
        <v>1273824</v>
      </c>
      <c r="C41" s="342">
        <f>'Public PreK-12 Enrollment'!C46+'Private Enrollment'!C41</f>
        <v>1356200</v>
      </c>
      <c r="D41" s="342" t="str">
        <f>IF('Private Enrollment'!D41=0,"NA",'Public PreK-12 Enrollment'!D46+'Private Enrollment'!D41)</f>
        <v>NA</v>
      </c>
      <c r="E41" s="342" t="str">
        <f>IF('Private Enrollment'!E41=0,"NA",'Public PreK-12 Enrollment'!E46+'Private Enrollment'!E41)</f>
        <v>NA</v>
      </c>
      <c r="F41" s="342" t="str">
        <f>IF('Private Enrollment'!F41=0,"NA",'Public PreK-12 Enrollment'!F46+'Private Enrollment'!F41)</f>
        <v>NA</v>
      </c>
      <c r="G41" s="342" t="str">
        <f>IF('Private Enrollment'!G41=0,"NA",'Public PreK-12 Enrollment'!G46+'Private Enrollment'!G41)</f>
        <v>NA</v>
      </c>
      <c r="H41" s="342">
        <f>'Public PreK-12 Enrollment'!H46+'Private Enrollment'!H41</f>
        <v>1269963</v>
      </c>
      <c r="I41" s="342" t="str">
        <f>IF('Private Enrollment'!I41=0,"NA",'Public PreK-12 Enrollment'!I46+'Private Enrollment'!I41)</f>
        <v>NA</v>
      </c>
      <c r="J41" s="342" t="str">
        <f>IF('Private Enrollment'!J41=0,"NA",'Public PreK-12 Enrollment'!J46+'Private Enrollment'!J41)</f>
        <v>NA</v>
      </c>
      <c r="K41" s="342">
        <f>'Public PreK-12 Enrollment'!K46+'Private Enrollment'!K41</f>
        <v>1218989</v>
      </c>
      <c r="L41" s="342">
        <f>'Public PreK-12 Enrollment'!L46+'Private Enrollment'!L41</f>
        <v>1186772</v>
      </c>
      <c r="M41" s="342">
        <f>'Public PreK-12 Enrollment'!M46+'Private Enrollment'!M41</f>
        <v>1155823</v>
      </c>
      <c r="N41" s="342" t="str">
        <f>IF('Private Enrollment'!N41=0,"NA",'Public PreK-12 Enrollment'!N46+'Private Enrollment'!N41)</f>
        <v>NA</v>
      </c>
      <c r="O41" s="342" t="str">
        <f>IF('Private Enrollment'!O41=0,"NA",'Public PreK-12 Enrollment'!O46+'Private Enrollment'!O41)</f>
        <v>NA</v>
      </c>
      <c r="P41" s="342" t="str">
        <f>IF('Private Enrollment'!P41=0,"NA",'Public PreK-12 Enrollment'!P46+'Private Enrollment'!P41)</f>
        <v>NA</v>
      </c>
      <c r="Q41" s="342" t="str">
        <f>IF('Private Enrollment'!Q41=0,"NA",'Public PreK-12 Enrollment'!Q46+'Private Enrollment'!Q41)</f>
        <v>NA</v>
      </c>
      <c r="R41" s="342" t="str">
        <f>IF('Private Enrollment'!R41=0,"NA",'Public PreK-12 Enrollment'!R46+'Private Enrollment'!R41)</f>
        <v>NA</v>
      </c>
      <c r="S41" s="342" t="str">
        <f>IF('Private Enrollment'!S41=0,"NA",'Public PreK-12 Enrollment'!S46+'Private Enrollment'!S41)</f>
        <v>NA</v>
      </c>
      <c r="T41" s="342" t="str">
        <f>IF('Private Enrollment'!T41=0,"NA",'Public PreK-12 Enrollment'!T46+'Private Enrollment'!T41)</f>
        <v>NA</v>
      </c>
      <c r="U41" s="342" t="str">
        <f>IF('Private Enrollment'!U41=0,"NA",'Public PreK-12 Enrollment'!U46+'Private Enrollment'!U41)</f>
        <v>NA</v>
      </c>
      <c r="V41" s="342">
        <f>'Public PreK-12 Enrollment'!V46+'Private Enrollment'!V41</f>
        <v>1044022</v>
      </c>
      <c r="W41" s="342">
        <f>'Public PreK-12 Enrollment'!W46+'Private Enrollment'!W41</f>
        <v>1049178.5</v>
      </c>
      <c r="X41" s="342">
        <f>'Public PreK-12 Enrollment'!X46+'Private Enrollment'!X41</f>
        <v>1056438</v>
      </c>
      <c r="Y41" s="342">
        <f>'Public PreK-12 Enrollment'!Y46+'Private Enrollment'!Y41</f>
        <v>1056348</v>
      </c>
      <c r="Z41" s="342">
        <f>'Public PreK-12 Enrollment'!Z46+'Private Enrollment'!Z41</f>
        <v>1057619</v>
      </c>
      <c r="AA41" s="342">
        <f>'Public PreK-12 Enrollment'!AA46+'Private Enrollment'!AA41</f>
        <v>1064644</v>
      </c>
      <c r="AB41" s="342">
        <f>'Public PreK-12 Enrollment'!AB46+'Private Enrollment'!AB41</f>
        <v>1076521</v>
      </c>
      <c r="AC41" s="342">
        <f>'Public PreK-12 Enrollment'!AC46+'Private Enrollment'!AC41</f>
        <v>1093720</v>
      </c>
      <c r="AD41" s="342">
        <f>'Public PreK-12 Enrollment'!AD46+'Private Enrollment'!AD41</f>
        <v>1109266</v>
      </c>
      <c r="AE41" s="342">
        <f>'Public PreK-12 Enrollment'!AE46+'Private Enrollment'!AE41</f>
        <v>1111196</v>
      </c>
      <c r="AF41" s="342">
        <f>'Public PreK-12 Enrollment'!AF46+'Private Enrollment'!AF41</f>
        <v>1110662</v>
      </c>
      <c r="AG41" s="342">
        <f>'Public PreK-12 Enrollment'!AG46+'Private Enrollment'!AG41</f>
        <v>1114867</v>
      </c>
      <c r="AH41" s="342">
        <f>'Public PreK-12 Enrollment'!AH46+'Private Enrollment'!AH41</f>
        <v>1125373</v>
      </c>
      <c r="AI41" s="342">
        <f>'Public PreK-12 Enrollment'!AI46+'Private Enrollment'!AI41</f>
        <v>1130745</v>
      </c>
      <c r="AJ41" s="342">
        <f>'Public PreK-12 Enrollment'!AJ46+'Private Enrollment'!AJ41</f>
        <v>1135630</v>
      </c>
      <c r="AK41" s="342">
        <f>'Public PreK-12 Enrollment'!AK46+'Private Enrollment'!AK41</f>
        <v>1153283</v>
      </c>
      <c r="AL41" s="342">
        <f>'Public PreK-12 Enrollment'!AL46+'Private Enrollment'!AL41</f>
        <v>1174444</v>
      </c>
      <c r="AM41" s="342">
        <f>'Public PreK-12 Enrollment'!AM46+'Private Enrollment'!AM41</f>
        <v>1175580</v>
      </c>
      <c r="AN41" s="342">
        <f>'Public PreK-12 Enrollment'!AN46+'Private Enrollment'!AN41</f>
        <v>1166676</v>
      </c>
      <c r="AO41" s="342">
        <f>'Public PreK-12 Enrollment'!AO46+'Private Enrollment'!AO41</f>
        <v>1158186.5</v>
      </c>
      <c r="AP41" s="342">
        <f>'Public PreK-12 Enrollment'!AP46+'Private Enrollment'!AQ41</f>
        <v>1167431</v>
      </c>
      <c r="AQ41" s="342">
        <f>'Public PreK-12 Enrollment'!AQ46+'Private Enrollment'!AR41</f>
        <v>1172177</v>
      </c>
      <c r="AR41" s="342">
        <f>'Public PreK-12 Enrollment'!AR46+'Private Enrollment'!AS41</f>
        <v>1169885</v>
      </c>
    </row>
    <row r="42" spans="1:44">
      <c r="A42" s="113" t="s">
        <v>138</v>
      </c>
      <c r="B42" s="342">
        <f>'Public PreK-12 Enrollment'!B47+'Private Enrollment'!B42</f>
        <v>735758</v>
      </c>
      <c r="C42" s="342">
        <f>'Public PreK-12 Enrollment'!C47+'Private Enrollment'!C42</f>
        <v>732076</v>
      </c>
      <c r="D42" s="342" t="str">
        <f>IF('Private Enrollment'!D42=0,"NA",'Public PreK-12 Enrollment'!D47+'Private Enrollment'!D42)</f>
        <v>NA</v>
      </c>
      <c r="E42" s="342" t="str">
        <f>IF('Private Enrollment'!E42=0,"NA",'Public PreK-12 Enrollment'!E47+'Private Enrollment'!E42)</f>
        <v>NA</v>
      </c>
      <c r="F42" s="342" t="str">
        <f>IF('Private Enrollment'!F42=0,"NA",'Public PreK-12 Enrollment'!F47+'Private Enrollment'!F42)</f>
        <v>NA</v>
      </c>
      <c r="G42" s="342" t="str">
        <f>IF('Private Enrollment'!G42=0,"NA",'Public PreK-12 Enrollment'!G47+'Private Enrollment'!G42)</f>
        <v>NA</v>
      </c>
      <c r="H42" s="342">
        <f>'Public PreK-12 Enrollment'!H47+'Private Enrollment'!H42</f>
        <v>676211</v>
      </c>
      <c r="I42" s="342" t="str">
        <f>IF('Private Enrollment'!I42=0,"NA",'Public PreK-12 Enrollment'!I47+'Private Enrollment'!I42)</f>
        <v>NA</v>
      </c>
      <c r="J42" s="342" t="str">
        <f>IF('Private Enrollment'!J42=0,"NA",'Public PreK-12 Enrollment'!J47+'Private Enrollment'!J42)</f>
        <v>NA</v>
      </c>
      <c r="K42" s="342">
        <f>'Public PreK-12 Enrollment'!K47+'Private Enrollment'!K42</f>
        <v>629634</v>
      </c>
      <c r="L42" s="342">
        <f>'Public PreK-12 Enrollment'!L47+'Private Enrollment'!L42</f>
        <v>606477.5</v>
      </c>
      <c r="M42" s="342">
        <f>'Public PreK-12 Enrollment'!M47+'Private Enrollment'!M42</f>
        <v>589084</v>
      </c>
      <c r="N42" s="342" t="str">
        <f>IF('Private Enrollment'!N42=0,"NA",'Public PreK-12 Enrollment'!N47+'Private Enrollment'!N42)</f>
        <v>NA</v>
      </c>
      <c r="O42" s="342" t="str">
        <f>IF('Private Enrollment'!O42=0,"NA",'Public PreK-12 Enrollment'!O47+'Private Enrollment'!O42)</f>
        <v>NA</v>
      </c>
      <c r="P42" s="342" t="str">
        <f>IF('Private Enrollment'!P42=0,"NA",'Public PreK-12 Enrollment'!P47+'Private Enrollment'!P42)</f>
        <v>NA</v>
      </c>
      <c r="Q42" s="342" t="str">
        <f>IF('Private Enrollment'!Q42=0,"NA",'Public PreK-12 Enrollment'!Q47+'Private Enrollment'!Q42)</f>
        <v>NA</v>
      </c>
      <c r="R42" s="342" t="str">
        <f>IF('Private Enrollment'!R42=0,"NA",'Public PreK-12 Enrollment'!R47+'Private Enrollment'!R42)</f>
        <v>NA</v>
      </c>
      <c r="S42" s="342" t="str">
        <f>IF('Private Enrollment'!S42=0,"NA",'Public PreK-12 Enrollment'!S47+'Private Enrollment'!S42)</f>
        <v>NA</v>
      </c>
      <c r="T42" s="342" t="str">
        <f>IF('Private Enrollment'!T42=0,"NA",'Public PreK-12 Enrollment'!T47+'Private Enrollment'!T42)</f>
        <v>NA</v>
      </c>
      <c r="U42" s="342" t="str">
        <f>IF('Private Enrollment'!U42=0,"NA",'Public PreK-12 Enrollment'!U47+'Private Enrollment'!U42)</f>
        <v>NA</v>
      </c>
      <c r="V42" s="342">
        <f>'Public PreK-12 Enrollment'!V47+'Private Enrollment'!V42</f>
        <v>539144</v>
      </c>
      <c r="W42" s="342">
        <f>'Public PreK-12 Enrollment'!W47+'Private Enrollment'!W42</f>
        <v>539696.5</v>
      </c>
      <c r="X42" s="342">
        <f>'Public PreK-12 Enrollment'!X47+'Private Enrollment'!X42</f>
        <v>542794</v>
      </c>
      <c r="Y42" s="342">
        <f>'Public PreK-12 Enrollment'!Y47+'Private Enrollment'!Y42</f>
        <v>545855.5</v>
      </c>
      <c r="Z42" s="342">
        <f>'Public PreK-12 Enrollment'!Z47+'Private Enrollment'!Z42</f>
        <v>549121</v>
      </c>
      <c r="AA42" s="342">
        <f>'Public PreK-12 Enrollment'!AA47+'Private Enrollment'!AA42</f>
        <v>550471.5</v>
      </c>
      <c r="AB42" s="342">
        <f>'Public PreK-12 Enrollment'!AB47+'Private Enrollment'!AB42</f>
        <v>551804</v>
      </c>
      <c r="AC42" s="342">
        <f>'Public PreK-12 Enrollment'!AC47+'Private Enrollment'!AC42</f>
        <v>559831.5</v>
      </c>
      <c r="AD42" s="342">
        <f>'Public PreK-12 Enrollment'!AD47+'Private Enrollment'!AD42</f>
        <v>565374</v>
      </c>
      <c r="AE42" s="342">
        <f>'Public PreK-12 Enrollment'!AE47+'Private Enrollment'!AE42</f>
        <v>557694</v>
      </c>
      <c r="AF42" s="342">
        <f>'Public PreK-12 Enrollment'!AF47+'Private Enrollment'!AF42</f>
        <v>551941</v>
      </c>
      <c r="AG42" s="342">
        <f>'Public PreK-12 Enrollment'!AG47+'Private Enrollment'!AG42</f>
        <v>548170</v>
      </c>
      <c r="AH42" s="342">
        <f>'Public PreK-12 Enrollment'!AH47+'Private Enrollment'!AH42</f>
        <v>537472</v>
      </c>
      <c r="AI42" s="342">
        <f>'Public PreK-12 Enrollment'!AI47+'Private Enrollment'!AI42</f>
        <v>534905</v>
      </c>
      <c r="AJ42" s="342">
        <f>'Public PreK-12 Enrollment'!AJ47+'Private Enrollment'!AJ42</f>
        <v>535076</v>
      </c>
      <c r="AK42" s="342">
        <f>'Public PreK-12 Enrollment'!AK47+'Private Enrollment'!AK42</f>
        <v>535724</v>
      </c>
      <c r="AL42" s="342">
        <f>'Public PreK-12 Enrollment'!AL47+'Private Enrollment'!AL42</f>
        <v>544442</v>
      </c>
      <c r="AM42" s="342">
        <f>'Public PreK-12 Enrollment'!AM47+'Private Enrollment'!AM42</f>
        <v>537512</v>
      </c>
      <c r="AN42" s="342">
        <f>'Public PreK-12 Enrollment'!AN47+'Private Enrollment'!AN42</f>
        <v>532935</v>
      </c>
      <c r="AO42" s="342">
        <f>'Public PreK-12 Enrollment'!AO47+'Private Enrollment'!AO42</f>
        <v>531316</v>
      </c>
      <c r="AP42" s="342">
        <f>'Public PreK-12 Enrollment'!AP47+'Private Enrollment'!AQ42</f>
        <v>537002</v>
      </c>
      <c r="AQ42" s="342">
        <f>'Public PreK-12 Enrollment'!AQ47+'Private Enrollment'!AR42</f>
        <v>550275</v>
      </c>
      <c r="AR42" s="342">
        <f>'Public PreK-12 Enrollment'!AR47+'Private Enrollment'!AS42</f>
        <v>559710</v>
      </c>
    </row>
    <row r="43" spans="1:44">
      <c r="A43" s="113" t="s">
        <v>139</v>
      </c>
      <c r="B43" s="342">
        <f>'Public PreK-12 Enrollment'!B48+'Private Enrollment'!B43</f>
        <v>564858</v>
      </c>
      <c r="C43" s="342">
        <f>'Public PreK-12 Enrollment'!C48+'Private Enrollment'!C43</f>
        <v>552994</v>
      </c>
      <c r="D43" s="342" t="str">
        <f>IF('Private Enrollment'!D43=0,"NA",'Public PreK-12 Enrollment'!D48+'Private Enrollment'!D43)</f>
        <v>NA</v>
      </c>
      <c r="E43" s="342" t="str">
        <f>IF('Private Enrollment'!E43=0,"NA",'Public PreK-12 Enrollment'!E48+'Private Enrollment'!E43)</f>
        <v>NA</v>
      </c>
      <c r="F43" s="342" t="str">
        <f>IF('Private Enrollment'!F43=0,"NA",'Public PreK-12 Enrollment'!F48+'Private Enrollment'!F43)</f>
        <v>NA</v>
      </c>
      <c r="G43" s="342" t="str">
        <f>IF('Private Enrollment'!G43=0,"NA",'Public PreK-12 Enrollment'!G48+'Private Enrollment'!G43)</f>
        <v>NA</v>
      </c>
      <c r="H43" s="342">
        <f>'Public PreK-12 Enrollment'!H48+'Private Enrollment'!H43</f>
        <v>496655</v>
      </c>
      <c r="I43" s="342" t="str">
        <f>IF('Private Enrollment'!I43=0,"NA",'Public PreK-12 Enrollment'!I48+'Private Enrollment'!I43)</f>
        <v>NA</v>
      </c>
      <c r="J43" s="342" t="str">
        <f>IF('Private Enrollment'!J43=0,"NA",'Public PreK-12 Enrollment'!J48+'Private Enrollment'!J43)</f>
        <v>NA</v>
      </c>
      <c r="K43" s="342">
        <f>'Public PreK-12 Enrollment'!K48+'Private Enrollment'!K43</f>
        <v>465933</v>
      </c>
      <c r="L43" s="342">
        <f>'Public PreK-12 Enrollment'!L48+'Private Enrollment'!L43</f>
        <v>456066</v>
      </c>
      <c r="M43" s="342">
        <f>'Public PreK-12 Enrollment'!M48+'Private Enrollment'!M43</f>
        <v>449180</v>
      </c>
      <c r="N43" s="342" t="str">
        <f>IF('Private Enrollment'!N43=0,"NA",'Public PreK-12 Enrollment'!N48+'Private Enrollment'!N43)</f>
        <v>NA</v>
      </c>
      <c r="O43" s="342" t="str">
        <f>IF('Private Enrollment'!O43=0,"NA",'Public PreK-12 Enrollment'!O48+'Private Enrollment'!O43)</f>
        <v>NA</v>
      </c>
      <c r="P43" s="342" t="str">
        <f>IF('Private Enrollment'!P43=0,"NA",'Public PreK-12 Enrollment'!P48+'Private Enrollment'!P43)</f>
        <v>NA</v>
      </c>
      <c r="Q43" s="342" t="str">
        <f>IF('Private Enrollment'!Q43=0,"NA",'Public PreK-12 Enrollment'!Q48+'Private Enrollment'!Q43)</f>
        <v>NA</v>
      </c>
      <c r="R43" s="342" t="str">
        <f>IF('Private Enrollment'!R43=0,"NA",'Public PreK-12 Enrollment'!R48+'Private Enrollment'!R43)</f>
        <v>NA</v>
      </c>
      <c r="S43" s="342" t="str">
        <f>IF('Private Enrollment'!S43=0,"NA",'Public PreK-12 Enrollment'!S48+'Private Enrollment'!S43)</f>
        <v>NA</v>
      </c>
      <c r="T43" s="342" t="str">
        <f>IF('Private Enrollment'!T43=0,"NA",'Public PreK-12 Enrollment'!T48+'Private Enrollment'!T43)</f>
        <v>NA</v>
      </c>
      <c r="U43" s="342" t="str">
        <f>IF('Private Enrollment'!U43=0,"NA",'Public PreK-12 Enrollment'!U48+'Private Enrollment'!U43)</f>
        <v>NA</v>
      </c>
      <c r="V43" s="342">
        <f>'Public PreK-12 Enrollment'!V48+'Private Enrollment'!V43</f>
        <v>465583</v>
      </c>
      <c r="W43" s="342">
        <f>'Public PreK-12 Enrollment'!W48+'Private Enrollment'!W43</f>
        <v>471932</v>
      </c>
      <c r="X43" s="342">
        <f>'Public PreK-12 Enrollment'!X48+'Private Enrollment'!X43</f>
        <v>480467</v>
      </c>
      <c r="Y43" s="342">
        <f>'Public PreK-12 Enrollment'!Y48+'Private Enrollment'!Y43</f>
        <v>487597</v>
      </c>
      <c r="Z43" s="342">
        <f>'Public PreK-12 Enrollment'!Z48+'Private Enrollment'!Z43</f>
        <v>494659</v>
      </c>
      <c r="AA43" s="342">
        <f>'Public PreK-12 Enrollment'!AA48+'Private Enrollment'!AA43</f>
        <v>499013.5</v>
      </c>
      <c r="AB43" s="342">
        <f>'Public PreK-12 Enrollment'!AB48+'Private Enrollment'!AB43</f>
        <v>502314</v>
      </c>
      <c r="AC43" s="342">
        <f>'Public PreK-12 Enrollment'!AC48+'Private Enrollment'!AC43</f>
        <v>508661</v>
      </c>
      <c r="AD43" s="342">
        <f>'Public PreK-12 Enrollment'!AD48+'Private Enrollment'!AD43</f>
        <v>514117</v>
      </c>
      <c r="AE43" s="342">
        <f>'Public PreK-12 Enrollment'!AE48+'Private Enrollment'!AE43</f>
        <v>523488</v>
      </c>
      <c r="AF43" s="342">
        <f>'Public PreK-12 Enrollment'!AF48+'Private Enrollment'!AF43</f>
        <v>529028</v>
      </c>
      <c r="AG43" s="342">
        <f>'Public PreK-12 Enrollment'!AG48+'Private Enrollment'!AG43</f>
        <v>524800</v>
      </c>
      <c r="AH43" s="342">
        <f>'Public PreK-12 Enrollment'!AH48+'Private Enrollment'!AH43</f>
        <v>521745</v>
      </c>
      <c r="AI43" s="342">
        <f>'Public PreK-12 Enrollment'!AI48+'Private Enrollment'!AI43</f>
        <v>520582</v>
      </c>
      <c r="AJ43" s="342">
        <f>'Public PreK-12 Enrollment'!AJ48+'Private Enrollment'!AJ43</f>
        <v>518200</v>
      </c>
      <c r="AK43" s="342">
        <f>'Public PreK-12 Enrollment'!AK48+'Private Enrollment'!AK43</f>
        <v>516556</v>
      </c>
      <c r="AL43" s="342">
        <f>'Public PreK-12 Enrollment'!AL48+'Private Enrollment'!AL43</f>
        <v>514655</v>
      </c>
      <c r="AM43" s="342">
        <f>'Public PreK-12 Enrollment'!AM48+'Private Enrollment'!AM43</f>
        <v>516961</v>
      </c>
      <c r="AN43" s="342">
        <f>'Public PreK-12 Enrollment'!AN48+'Private Enrollment'!AN43</f>
        <v>516075</v>
      </c>
      <c r="AO43" s="342">
        <f>'Public PreK-12 Enrollment'!AO48+'Private Enrollment'!AO43</f>
        <v>515076</v>
      </c>
      <c r="AP43" s="342">
        <f>'Public PreK-12 Enrollment'!AP48+'Private Enrollment'!AQ43</f>
        <v>519169</v>
      </c>
      <c r="AQ43" s="342">
        <f>'Public PreK-12 Enrollment'!AQ48+'Private Enrollment'!AR43</f>
        <v>527591</v>
      </c>
      <c r="AR43" s="342">
        <f>'Public PreK-12 Enrollment'!AR48+'Private Enrollment'!AS43</f>
        <v>529208</v>
      </c>
    </row>
    <row r="44" spans="1:44">
      <c r="A44" s="113" t="s">
        <v>142</v>
      </c>
      <c r="B44" s="342">
        <f>'Public PreK-12 Enrollment'!B49+'Private Enrollment'!B44</f>
        <v>2348800</v>
      </c>
      <c r="C44" s="342">
        <f>'Public PreK-12 Enrollment'!C49+'Private Enrollment'!C44</f>
        <v>2444546</v>
      </c>
      <c r="D44" s="342" t="str">
        <f>IF('Private Enrollment'!D44=0,"NA",'Public PreK-12 Enrollment'!D49+'Private Enrollment'!D44)</f>
        <v>NA</v>
      </c>
      <c r="E44" s="342" t="str">
        <f>IF('Private Enrollment'!E44=0,"NA",'Public PreK-12 Enrollment'!E49+'Private Enrollment'!E44)</f>
        <v>NA</v>
      </c>
      <c r="F44" s="342" t="str">
        <f>IF('Private Enrollment'!F44=0,"NA",'Public PreK-12 Enrollment'!F49+'Private Enrollment'!F44)</f>
        <v>NA</v>
      </c>
      <c r="G44" s="342" t="str">
        <f>IF('Private Enrollment'!G44=0,"NA",'Public PreK-12 Enrollment'!G49+'Private Enrollment'!G44)</f>
        <v>NA</v>
      </c>
      <c r="H44" s="342">
        <f>'Public PreK-12 Enrollment'!H49+'Private Enrollment'!H44</f>
        <v>2312488</v>
      </c>
      <c r="I44" s="342" t="str">
        <f>IF('Private Enrollment'!I44=0,"NA",'Public PreK-12 Enrollment'!I49+'Private Enrollment'!I44)</f>
        <v>NA</v>
      </c>
      <c r="J44" s="342" t="str">
        <f>IF('Private Enrollment'!J44=0,"NA",'Public PreK-12 Enrollment'!J49+'Private Enrollment'!J44)</f>
        <v>NA</v>
      </c>
      <c r="K44" s="342">
        <f>'Public PreK-12 Enrollment'!K49+'Private Enrollment'!K44</f>
        <v>2128089</v>
      </c>
      <c r="L44" s="342">
        <f>'Public PreK-12 Enrollment'!L49+'Private Enrollment'!L44</f>
        <v>2074805.5</v>
      </c>
      <c r="M44" s="342">
        <f>'Public PreK-12 Enrollment'!M49+'Private Enrollment'!M44</f>
        <v>2008923</v>
      </c>
      <c r="N44" s="342" t="str">
        <f>IF('Private Enrollment'!N44=0,"NA",'Public PreK-12 Enrollment'!N49+'Private Enrollment'!N44)</f>
        <v>NA</v>
      </c>
      <c r="O44" s="342" t="str">
        <f>IF('Private Enrollment'!O44=0,"NA",'Public PreK-12 Enrollment'!O49+'Private Enrollment'!O44)</f>
        <v>NA</v>
      </c>
      <c r="P44" s="342" t="str">
        <f>IF('Private Enrollment'!P44=0,"NA",'Public PreK-12 Enrollment'!P49+'Private Enrollment'!P44)</f>
        <v>NA</v>
      </c>
      <c r="Q44" s="342" t="str">
        <f>IF('Private Enrollment'!Q44=0,"NA",'Public PreK-12 Enrollment'!Q49+'Private Enrollment'!Q44)</f>
        <v>NA</v>
      </c>
      <c r="R44" s="342" t="str">
        <f>IF('Private Enrollment'!R44=0,"NA",'Public PreK-12 Enrollment'!R49+'Private Enrollment'!R44)</f>
        <v>NA</v>
      </c>
      <c r="S44" s="342" t="str">
        <f>IF('Private Enrollment'!S44=0,"NA",'Public PreK-12 Enrollment'!S49+'Private Enrollment'!S44)</f>
        <v>NA</v>
      </c>
      <c r="T44" s="342" t="str">
        <f>IF('Private Enrollment'!T44=0,"NA",'Public PreK-12 Enrollment'!T49+'Private Enrollment'!T44)</f>
        <v>NA</v>
      </c>
      <c r="U44" s="342" t="str">
        <f>IF('Private Enrollment'!U44=0,"NA",'Public PreK-12 Enrollment'!U49+'Private Enrollment'!U44)</f>
        <v>NA</v>
      </c>
      <c r="V44" s="342">
        <f>'Public PreK-12 Enrollment'!V49+'Private Enrollment'!V44</f>
        <v>1766414</v>
      </c>
      <c r="W44" s="342">
        <f>'Public PreK-12 Enrollment'!W49+'Private Enrollment'!W44</f>
        <v>1772793</v>
      </c>
      <c r="X44" s="342">
        <f>'Public PreK-12 Enrollment'!X49+'Private Enrollment'!X44</f>
        <v>1780656</v>
      </c>
      <c r="Y44" s="342">
        <f>'Public PreK-12 Enrollment'!Y49+'Private Enrollment'!Y44</f>
        <v>1791028</v>
      </c>
      <c r="Z44" s="342">
        <f>'Public PreK-12 Enrollment'!Z49+'Private Enrollment'!Z44</f>
        <v>1787118</v>
      </c>
      <c r="AA44" s="342">
        <f>'Public PreK-12 Enrollment'!AA49+'Private Enrollment'!AA44</f>
        <v>1803187</v>
      </c>
      <c r="AB44" s="342">
        <f>'Public PreK-12 Enrollment'!AB49+'Private Enrollment'!AB44</f>
        <v>1830521</v>
      </c>
      <c r="AC44" s="342">
        <f>'Public PreK-12 Enrollment'!AC49+'Private Enrollment'!AC44</f>
        <v>1886221.5</v>
      </c>
      <c r="AD44" s="342">
        <f>'Public PreK-12 Enrollment'!AD49+'Private Enrollment'!AD44</f>
        <v>1914667</v>
      </c>
      <c r="AE44" s="342">
        <f>'Public PreK-12 Enrollment'!AE49+'Private Enrollment'!AE44</f>
        <v>1930497</v>
      </c>
      <c r="AF44" s="342">
        <f>'Public PreK-12 Enrollment'!AF49+'Private Enrollment'!AF44</f>
        <v>1934109</v>
      </c>
      <c r="AG44" s="342">
        <f>'Public PreK-12 Enrollment'!AG49+'Private Enrollment'!AG44</f>
        <v>1924051</v>
      </c>
      <c r="AH44" s="342">
        <f>'Public PreK-12 Enrollment'!AH49+'Private Enrollment'!AH44</f>
        <v>1929049</v>
      </c>
      <c r="AI44" s="342">
        <f>'Public PreK-12 Enrollment'!AI49+'Private Enrollment'!AI44</f>
        <v>1974390</v>
      </c>
      <c r="AJ44" s="342">
        <f>'Public PreK-12 Enrollment'!AJ49+'Private Enrollment'!AJ44</f>
        <v>1937684</v>
      </c>
      <c r="AK44" s="342">
        <f>'Public PreK-12 Enrollment'!AK49+'Private Enrollment'!AK44</f>
        <v>1924805</v>
      </c>
      <c r="AL44" s="342">
        <f>'Public PreK-12 Enrollment'!AL49+'Private Enrollment'!AL44</f>
        <v>1909232</v>
      </c>
      <c r="AM44" s="342">
        <f>'Public PreK-12 Enrollment'!AM49+'Private Enrollment'!AM44</f>
        <v>1885681</v>
      </c>
      <c r="AN44" s="342">
        <f>'Public PreK-12 Enrollment'!AN49+'Private Enrollment'!AN44</f>
        <v>1851839</v>
      </c>
      <c r="AO44" s="342">
        <f>'Public PreK-12 Enrollment'!AO49+'Private Enrollment'!AO44</f>
        <v>1806533.5</v>
      </c>
      <c r="AP44" s="342">
        <f>'Public PreK-12 Enrollment'!AP49+'Private Enrollment'!AQ44</f>
        <v>1802312</v>
      </c>
      <c r="AQ44" s="342">
        <f>'Public PreK-12 Enrollment'!AQ49+'Private Enrollment'!AR44</f>
        <v>1731472</v>
      </c>
      <c r="AR44" s="342">
        <f>'Public PreK-12 Enrollment'!AR49+'Private Enrollment'!AS44</f>
        <v>1709117</v>
      </c>
    </row>
    <row r="45" spans="1:44">
      <c r="A45" s="113" t="s">
        <v>143</v>
      </c>
      <c r="B45" s="342">
        <f>'Public PreK-12 Enrollment'!B50+'Private Enrollment'!B45</f>
        <v>994207</v>
      </c>
      <c r="C45" s="342">
        <f>'Public PreK-12 Enrollment'!C50+'Private Enrollment'!C45</f>
        <v>1041121</v>
      </c>
      <c r="D45" s="342" t="str">
        <f>IF('Private Enrollment'!D45=0,"NA",'Public PreK-12 Enrollment'!D50+'Private Enrollment'!D45)</f>
        <v>NA</v>
      </c>
      <c r="E45" s="342" t="str">
        <f>IF('Private Enrollment'!E45=0,"NA",'Public PreK-12 Enrollment'!E50+'Private Enrollment'!E45)</f>
        <v>NA</v>
      </c>
      <c r="F45" s="342" t="str">
        <f>IF('Private Enrollment'!F45=0,"NA",'Public PreK-12 Enrollment'!F50+'Private Enrollment'!F45)</f>
        <v>NA</v>
      </c>
      <c r="G45" s="342" t="str">
        <f>IF('Private Enrollment'!G45=0,"NA",'Public PreK-12 Enrollment'!G50+'Private Enrollment'!G45)</f>
        <v>NA</v>
      </c>
      <c r="H45" s="342">
        <f>'Public PreK-12 Enrollment'!H50+'Private Enrollment'!H45</f>
        <v>985144</v>
      </c>
      <c r="I45" s="342" t="str">
        <f>IF('Private Enrollment'!I45=0,"NA",'Public PreK-12 Enrollment'!I50+'Private Enrollment'!I45)</f>
        <v>NA</v>
      </c>
      <c r="J45" s="342" t="str">
        <f>IF('Private Enrollment'!J45=0,"NA",'Public PreK-12 Enrollment'!J50+'Private Enrollment'!J45)</f>
        <v>NA</v>
      </c>
      <c r="K45" s="342">
        <f>'Public PreK-12 Enrollment'!K50+'Private Enrollment'!K45</f>
        <v>899614</v>
      </c>
      <c r="L45" s="342">
        <f>'Public PreK-12 Enrollment'!L50+'Private Enrollment'!L45</f>
        <v>868488</v>
      </c>
      <c r="M45" s="342">
        <f>'Public PreK-12 Enrollment'!M50+'Private Enrollment'!M45</f>
        <v>843284</v>
      </c>
      <c r="N45" s="342" t="str">
        <f>IF('Private Enrollment'!N45=0,"NA",'Public PreK-12 Enrollment'!N50+'Private Enrollment'!N45)</f>
        <v>NA</v>
      </c>
      <c r="O45" s="342" t="str">
        <f>IF('Private Enrollment'!O45=0,"NA",'Public PreK-12 Enrollment'!O50+'Private Enrollment'!O45)</f>
        <v>NA</v>
      </c>
      <c r="P45" s="342" t="str">
        <f>IF('Private Enrollment'!P45=0,"NA",'Public PreK-12 Enrollment'!P50+'Private Enrollment'!P45)</f>
        <v>NA</v>
      </c>
      <c r="Q45" s="342" t="str">
        <f>IF('Private Enrollment'!Q45=0,"NA",'Public PreK-12 Enrollment'!Q50+'Private Enrollment'!Q45)</f>
        <v>NA</v>
      </c>
      <c r="R45" s="342" t="str">
        <f>IF('Private Enrollment'!R45=0,"NA",'Public PreK-12 Enrollment'!R50+'Private Enrollment'!R45)</f>
        <v>NA</v>
      </c>
      <c r="S45" s="342" t="str">
        <f>IF('Private Enrollment'!S45=0,"NA",'Public PreK-12 Enrollment'!S50+'Private Enrollment'!S45)</f>
        <v>NA</v>
      </c>
      <c r="T45" s="342" t="str">
        <f>IF('Private Enrollment'!T45=0,"NA",'Public PreK-12 Enrollment'!T50+'Private Enrollment'!T45)</f>
        <v>NA</v>
      </c>
      <c r="U45" s="342" t="str">
        <f>IF('Private Enrollment'!U45=0,"NA",'Public PreK-12 Enrollment'!U50+'Private Enrollment'!U45)</f>
        <v>NA</v>
      </c>
      <c r="V45" s="342">
        <f>'Public PreK-12 Enrollment'!V50+'Private Enrollment'!V45</f>
        <v>836146</v>
      </c>
      <c r="W45" s="342">
        <f>'Public PreK-12 Enrollment'!W50+'Private Enrollment'!W45</f>
        <v>851372.5</v>
      </c>
      <c r="X45" s="342">
        <f>'Public PreK-12 Enrollment'!X50+'Private Enrollment'!X45</f>
        <v>866975</v>
      </c>
      <c r="Y45" s="342">
        <f>'Public PreK-12 Enrollment'!Y50+'Private Enrollment'!Y45</f>
        <v>883451.5</v>
      </c>
      <c r="Z45" s="342">
        <f>'Public PreK-12 Enrollment'!Z50+'Private Enrollment'!Z45</f>
        <v>896284</v>
      </c>
      <c r="AA45" s="342">
        <f>'Public PreK-12 Enrollment'!AA50+'Private Enrollment'!AA45</f>
        <v>907957</v>
      </c>
      <c r="AB45" s="342">
        <f>'Public PreK-12 Enrollment'!AB50+'Private Enrollment'!AB45</f>
        <v>921643</v>
      </c>
      <c r="AC45" s="342">
        <f>'Public PreK-12 Enrollment'!AC50+'Private Enrollment'!AC45</f>
        <v>939177.5</v>
      </c>
      <c r="AD45" s="342">
        <f>'Public PreK-12 Enrollment'!AD50+'Private Enrollment'!AD45</f>
        <v>951091</v>
      </c>
      <c r="AE45" s="342">
        <f>'Public PreK-12 Enrollment'!AE50+'Private Enrollment'!AE45</f>
        <v>955870</v>
      </c>
      <c r="AF45" s="342">
        <f>'Public PreK-12 Enrollment'!AF50+'Private Enrollment'!AF45</f>
        <v>955394</v>
      </c>
      <c r="AG45" s="342">
        <f>'Public PreK-12 Enrollment'!AG50+'Private Enrollment'!AG45</f>
        <v>961175</v>
      </c>
      <c r="AH45" s="342">
        <f>'Public PreK-12 Enrollment'!AH50+'Private Enrollment'!AH45</f>
        <v>963694</v>
      </c>
      <c r="AI45" s="342">
        <f>'Public PreK-12 Enrollment'!AI50+'Private Enrollment'!AI45</f>
        <v>956051</v>
      </c>
      <c r="AJ45" s="342">
        <f>'Public PreK-12 Enrollment'!AJ50+'Private Enrollment'!AJ45</f>
        <v>948864</v>
      </c>
      <c r="AK45" s="342">
        <f>'Public PreK-12 Enrollment'!AK50+'Private Enrollment'!AK45</f>
        <v>943873</v>
      </c>
      <c r="AL45" s="342">
        <f>'Public PreK-12 Enrollment'!AL50+'Private Enrollment'!AL45</f>
        <v>943973</v>
      </c>
      <c r="AM45" s="342">
        <f>'Public PreK-12 Enrollment'!AM50+'Private Enrollment'!AM45</f>
        <v>943800</v>
      </c>
      <c r="AN45" s="342">
        <f>'Public PreK-12 Enrollment'!AN50+'Private Enrollment'!AN45</f>
        <v>939318</v>
      </c>
      <c r="AO45" s="342">
        <f>'Public PreK-12 Enrollment'!AO50+'Private Enrollment'!AO45</f>
        <v>926112.5</v>
      </c>
      <c r="AP45" s="342">
        <f>'Public PreK-12 Enrollment'!AP50+'Private Enrollment'!AQ45</f>
        <v>926583</v>
      </c>
      <c r="AQ45" s="342">
        <f>'Public PreK-12 Enrollment'!AQ50+'Private Enrollment'!AR45</f>
        <v>926612</v>
      </c>
      <c r="AR45" s="342">
        <f>'Public PreK-12 Enrollment'!AR50+'Private Enrollment'!AS45</f>
        <v>927358</v>
      </c>
    </row>
    <row r="46" spans="1:44">
      <c r="A46" s="113" t="s">
        <v>144</v>
      </c>
      <c r="B46" s="342">
        <f>'Public PreK-12 Enrollment'!B51+'Private Enrollment'!B46</f>
        <v>1153851</v>
      </c>
      <c r="C46" s="342">
        <f>'Public PreK-12 Enrollment'!C51+'Private Enrollment'!C46</f>
        <v>1184427</v>
      </c>
      <c r="D46" s="342" t="str">
        <f>IF('Private Enrollment'!D46=0,"NA",'Public PreK-12 Enrollment'!D51+'Private Enrollment'!D46)</f>
        <v>NA</v>
      </c>
      <c r="E46" s="342" t="str">
        <f>IF('Private Enrollment'!E46=0,"NA",'Public PreK-12 Enrollment'!E51+'Private Enrollment'!E46)</f>
        <v>NA</v>
      </c>
      <c r="F46" s="342" t="str">
        <f>IF('Private Enrollment'!F46=0,"NA",'Public PreK-12 Enrollment'!F51+'Private Enrollment'!F46)</f>
        <v>NA</v>
      </c>
      <c r="G46" s="342" t="str">
        <f>IF('Private Enrollment'!G46=0,"NA",'Public PreK-12 Enrollment'!G51+'Private Enrollment'!G46)</f>
        <v>NA</v>
      </c>
      <c r="H46" s="342">
        <f>'Public PreK-12 Enrollment'!H51+'Private Enrollment'!H46</f>
        <v>1058960</v>
      </c>
      <c r="I46" s="342" t="str">
        <f>IF('Private Enrollment'!I46=0,"NA",'Public PreK-12 Enrollment'!I51+'Private Enrollment'!I46)</f>
        <v>NA</v>
      </c>
      <c r="J46" s="342" t="str">
        <f>IF('Private Enrollment'!J46=0,"NA",'Public PreK-12 Enrollment'!J51+'Private Enrollment'!J46)</f>
        <v>NA</v>
      </c>
      <c r="K46" s="342">
        <f>'Public PreK-12 Enrollment'!K51+'Private Enrollment'!K46</f>
        <v>1030888</v>
      </c>
      <c r="L46" s="342">
        <f>'Public PreK-12 Enrollment'!L51+'Private Enrollment'!L46</f>
        <v>1001535.5</v>
      </c>
      <c r="M46" s="342">
        <f>'Public PreK-12 Enrollment'!M51+'Private Enrollment'!M46</f>
        <v>970967</v>
      </c>
      <c r="N46" s="342" t="str">
        <f>IF('Private Enrollment'!N46=0,"NA",'Public PreK-12 Enrollment'!N51+'Private Enrollment'!N46)</f>
        <v>NA</v>
      </c>
      <c r="O46" s="342" t="str">
        <f>IF('Private Enrollment'!O46=0,"NA",'Public PreK-12 Enrollment'!O51+'Private Enrollment'!O46)</f>
        <v>NA</v>
      </c>
      <c r="P46" s="342" t="str">
        <f>IF('Private Enrollment'!P46=0,"NA",'Public PreK-12 Enrollment'!P51+'Private Enrollment'!P46)</f>
        <v>NA</v>
      </c>
      <c r="Q46" s="342" t="str">
        <f>IF('Private Enrollment'!Q46=0,"NA",'Public PreK-12 Enrollment'!Q51+'Private Enrollment'!Q46)</f>
        <v>NA</v>
      </c>
      <c r="R46" s="342" t="str">
        <f>IF('Private Enrollment'!R46=0,"NA",'Public PreK-12 Enrollment'!R51+'Private Enrollment'!R46)</f>
        <v>NA</v>
      </c>
      <c r="S46" s="342" t="str">
        <f>IF('Private Enrollment'!S46=0,"NA",'Public PreK-12 Enrollment'!S51+'Private Enrollment'!S46)</f>
        <v>NA</v>
      </c>
      <c r="T46" s="342" t="str">
        <f>IF('Private Enrollment'!T46=0,"NA",'Public PreK-12 Enrollment'!T51+'Private Enrollment'!T46)</f>
        <v>NA</v>
      </c>
      <c r="U46" s="342" t="str">
        <f>IF('Private Enrollment'!U46=0,"NA",'Public PreK-12 Enrollment'!U51+'Private Enrollment'!U46)</f>
        <v>NA</v>
      </c>
      <c r="V46" s="342">
        <f>'Public PreK-12 Enrollment'!V51+'Private Enrollment'!V46</f>
        <v>932019</v>
      </c>
      <c r="W46" s="342">
        <f>'Public PreK-12 Enrollment'!W51+'Private Enrollment'!W46</f>
        <v>936820.5</v>
      </c>
      <c r="X46" s="342">
        <f>'Public PreK-12 Enrollment'!X51+'Private Enrollment'!X46</f>
        <v>959405</v>
      </c>
      <c r="Y46" s="342">
        <f>'Public PreK-12 Enrollment'!Y51+'Private Enrollment'!Y46</f>
        <v>976310</v>
      </c>
      <c r="Z46" s="342">
        <f>'Public PreK-12 Enrollment'!Z51+'Private Enrollment'!Z46</f>
        <v>983844</v>
      </c>
      <c r="AA46" s="342">
        <f>'Public PreK-12 Enrollment'!AA51+'Private Enrollment'!AA46</f>
        <v>1000766.5</v>
      </c>
      <c r="AB46" s="342">
        <f>'Public PreK-12 Enrollment'!AB51+'Private Enrollment'!AB46</f>
        <v>1016866</v>
      </c>
      <c r="AC46" s="342">
        <f>'Public PreK-12 Enrollment'!AC51+'Private Enrollment'!AC46</f>
        <v>1033239.5</v>
      </c>
      <c r="AD46" s="342">
        <f>'Public PreK-12 Enrollment'!AD51+'Private Enrollment'!AD46</f>
        <v>1049073</v>
      </c>
      <c r="AE46" s="342">
        <f>'Public PreK-12 Enrollment'!AE51+'Private Enrollment'!AE46</f>
        <v>1048599</v>
      </c>
      <c r="AF46" s="342">
        <f>'Public PreK-12 Enrollment'!AF51+'Private Enrollment'!AF46</f>
        <v>1045860</v>
      </c>
      <c r="AG46" s="342">
        <f>'Public PreK-12 Enrollment'!AG51+'Private Enrollment'!AG46</f>
        <v>1047689</v>
      </c>
      <c r="AH46" s="342">
        <f>'Public PreK-12 Enrollment'!AH51+'Private Enrollment'!AH46</f>
        <v>1047932</v>
      </c>
      <c r="AI46" s="342">
        <f>'Public PreK-12 Enrollment'!AI51+'Private Enrollment'!AI46</f>
        <v>1046334</v>
      </c>
      <c r="AJ46" s="342">
        <f>'Public PreK-12 Enrollment'!AJ51+'Private Enrollment'!AJ46</f>
        <v>1047471</v>
      </c>
      <c r="AK46" s="342">
        <f>'Public PreK-12 Enrollment'!AK51+'Private Enrollment'!AK46</f>
        <v>1045119</v>
      </c>
      <c r="AL46" s="342">
        <f>'Public PreK-12 Enrollment'!AL51+'Private Enrollment'!AL46</f>
        <v>1055515</v>
      </c>
      <c r="AM46" s="342">
        <f>'Public PreK-12 Enrollment'!AM51+'Private Enrollment'!AM46</f>
        <v>1052063</v>
      </c>
      <c r="AN46" s="342">
        <f>'Public PreK-12 Enrollment'!AN51+'Private Enrollment'!AN46</f>
        <v>1042798</v>
      </c>
      <c r="AO46" s="342">
        <f>'Public PreK-12 Enrollment'!AO51+'Private Enrollment'!AO46</f>
        <v>1033450</v>
      </c>
      <c r="AP46" s="342">
        <f>'Public PreK-12 Enrollment'!AP51+'Private Enrollment'!AQ46</f>
        <v>1035952</v>
      </c>
      <c r="AQ46" s="342">
        <f>'Public PreK-12 Enrollment'!AQ51+'Private Enrollment'!AR46</f>
        <v>1042760</v>
      </c>
      <c r="AR46" s="342">
        <f>'Public PreK-12 Enrollment'!AR51+'Private Enrollment'!AS46</f>
        <v>1046714</v>
      </c>
    </row>
    <row r="47" spans="1:44">
      <c r="A47" s="113" t="s">
        <v>146</v>
      </c>
      <c r="B47" s="342">
        <f>'Public PreK-12 Enrollment'!B52+'Private Enrollment'!B47</f>
        <v>382846</v>
      </c>
      <c r="C47" s="342">
        <f>'Public PreK-12 Enrollment'!C52+'Private Enrollment'!C47</f>
        <v>379520</v>
      </c>
      <c r="D47" s="342" t="str">
        <f>IF('Private Enrollment'!D47=0,"NA",'Public PreK-12 Enrollment'!D52+'Private Enrollment'!D47)</f>
        <v>NA</v>
      </c>
      <c r="E47" s="342" t="str">
        <f>IF('Private Enrollment'!E47=0,"NA",'Public PreK-12 Enrollment'!E52+'Private Enrollment'!E47)</f>
        <v>NA</v>
      </c>
      <c r="F47" s="342" t="str">
        <f>IF('Private Enrollment'!F47=0,"NA",'Public PreK-12 Enrollment'!F52+'Private Enrollment'!F47)</f>
        <v>NA</v>
      </c>
      <c r="G47" s="342" t="str">
        <f>IF('Private Enrollment'!G47=0,"NA",'Public PreK-12 Enrollment'!G52+'Private Enrollment'!G47)</f>
        <v>NA</v>
      </c>
      <c r="H47" s="342">
        <f>'Public PreK-12 Enrollment'!H52+'Private Enrollment'!H47</f>
        <v>355869</v>
      </c>
      <c r="I47" s="342" t="str">
        <f>IF('Private Enrollment'!I47=0,"NA",'Public PreK-12 Enrollment'!I52+'Private Enrollment'!I47)</f>
        <v>NA</v>
      </c>
      <c r="J47" s="342" t="str">
        <f>IF('Private Enrollment'!J47=0,"NA",'Public PreK-12 Enrollment'!J52+'Private Enrollment'!J47)</f>
        <v>NA</v>
      </c>
      <c r="K47" s="342">
        <f>'Public PreK-12 Enrollment'!K52+'Private Enrollment'!K47</f>
        <v>336788</v>
      </c>
      <c r="L47" s="342">
        <f>'Public PreK-12 Enrollment'!L52+'Private Enrollment'!L47</f>
        <v>326071</v>
      </c>
      <c r="M47" s="342">
        <f>'Public PreK-12 Enrollment'!M52+'Private Enrollment'!M47</f>
        <v>319004</v>
      </c>
      <c r="N47" s="342" t="str">
        <f>IF('Private Enrollment'!N47=0,"NA",'Public PreK-12 Enrollment'!N52+'Private Enrollment'!N47)</f>
        <v>NA</v>
      </c>
      <c r="O47" s="342" t="str">
        <f>IF('Private Enrollment'!O47=0,"NA",'Public PreK-12 Enrollment'!O52+'Private Enrollment'!O47)</f>
        <v>NA</v>
      </c>
      <c r="P47" s="342" t="str">
        <f>IF('Private Enrollment'!P47=0,"NA",'Public PreK-12 Enrollment'!P52+'Private Enrollment'!P47)</f>
        <v>NA</v>
      </c>
      <c r="Q47" s="342" t="str">
        <f>IF('Private Enrollment'!Q47=0,"NA",'Public PreK-12 Enrollment'!Q52+'Private Enrollment'!Q47)</f>
        <v>NA</v>
      </c>
      <c r="R47" s="342" t="str">
        <f>IF('Private Enrollment'!R47=0,"NA",'Public PreK-12 Enrollment'!R52+'Private Enrollment'!R47)</f>
        <v>NA</v>
      </c>
      <c r="S47" s="342" t="str">
        <f>IF('Private Enrollment'!S47=0,"NA",'Public PreK-12 Enrollment'!S52+'Private Enrollment'!S47)</f>
        <v>NA</v>
      </c>
      <c r="T47" s="342" t="str">
        <f>IF('Private Enrollment'!T47=0,"NA",'Public PreK-12 Enrollment'!T52+'Private Enrollment'!T47)</f>
        <v>NA</v>
      </c>
      <c r="U47" s="342" t="str">
        <f>IF('Private Enrollment'!U47=0,"NA",'Public PreK-12 Enrollment'!U52+'Private Enrollment'!U47)</f>
        <v>NA</v>
      </c>
      <c r="V47" s="342">
        <f>'Public PreK-12 Enrollment'!V52+'Private Enrollment'!V47</f>
        <v>307378</v>
      </c>
      <c r="W47" s="342">
        <f>'Public PreK-12 Enrollment'!W52+'Private Enrollment'!W47</f>
        <v>312146.5</v>
      </c>
      <c r="X47" s="342">
        <f>'Public PreK-12 Enrollment'!X52+'Private Enrollment'!X47</f>
        <v>319225</v>
      </c>
      <c r="Y47" s="342">
        <f>'Public PreK-12 Enrollment'!Y52+'Private Enrollment'!Y47</f>
        <v>322032.5</v>
      </c>
      <c r="Z47" s="342">
        <f>'Public PreK-12 Enrollment'!Z52+'Private Enrollment'!Z47</f>
        <v>324661</v>
      </c>
      <c r="AA47" s="342">
        <f>'Public PreK-12 Enrollment'!AA52+'Private Enrollment'!AA47</f>
        <v>327542</v>
      </c>
      <c r="AB47" s="342">
        <f>'Public PreK-12 Enrollment'!AB52+'Private Enrollment'!AB47</f>
        <v>331064</v>
      </c>
      <c r="AC47" s="342">
        <f>'Public PreK-12 Enrollment'!AC52+'Private Enrollment'!AC47</f>
        <v>334232</v>
      </c>
      <c r="AD47" s="342">
        <f>'Public PreK-12 Enrollment'!AD52+'Private Enrollment'!AD47</f>
        <v>335891</v>
      </c>
      <c r="AE47" s="342">
        <f>'Public PreK-12 Enrollment'!AE52+'Private Enrollment'!AE47</f>
        <v>335025</v>
      </c>
      <c r="AF47" s="342">
        <f>'Public PreK-12 Enrollment'!AF52+'Private Enrollment'!AF47</f>
        <v>332821</v>
      </c>
      <c r="AG47" s="342">
        <f>'Public PreK-12 Enrollment'!AG52+'Private Enrollment'!AG47</f>
        <v>331274</v>
      </c>
      <c r="AH47" s="342">
        <f>'Public PreK-12 Enrollment'!AH52+'Private Enrollment'!AH47</f>
        <v>330685</v>
      </c>
      <c r="AI47" s="342">
        <f>'Public PreK-12 Enrollment'!AI52+'Private Enrollment'!AI47</f>
        <v>329022</v>
      </c>
      <c r="AJ47" s="342">
        <f>'Public PreK-12 Enrollment'!AJ52+'Private Enrollment'!AJ47</f>
        <v>327192</v>
      </c>
      <c r="AK47" s="342">
        <f>'Public PreK-12 Enrollment'!AK52+'Private Enrollment'!AK47</f>
        <v>327796</v>
      </c>
      <c r="AL47" s="342">
        <f>'Public PreK-12 Enrollment'!AL52+'Private Enrollment'!AL47</f>
        <v>329066</v>
      </c>
      <c r="AM47" s="342">
        <f>'Public PreK-12 Enrollment'!AM52+'Private Enrollment'!AM47</f>
        <v>328950</v>
      </c>
      <c r="AN47" s="342">
        <f>'Public PreK-12 Enrollment'!AN52+'Private Enrollment'!AN47</f>
        <v>331564</v>
      </c>
      <c r="AO47" s="342">
        <f>'Public PreK-12 Enrollment'!AO52+'Private Enrollment'!AO47</f>
        <v>330159.5</v>
      </c>
      <c r="AP47" s="342">
        <f>'Public PreK-12 Enrollment'!AP52+'Private Enrollment'!AQ47</f>
        <v>334408</v>
      </c>
      <c r="AQ47" s="342">
        <f>'Public PreK-12 Enrollment'!AQ52+'Private Enrollment'!AR47</f>
        <v>338395</v>
      </c>
      <c r="AR47" s="342">
        <f>'Public PreK-12 Enrollment'!AR52+'Private Enrollment'!AS47</f>
        <v>342046</v>
      </c>
    </row>
    <row r="48" spans="1:44">
      <c r="A48" s="113" t="s">
        <v>152</v>
      </c>
      <c r="B48" s="342">
        <f>'Public PreK-12 Enrollment'!B53+'Private Enrollment'!B48</f>
        <v>171871</v>
      </c>
      <c r="C48" s="342">
        <f>'Public PreK-12 Enrollment'!C53+'Private Enrollment'!C48</f>
        <v>160278</v>
      </c>
      <c r="D48" s="342" t="str">
        <f>IF('Private Enrollment'!D48=0,"NA",'Public PreK-12 Enrollment'!D53+'Private Enrollment'!D48)</f>
        <v>NA</v>
      </c>
      <c r="E48" s="342" t="str">
        <f>IF('Private Enrollment'!E48=0,"NA",'Public PreK-12 Enrollment'!E53+'Private Enrollment'!E48)</f>
        <v>NA</v>
      </c>
      <c r="F48" s="342" t="str">
        <f>IF('Private Enrollment'!F48=0,"NA",'Public PreK-12 Enrollment'!F53+'Private Enrollment'!F48)</f>
        <v>NA</v>
      </c>
      <c r="G48" s="342" t="str">
        <f>IF('Private Enrollment'!G48=0,"NA",'Public PreK-12 Enrollment'!G53+'Private Enrollment'!G48)</f>
        <v>NA</v>
      </c>
      <c r="H48" s="342">
        <f>'Public PreK-12 Enrollment'!H53+'Private Enrollment'!H48</f>
        <v>142131</v>
      </c>
      <c r="I48" s="342" t="str">
        <f>IF('Private Enrollment'!I48=0,"NA",'Public PreK-12 Enrollment'!I53+'Private Enrollment'!I48)</f>
        <v>NA</v>
      </c>
      <c r="J48" s="342" t="str">
        <f>IF('Private Enrollment'!J48=0,"NA",'Public PreK-12 Enrollment'!J53+'Private Enrollment'!J48)</f>
        <v>NA</v>
      </c>
      <c r="K48" s="342">
        <f>'Public PreK-12 Enrollment'!K53+'Private Enrollment'!K48</f>
        <v>133129</v>
      </c>
      <c r="L48" s="342">
        <f>'Public PreK-12 Enrollment'!L53+'Private Enrollment'!L48</f>
        <v>128571.5</v>
      </c>
      <c r="M48" s="342">
        <f>'Public PreK-12 Enrollment'!M53+'Private Enrollment'!M48</f>
        <v>127544</v>
      </c>
      <c r="N48" s="342" t="str">
        <f>IF('Private Enrollment'!N48=0,"NA",'Public PreK-12 Enrollment'!N53+'Private Enrollment'!N48)</f>
        <v>NA</v>
      </c>
      <c r="O48" s="342" t="str">
        <f>IF('Private Enrollment'!O48=0,"NA",'Public PreK-12 Enrollment'!O53+'Private Enrollment'!O48)</f>
        <v>NA</v>
      </c>
      <c r="P48" s="342" t="str">
        <f>IF('Private Enrollment'!P48=0,"NA",'Public PreK-12 Enrollment'!P53+'Private Enrollment'!P48)</f>
        <v>NA</v>
      </c>
      <c r="Q48" s="342" t="str">
        <f>IF('Private Enrollment'!Q48=0,"NA",'Public PreK-12 Enrollment'!Q53+'Private Enrollment'!Q48)</f>
        <v>NA</v>
      </c>
      <c r="R48" s="342" t="str">
        <f>IF('Private Enrollment'!R48=0,"NA",'Public PreK-12 Enrollment'!R53+'Private Enrollment'!R48)</f>
        <v>NA</v>
      </c>
      <c r="S48" s="342" t="str">
        <f>IF('Private Enrollment'!S48=0,"NA",'Public PreK-12 Enrollment'!S53+'Private Enrollment'!S48)</f>
        <v>NA</v>
      </c>
      <c r="T48" s="342" t="str">
        <f>IF('Private Enrollment'!T48=0,"NA",'Public PreK-12 Enrollment'!T53+'Private Enrollment'!T48)</f>
        <v>NA</v>
      </c>
      <c r="U48" s="342" t="str">
        <f>IF('Private Enrollment'!U48=0,"NA",'Public PreK-12 Enrollment'!U53+'Private Enrollment'!U48)</f>
        <v>NA</v>
      </c>
      <c r="V48" s="342">
        <f>'Public PreK-12 Enrollment'!V53+'Private Enrollment'!V48</f>
        <v>124861</v>
      </c>
      <c r="W48" s="342">
        <f>'Public PreK-12 Enrollment'!W53+'Private Enrollment'!W48</f>
        <v>125106.5</v>
      </c>
      <c r="X48" s="342">
        <f>'Public PreK-12 Enrollment'!X53+'Private Enrollment'!X48</f>
        <v>125894</v>
      </c>
      <c r="Y48" s="342">
        <f>'Public PreK-12 Enrollment'!Y53+'Private Enrollment'!Y48</f>
        <v>126281.5</v>
      </c>
      <c r="Z48" s="342">
        <f>'Public PreK-12 Enrollment'!Z53+'Private Enrollment'!Z48</f>
        <v>126704</v>
      </c>
      <c r="AA48" s="342">
        <f>'Public PreK-12 Enrollment'!AA53+'Private Enrollment'!AA48</f>
        <v>126737</v>
      </c>
      <c r="AB48" s="342">
        <f>'Public PreK-12 Enrollment'!AB53+'Private Enrollment'!AB48</f>
        <v>126421</v>
      </c>
      <c r="AC48" s="342">
        <f>'Public PreK-12 Enrollment'!AC53+'Private Enrollment'!AC48</f>
        <v>127768.5</v>
      </c>
      <c r="AD48" s="342">
        <f>'Public PreK-12 Enrollment'!AD53+'Private Enrollment'!AD48</f>
        <v>126542</v>
      </c>
      <c r="AE48" s="342">
        <f>'Public PreK-12 Enrollment'!AE53+'Private Enrollment'!AE48</f>
        <v>122777</v>
      </c>
      <c r="AF48" s="342">
        <f>'Public PreK-12 Enrollment'!AF53+'Private Enrollment'!AF48</f>
        <v>120481</v>
      </c>
      <c r="AG48" s="342">
        <f>'Public PreK-12 Enrollment'!AG53+'Private Enrollment'!AG48</f>
        <v>116656</v>
      </c>
      <c r="AH48" s="342">
        <f>'Public PreK-12 Enrollment'!AH53+'Private Enrollment'!AH48</f>
        <v>113227</v>
      </c>
      <c r="AI48" s="342">
        <f>'Public PreK-12 Enrollment'!AI53+'Private Enrollment'!AI48</f>
        <v>111235</v>
      </c>
      <c r="AJ48" s="342">
        <f>'Public PreK-12 Enrollment'!AJ53+'Private Enrollment'!AJ48</f>
        <v>109073</v>
      </c>
      <c r="AK48" s="342">
        <f>'Public PreK-12 Enrollment'!AK53+'Private Enrollment'!AK48</f>
        <v>107578</v>
      </c>
      <c r="AL48" s="342">
        <f>'Public PreK-12 Enrollment'!AL53+'Private Enrollment'!AL48</f>
        <v>105573</v>
      </c>
      <c r="AM48" s="342">
        <f>'Public PreK-12 Enrollment'!AM53+'Private Enrollment'!AM48</f>
        <v>104030</v>
      </c>
      <c r="AN48" s="342">
        <f>'Public PreK-12 Enrollment'!AN53+'Private Enrollment'!AN48</f>
        <v>102489</v>
      </c>
      <c r="AO48" s="342">
        <f>'Public PreK-12 Enrollment'!AO53+'Private Enrollment'!AO48</f>
        <v>101809</v>
      </c>
      <c r="AP48" s="342">
        <f>'Public PreK-12 Enrollment'!AP53+'Private Enrollment'!AQ48</f>
        <v>102823</v>
      </c>
      <c r="AQ48" s="342">
        <f>'Public PreK-12 Enrollment'!AQ53+'Private Enrollment'!AR48</f>
        <v>104083</v>
      </c>
      <c r="AR48" s="342">
        <f>'Public PreK-12 Enrollment'!AR53+'Private Enrollment'!AS48</f>
        <v>105416</v>
      </c>
    </row>
    <row r="49" spans="1:44">
      <c r="A49" s="113" t="s">
        <v>153</v>
      </c>
      <c r="B49" s="342">
        <f>'Public PreK-12 Enrollment'!B54+'Private Enrollment'!B49</f>
        <v>2712108</v>
      </c>
      <c r="C49" s="342">
        <f>'Public PreK-12 Enrollment'!C54+'Private Enrollment'!C49</f>
        <v>2783978</v>
      </c>
      <c r="D49" s="342" t="str">
        <f>IF('Private Enrollment'!D49=0,"NA",'Public PreK-12 Enrollment'!D54+'Private Enrollment'!D49)</f>
        <v>NA</v>
      </c>
      <c r="E49" s="342" t="str">
        <f>IF('Private Enrollment'!E49=0,"NA",'Public PreK-12 Enrollment'!E54+'Private Enrollment'!E49)</f>
        <v>NA</v>
      </c>
      <c r="F49" s="342" t="str">
        <f>IF('Private Enrollment'!F49=0,"NA",'Public PreK-12 Enrollment'!F54+'Private Enrollment'!F49)</f>
        <v>NA</v>
      </c>
      <c r="G49" s="342" t="str">
        <f>IF('Private Enrollment'!G49=0,"NA",'Public PreK-12 Enrollment'!G54+'Private Enrollment'!G49)</f>
        <v>NA</v>
      </c>
      <c r="H49" s="342">
        <f>'Public PreK-12 Enrollment'!H54+'Private Enrollment'!H49</f>
        <v>2580347</v>
      </c>
      <c r="I49" s="342" t="str">
        <f>IF('Private Enrollment'!I49=0,"NA",'Public PreK-12 Enrollment'!I54+'Private Enrollment'!I49)</f>
        <v>NA</v>
      </c>
      <c r="J49" s="342" t="str">
        <f>IF('Private Enrollment'!J49=0,"NA",'Public PreK-12 Enrollment'!J54+'Private Enrollment'!J49)</f>
        <v>NA</v>
      </c>
      <c r="K49" s="342">
        <f>'Public PreK-12 Enrollment'!K54+'Private Enrollment'!K49</f>
        <v>2376272</v>
      </c>
      <c r="L49" s="342">
        <f>'Public PreK-12 Enrollment'!L54+'Private Enrollment'!L49</f>
        <v>2296350.5</v>
      </c>
      <c r="M49" s="342">
        <f>'Public PreK-12 Enrollment'!M54+'Private Enrollment'!M49</f>
        <v>2225738</v>
      </c>
      <c r="N49" s="342" t="str">
        <f>IF('Private Enrollment'!N49=0,"NA",'Public PreK-12 Enrollment'!N54+'Private Enrollment'!N49)</f>
        <v>NA</v>
      </c>
      <c r="O49" s="342" t="str">
        <f>IF('Private Enrollment'!O49=0,"NA",'Public PreK-12 Enrollment'!O54+'Private Enrollment'!O49)</f>
        <v>NA</v>
      </c>
      <c r="P49" s="342" t="str">
        <f>IF('Private Enrollment'!P49=0,"NA",'Public PreK-12 Enrollment'!P54+'Private Enrollment'!P49)</f>
        <v>NA</v>
      </c>
      <c r="Q49" s="342" t="str">
        <f>IF('Private Enrollment'!Q49=0,"NA",'Public PreK-12 Enrollment'!Q54+'Private Enrollment'!Q49)</f>
        <v>NA</v>
      </c>
      <c r="R49" s="342" t="str">
        <f>IF('Private Enrollment'!R49=0,"NA",'Public PreK-12 Enrollment'!R54+'Private Enrollment'!R49)</f>
        <v>NA</v>
      </c>
      <c r="S49" s="342" t="str">
        <f>IF('Private Enrollment'!S49=0,"NA",'Public PreK-12 Enrollment'!S54+'Private Enrollment'!S49)</f>
        <v>NA</v>
      </c>
      <c r="T49" s="342" t="str">
        <f>IF('Private Enrollment'!T49=0,"NA",'Public PreK-12 Enrollment'!T54+'Private Enrollment'!T49)</f>
        <v>NA</v>
      </c>
      <c r="U49" s="342" t="str">
        <f>IF('Private Enrollment'!U49=0,"NA",'Public PreK-12 Enrollment'!U54+'Private Enrollment'!U49)</f>
        <v>NA</v>
      </c>
      <c r="V49" s="342">
        <f>'Public PreK-12 Enrollment'!V54+'Private Enrollment'!V49</f>
        <v>2027789</v>
      </c>
      <c r="W49" s="342">
        <f>'Public PreK-12 Enrollment'!W54+'Private Enrollment'!W49</f>
        <v>2037310.5</v>
      </c>
      <c r="X49" s="342">
        <f>'Public PreK-12 Enrollment'!X54+'Private Enrollment'!X49</f>
        <v>2052831</v>
      </c>
      <c r="Y49" s="342">
        <f>'Public PreK-12 Enrollment'!Y54+'Private Enrollment'!Y49</f>
        <v>2053133.5</v>
      </c>
      <c r="Z49" s="342">
        <f>'Public PreK-12 Enrollment'!Z54+'Private Enrollment'!Z49</f>
        <v>2054124</v>
      </c>
      <c r="AA49" s="342">
        <f>'Public PreK-12 Enrollment'!AA54+'Private Enrollment'!AA49</f>
        <v>2065331</v>
      </c>
      <c r="AB49" s="342">
        <f>'Public PreK-12 Enrollment'!AB54+'Private Enrollment'!AB49</f>
        <v>2091292</v>
      </c>
      <c r="AC49" s="342">
        <f>'Public PreK-12 Enrollment'!AC54+'Private Enrollment'!AC49</f>
        <v>2114911.5</v>
      </c>
      <c r="AD49" s="342">
        <f>'Public PreK-12 Enrollment'!AD54+'Private Enrollment'!AD49</f>
        <v>2132264</v>
      </c>
      <c r="AE49" s="342">
        <f>'Public PreK-12 Enrollment'!AE54+'Private Enrollment'!AE49</f>
        <v>2125203</v>
      </c>
      <c r="AF49" s="342">
        <f>'Public PreK-12 Enrollment'!AF54+'Private Enrollment'!AF49</f>
        <v>2117484</v>
      </c>
      <c r="AG49" s="342">
        <f>'Public PreK-12 Enrollment'!AG54+'Private Enrollment'!AG49</f>
        <v>2120699</v>
      </c>
      <c r="AH49" s="342">
        <f>'Public PreK-12 Enrollment'!AH54+'Private Enrollment'!AH49</f>
        <v>2121355</v>
      </c>
      <c r="AI49" s="342">
        <f>'Public PreK-12 Enrollment'!AI54+'Private Enrollment'!AI49</f>
        <v>2118800</v>
      </c>
      <c r="AJ49" s="342">
        <f>'Public PreK-12 Enrollment'!AJ54+'Private Enrollment'!AJ49</f>
        <v>2116088</v>
      </c>
      <c r="AK49" s="342">
        <f>'Public PreK-12 Enrollment'!AK54+'Private Enrollment'!AK49</f>
        <v>2102627</v>
      </c>
      <c r="AL49" s="342">
        <f>'Public PreK-12 Enrollment'!AL54+'Private Enrollment'!AL49</f>
        <v>2094213</v>
      </c>
      <c r="AM49" s="342">
        <f>'Public PreK-12 Enrollment'!AM54+'Private Enrollment'!AM49</f>
        <v>2083747</v>
      </c>
      <c r="AN49" s="342">
        <f>'Public PreK-12 Enrollment'!AN54+'Private Enrollment'!AN49</f>
        <v>2066704</v>
      </c>
      <c r="AO49" s="342">
        <f>'Public PreK-12 Enrollment'!AO54+'Private Enrollment'!AO49</f>
        <v>2048032</v>
      </c>
      <c r="AP49" s="342">
        <f>'Public PreK-12 Enrollment'!AP54+'Private Enrollment'!AQ49</f>
        <v>2010547</v>
      </c>
      <c r="AQ49" s="342">
        <f>'Public PreK-12 Enrollment'!AQ54+'Private Enrollment'!AR49</f>
        <v>1984311</v>
      </c>
      <c r="AR49" s="342">
        <f>'Public PreK-12 Enrollment'!AR54+'Private Enrollment'!AS49</f>
        <v>1954020</v>
      </c>
    </row>
    <row r="50" spans="1:44">
      <c r="A50" s="113" t="s">
        <v>157</v>
      </c>
      <c r="B50" s="342">
        <f>'Public PreK-12 Enrollment'!B55+'Private Enrollment'!B50</f>
        <v>192135</v>
      </c>
      <c r="C50" s="342">
        <f>'Public PreK-12 Enrollment'!C55+'Private Enrollment'!C50</f>
        <v>177962</v>
      </c>
      <c r="D50" s="342" t="str">
        <f>IF('Private Enrollment'!D50=0,"NA",'Public PreK-12 Enrollment'!D55+'Private Enrollment'!D50)</f>
        <v>NA</v>
      </c>
      <c r="E50" s="342" t="str">
        <f>IF('Private Enrollment'!E50=0,"NA",'Public PreK-12 Enrollment'!E55+'Private Enrollment'!E50)</f>
        <v>NA</v>
      </c>
      <c r="F50" s="342" t="str">
        <f>IF('Private Enrollment'!F50=0,"NA",'Public PreK-12 Enrollment'!F55+'Private Enrollment'!F50)</f>
        <v>NA</v>
      </c>
      <c r="G50" s="342" t="str">
        <f>IF('Private Enrollment'!G50=0,"NA",'Public PreK-12 Enrollment'!G55+'Private Enrollment'!G50)</f>
        <v>NA</v>
      </c>
      <c r="H50" s="342">
        <f>'Public PreK-12 Enrollment'!H55+'Private Enrollment'!H50</f>
        <v>162017</v>
      </c>
      <c r="I50" s="342" t="str">
        <f>IF('Private Enrollment'!I50=0,"NA",'Public PreK-12 Enrollment'!I55+'Private Enrollment'!I50)</f>
        <v>NA</v>
      </c>
      <c r="J50" s="342" t="str">
        <f>IF('Private Enrollment'!J50=0,"NA",'Public PreK-12 Enrollment'!J55+'Private Enrollment'!J50)</f>
        <v>NA</v>
      </c>
      <c r="K50" s="342">
        <f>'Public PreK-12 Enrollment'!K55+'Private Enrollment'!K50</f>
        <v>151026</v>
      </c>
      <c r="L50" s="342">
        <f>'Public PreK-12 Enrollment'!L55+'Private Enrollment'!L50</f>
        <v>145688</v>
      </c>
      <c r="M50" s="342">
        <f>'Public PreK-12 Enrollment'!M55+'Private Enrollment'!M50</f>
        <v>139405</v>
      </c>
      <c r="N50" s="342" t="str">
        <f>IF('Private Enrollment'!N50=0,"NA",'Public PreK-12 Enrollment'!N55+'Private Enrollment'!N50)</f>
        <v>NA</v>
      </c>
      <c r="O50" s="342" t="str">
        <f>IF('Private Enrollment'!O50=0,"NA",'Public PreK-12 Enrollment'!O55+'Private Enrollment'!O50)</f>
        <v>NA</v>
      </c>
      <c r="P50" s="342" t="str">
        <f>IF('Private Enrollment'!P50=0,"NA",'Public PreK-12 Enrollment'!P55+'Private Enrollment'!P50)</f>
        <v>NA</v>
      </c>
      <c r="Q50" s="342" t="str">
        <f>IF('Private Enrollment'!Q50=0,"NA",'Public PreK-12 Enrollment'!Q55+'Private Enrollment'!Q50)</f>
        <v>NA</v>
      </c>
      <c r="R50" s="342" t="str">
        <f>IF('Private Enrollment'!R50=0,"NA",'Public PreK-12 Enrollment'!R55+'Private Enrollment'!R50)</f>
        <v>NA</v>
      </c>
      <c r="S50" s="342" t="str">
        <f>IF('Private Enrollment'!S50=0,"NA",'Public PreK-12 Enrollment'!S55+'Private Enrollment'!S50)</f>
        <v>NA</v>
      </c>
      <c r="T50" s="342" t="str">
        <f>IF('Private Enrollment'!T50=0,"NA",'Public PreK-12 Enrollment'!T55+'Private Enrollment'!T50)</f>
        <v>NA</v>
      </c>
      <c r="U50" s="342" t="str">
        <f>IF('Private Enrollment'!U50=0,"NA",'Public PreK-12 Enrollment'!U55+'Private Enrollment'!U50)</f>
        <v>NA</v>
      </c>
      <c r="V50" s="342">
        <f>'Public PreK-12 Enrollment'!V55+'Private Enrollment'!V50</f>
        <v>144183</v>
      </c>
      <c r="W50" s="342">
        <f>'Public PreK-12 Enrollment'!W55+'Private Enrollment'!W50</f>
        <v>142860.5</v>
      </c>
      <c r="X50" s="342">
        <f>'Public PreK-12 Enrollment'!X55+'Private Enrollment'!X50</f>
        <v>142115</v>
      </c>
      <c r="Y50" s="342">
        <f>'Public PreK-12 Enrollment'!Y55+'Private Enrollment'!Y50</f>
        <v>144630</v>
      </c>
      <c r="Z50" s="342">
        <f>'Public PreK-12 Enrollment'!Z55+'Private Enrollment'!Z50</f>
        <v>152400</v>
      </c>
      <c r="AA50" s="342">
        <f>'Public PreK-12 Enrollment'!AA55+'Private Enrollment'!AA50</f>
        <v>153297.5</v>
      </c>
      <c r="AB50" s="342">
        <f>'Public PreK-12 Enrollment'!AB55+'Private Enrollment'!AB50</f>
        <v>154741</v>
      </c>
      <c r="AC50" s="342">
        <f>'Public PreK-12 Enrollment'!AC55+'Private Enrollment'!AC50</f>
        <v>153534</v>
      </c>
      <c r="AD50" s="342">
        <f>'Public PreK-12 Enrollment'!AD55+'Private Enrollment'!AD50</f>
        <v>152793</v>
      </c>
      <c r="AE50" s="342">
        <f>'Public PreK-12 Enrollment'!AE55+'Private Enrollment'!AE50</f>
        <v>142730</v>
      </c>
      <c r="AF50" s="342">
        <f>'Public PreK-12 Enrollment'!AF55+'Private Enrollment'!AF50</f>
        <v>141157</v>
      </c>
      <c r="AG50" s="342">
        <f>'Public PreK-12 Enrollment'!AG55+'Private Enrollment'!AG50</f>
        <v>139533</v>
      </c>
      <c r="AH50" s="342">
        <f>'Public PreK-12 Enrollment'!AH55+'Private Enrollment'!AH50</f>
        <v>139282</v>
      </c>
      <c r="AI50" s="342">
        <f>'Public PreK-12 Enrollment'!AI55+'Private Enrollment'!AI50</f>
        <v>141908</v>
      </c>
      <c r="AJ50" s="342">
        <f>'Public PreK-12 Enrollment'!AJ55+'Private Enrollment'!AJ50</f>
        <v>137517</v>
      </c>
      <c r="AK50" s="342">
        <f>'Public PreK-12 Enrollment'!AK55+'Private Enrollment'!AK50</f>
        <v>135138</v>
      </c>
      <c r="AL50" s="342">
        <f>'Public PreK-12 Enrollment'!AL55+'Private Enrollment'!AL50</f>
        <v>134712</v>
      </c>
      <c r="AM50" s="342">
        <f>'Public PreK-12 Enrollment'!AM55+'Private Enrollment'!AM50</f>
        <v>133648</v>
      </c>
      <c r="AN50" s="342">
        <f>'Public PreK-12 Enrollment'!AN55+'Private Enrollment'!AN50</f>
        <v>133886</v>
      </c>
      <c r="AO50" s="342">
        <f>'Public PreK-12 Enrollment'!AO55+'Private Enrollment'!AO50</f>
        <v>137266</v>
      </c>
      <c r="AP50" s="342">
        <f>'Public PreK-12 Enrollment'!AP55+'Private Enrollment'!AQ50</f>
        <v>135183</v>
      </c>
      <c r="AQ50" s="342">
        <f>'Public PreK-12 Enrollment'!AQ55+'Private Enrollment'!AR50</f>
        <v>138108</v>
      </c>
      <c r="AR50" s="342">
        <f>'Public PreK-12 Enrollment'!AR55+'Private Enrollment'!AS50</f>
        <v>140506</v>
      </c>
    </row>
    <row r="51" spans="1:44">
      <c r="A51" s="114" t="s">
        <v>161</v>
      </c>
      <c r="B51" s="342">
        <f>'Public PreK-12 Enrollment'!B56+'Private Enrollment'!B51</f>
        <v>1146701</v>
      </c>
      <c r="C51" s="342">
        <f>'Public PreK-12 Enrollment'!C56+'Private Enrollment'!C51</f>
        <v>1197484</v>
      </c>
      <c r="D51" s="342" t="str">
        <f>IF('Private Enrollment'!D51=0,"NA",'Public PreK-12 Enrollment'!D56+'Private Enrollment'!D51)</f>
        <v>NA</v>
      </c>
      <c r="E51" s="342" t="str">
        <f>IF('Private Enrollment'!E51=0,"NA",'Public PreK-12 Enrollment'!E56+'Private Enrollment'!E51)</f>
        <v>NA</v>
      </c>
      <c r="F51" s="342" t="str">
        <f>IF('Private Enrollment'!F51=0,"NA",'Public PreK-12 Enrollment'!F56+'Private Enrollment'!F51)</f>
        <v>NA</v>
      </c>
      <c r="G51" s="342" t="str">
        <f>IF('Private Enrollment'!G51=0,"NA",'Public PreK-12 Enrollment'!G56+'Private Enrollment'!G51)</f>
        <v>NA</v>
      </c>
      <c r="H51" s="342">
        <f>'Public PreK-12 Enrollment'!H56+'Private Enrollment'!H51</f>
        <v>1134419</v>
      </c>
      <c r="I51" s="342" t="str">
        <f>IF('Private Enrollment'!I51=0,"NA",'Public PreK-12 Enrollment'!I56+'Private Enrollment'!I51)</f>
        <v>NA</v>
      </c>
      <c r="J51" s="342" t="str">
        <f>IF('Private Enrollment'!J51=0,"NA",'Public PreK-12 Enrollment'!J56+'Private Enrollment'!J51)</f>
        <v>NA</v>
      </c>
      <c r="K51" s="342">
        <f>'Public PreK-12 Enrollment'!K56+'Private Enrollment'!K51</f>
        <v>1057477</v>
      </c>
      <c r="L51" s="342">
        <f>'Public PreK-12 Enrollment'!L56+'Private Enrollment'!L51</f>
        <v>1024564.5</v>
      </c>
      <c r="M51" s="342">
        <f>'Public PreK-12 Enrollment'!M56+'Private Enrollment'!M51</f>
        <v>992608</v>
      </c>
      <c r="N51" s="342" t="str">
        <f>IF('Private Enrollment'!N51=0,"NA",'Public PreK-12 Enrollment'!N56+'Private Enrollment'!N51)</f>
        <v>NA</v>
      </c>
      <c r="O51" s="342" t="str">
        <f>IF('Private Enrollment'!O51=0,"NA",'Public PreK-12 Enrollment'!O56+'Private Enrollment'!O51)</f>
        <v>NA</v>
      </c>
      <c r="P51" s="342" t="str">
        <f>IF('Private Enrollment'!P51=0,"NA",'Public PreK-12 Enrollment'!P56+'Private Enrollment'!P51)</f>
        <v>NA</v>
      </c>
      <c r="Q51" s="342" t="str">
        <f>IF('Private Enrollment'!Q51=0,"NA",'Public PreK-12 Enrollment'!Q56+'Private Enrollment'!Q51)</f>
        <v>NA</v>
      </c>
      <c r="R51" s="342" t="str">
        <f>IF('Private Enrollment'!R51=0,"NA",'Public PreK-12 Enrollment'!R56+'Private Enrollment'!R51)</f>
        <v>NA</v>
      </c>
      <c r="S51" s="342" t="str">
        <f>IF('Private Enrollment'!S51=0,"NA",'Public PreK-12 Enrollment'!S56+'Private Enrollment'!S51)</f>
        <v>NA</v>
      </c>
      <c r="T51" s="342" t="str">
        <f>IF('Private Enrollment'!T51=0,"NA",'Public PreK-12 Enrollment'!T56+'Private Enrollment'!T51)</f>
        <v>NA</v>
      </c>
      <c r="U51" s="342" t="str">
        <f>IF('Private Enrollment'!U51=0,"NA",'Public PreK-12 Enrollment'!U56+'Private Enrollment'!U51)</f>
        <v>NA</v>
      </c>
      <c r="V51" s="342">
        <f>'Public PreK-12 Enrollment'!V56+'Private Enrollment'!V51</f>
        <v>920806</v>
      </c>
      <c r="W51" s="342">
        <f>'Public PreK-12 Enrollment'!W56+'Private Enrollment'!W51</f>
        <v>937741</v>
      </c>
      <c r="X51" s="342">
        <f>'Public PreK-12 Enrollment'!X56+'Private Enrollment'!X51</f>
        <v>957010</v>
      </c>
      <c r="Y51" s="342">
        <f>'Public PreK-12 Enrollment'!Y56+'Private Enrollment'!Y51</f>
        <v>971465.5</v>
      </c>
      <c r="Z51" s="342">
        <f>'Public PreK-12 Enrollment'!Z56+'Private Enrollment'!Z51</f>
        <v>985763</v>
      </c>
      <c r="AA51" s="342">
        <f>'Public PreK-12 Enrollment'!AA56+'Private Enrollment'!AA51</f>
        <v>1003077.5</v>
      </c>
      <c r="AB51" s="342">
        <f>'Public PreK-12 Enrollment'!AB56+'Private Enrollment'!AB51</f>
        <v>1013406</v>
      </c>
      <c r="AC51" s="342">
        <f>'Public PreK-12 Enrollment'!AC56+'Private Enrollment'!AC51</f>
        <v>1029039.5</v>
      </c>
      <c r="AD51" s="342">
        <f>'Public PreK-12 Enrollment'!AD56+'Private Enrollment'!AD51</f>
        <v>1038110</v>
      </c>
      <c r="AE51" s="342">
        <f>'Public PreK-12 Enrollment'!AE56+'Private Enrollment'!AE51</f>
        <v>1034877</v>
      </c>
      <c r="AF51" s="342">
        <f>'Public PreK-12 Enrollment'!AF56+'Private Enrollment'!AF51</f>
        <v>1032093</v>
      </c>
      <c r="AG51" s="342">
        <f>'Public PreK-12 Enrollment'!AG56+'Private Enrollment'!AG51</f>
        <v>1037756</v>
      </c>
      <c r="AH51" s="342">
        <f>'Public PreK-12 Enrollment'!AH56+'Private Enrollment'!AH51</f>
        <v>1041581</v>
      </c>
      <c r="AI51" s="342">
        <f>'Public PreK-12 Enrollment'!AI56+'Private Enrollment'!AI51</f>
        <v>1041961</v>
      </c>
      <c r="AJ51" s="342">
        <f>'Public PreK-12 Enrollment'!AJ56+'Private Enrollment'!AJ51</f>
        <v>1039271</v>
      </c>
      <c r="AK51" s="342">
        <f>'Public PreK-12 Enrollment'!AK56+'Private Enrollment'!AK51</f>
        <v>1015517</v>
      </c>
      <c r="AL51" s="342">
        <f>'Public PreK-12 Enrollment'!AL56+'Private Enrollment'!AL51</f>
        <v>1017454</v>
      </c>
      <c r="AM51" s="342">
        <f>'Public PreK-12 Enrollment'!AM56+'Private Enrollment'!AM51</f>
        <v>1016985</v>
      </c>
      <c r="AN51" s="342">
        <f>'Public PreK-12 Enrollment'!AN56+'Private Enrollment'!AN51</f>
        <v>1012923</v>
      </c>
      <c r="AO51" s="342">
        <f>'Public PreK-12 Enrollment'!AO56+'Private Enrollment'!AO51</f>
        <v>1000887.5</v>
      </c>
      <c r="AP51" s="434">
        <f>'Public PreK-12 Enrollment'!AP56+'Private Enrollment'!AQ51</f>
        <v>1002946</v>
      </c>
      <c r="AQ51" s="434">
        <f>'Public PreK-12 Enrollment'!AQ56+'Private Enrollment'!AR51</f>
        <v>1001166</v>
      </c>
      <c r="AR51" s="434">
        <f>'Public PreK-12 Enrollment'!AR56+'Private Enrollment'!AS51</f>
        <v>998355</v>
      </c>
    </row>
    <row r="52" spans="1:44">
      <c r="A52" s="111" t="s">
        <v>247</v>
      </c>
      <c r="B52" s="340">
        <f t="shared" ref="B52:AR52" si="7">SUM(B54:B62)</f>
        <v>11391690</v>
      </c>
      <c r="C52" s="340">
        <f t="shared" si="7"/>
        <v>11924235</v>
      </c>
      <c r="D52" s="340" t="str">
        <f>IF('Private Enrollment'!D52=0,"NA",'Public PreK-12 Enrollment'!D11+'Private Enrollment'!D52)</f>
        <v>NA</v>
      </c>
      <c r="E52" s="340" t="str">
        <f>IF('Private Enrollment'!E52=0,"NA",'Public PreK-12 Enrollment'!E11+'Private Enrollment'!E52)</f>
        <v>NA</v>
      </c>
      <c r="F52" s="340" t="str">
        <f>IF('Private Enrollment'!F52=0,"NA",'Public PreK-12 Enrollment'!F11+'Private Enrollment'!F52)</f>
        <v>NA</v>
      </c>
      <c r="G52" s="340" t="str">
        <f>IF('Private Enrollment'!G52=0,"NA",'Public PreK-12 Enrollment'!G11+'Private Enrollment'!G52)</f>
        <v>NA</v>
      </c>
      <c r="H52" s="340">
        <f t="shared" si="7"/>
        <v>11397578</v>
      </c>
      <c r="I52" s="340">
        <f t="shared" si="7"/>
        <v>0</v>
      </c>
      <c r="J52" s="340">
        <f t="shared" si="7"/>
        <v>0</v>
      </c>
      <c r="K52" s="340">
        <f t="shared" si="7"/>
        <v>10414745</v>
      </c>
      <c r="L52" s="340">
        <f t="shared" si="7"/>
        <v>10029899</v>
      </c>
      <c r="M52" s="340">
        <f t="shared" si="7"/>
        <v>9728902</v>
      </c>
      <c r="N52" s="340">
        <f t="shared" si="7"/>
        <v>0</v>
      </c>
      <c r="O52" s="340">
        <f t="shared" si="7"/>
        <v>0</v>
      </c>
      <c r="P52" s="340">
        <f t="shared" si="7"/>
        <v>0</v>
      </c>
      <c r="Q52" s="340">
        <f t="shared" si="7"/>
        <v>0</v>
      </c>
      <c r="R52" s="340">
        <f t="shared" si="7"/>
        <v>0</v>
      </c>
      <c r="S52" s="340">
        <f t="shared" si="7"/>
        <v>0</v>
      </c>
      <c r="T52" s="340">
        <f t="shared" si="7"/>
        <v>0</v>
      </c>
      <c r="U52" s="340">
        <f t="shared" si="7"/>
        <v>0</v>
      </c>
      <c r="V52" s="340">
        <f t="shared" si="7"/>
        <v>8542452</v>
      </c>
      <c r="W52" s="340">
        <f t="shared" si="7"/>
        <v>8614643</v>
      </c>
      <c r="X52" s="340">
        <f t="shared" si="7"/>
        <v>8730170</v>
      </c>
      <c r="Y52" s="340">
        <f t="shared" si="7"/>
        <v>8826081.5</v>
      </c>
      <c r="Z52" s="340">
        <f t="shared" si="7"/>
        <v>8929937</v>
      </c>
      <c r="AA52" s="340">
        <f t="shared" si="7"/>
        <v>9042491.5</v>
      </c>
      <c r="AB52" s="340">
        <f t="shared" si="7"/>
        <v>9183546</v>
      </c>
      <c r="AC52" s="340">
        <f t="shared" si="7"/>
        <v>9398525</v>
      </c>
      <c r="AD52" s="340">
        <f t="shared" si="7"/>
        <v>9581003</v>
      </c>
      <c r="AE52" s="340">
        <f t="shared" si="7"/>
        <v>9646832</v>
      </c>
      <c r="AF52" s="340">
        <f t="shared" si="7"/>
        <v>9703335</v>
      </c>
      <c r="AG52" s="340">
        <f t="shared" si="7"/>
        <v>9766162</v>
      </c>
      <c r="AH52" s="340">
        <f t="shared" si="7"/>
        <v>9831390</v>
      </c>
      <c r="AI52" s="340">
        <f t="shared" si="7"/>
        <v>9843741</v>
      </c>
      <c r="AJ52" s="340">
        <f t="shared" si="7"/>
        <v>9805605</v>
      </c>
      <c r="AK52" s="340">
        <f t="shared" si="7"/>
        <v>9742739</v>
      </c>
      <c r="AL52" s="340">
        <f t="shared" si="7"/>
        <v>9669830</v>
      </c>
      <c r="AM52" s="340">
        <f t="shared" si="7"/>
        <v>9685699</v>
      </c>
      <c r="AN52" s="340">
        <f t="shared" si="7"/>
        <v>9547972</v>
      </c>
      <c r="AO52" s="340">
        <f t="shared" si="7"/>
        <v>9334440</v>
      </c>
      <c r="AP52" s="340">
        <f t="shared" si="7"/>
        <v>9401719</v>
      </c>
      <c r="AQ52" s="340">
        <f t="shared" si="7"/>
        <v>9352050</v>
      </c>
      <c r="AR52" s="340">
        <f t="shared" si="7"/>
        <v>9205721</v>
      </c>
    </row>
    <row r="53" spans="1:44">
      <c r="A53" s="108" t="s">
        <v>244</v>
      </c>
      <c r="B53" s="341">
        <f t="shared" ref="B53:AR53" si="8">(B52/B4)*100</f>
        <v>23.275182749481935</v>
      </c>
      <c r="C53" s="341">
        <f t="shared" si="8"/>
        <v>23.097273225381727</v>
      </c>
      <c r="D53" s="341" t="str">
        <f>IF('Private Enrollment'!D53=0,"NA",'Public PreK-12 Enrollment'!D12+'Private Enrollment'!D53)</f>
        <v>NA</v>
      </c>
      <c r="E53" s="341" t="str">
        <f>IF('Private Enrollment'!E53=0,"NA",'Public PreK-12 Enrollment'!E12+'Private Enrollment'!E53)</f>
        <v>NA</v>
      </c>
      <c r="F53" s="341" t="str">
        <f>IF('Private Enrollment'!F53=0,"NA",'Public PreK-12 Enrollment'!F12+'Private Enrollment'!F53)</f>
        <v>NA</v>
      </c>
      <c r="G53" s="341" t="str">
        <f>IF('Private Enrollment'!G53=0,"NA",'Public PreK-12 Enrollment'!G12+'Private Enrollment'!G53)</f>
        <v>NA</v>
      </c>
      <c r="H53" s="341">
        <f t="shared" si="8"/>
        <v>23.062997195408993</v>
      </c>
      <c r="I53" s="341" t="e">
        <f t="shared" si="8"/>
        <v>#VALUE!</v>
      </c>
      <c r="J53" s="341" t="e">
        <f t="shared" si="8"/>
        <v>#VALUE!</v>
      </c>
      <c r="K53" s="341">
        <f t="shared" si="8"/>
        <v>21.862939795399857</v>
      </c>
      <c r="L53" s="341">
        <f t="shared" si="8"/>
        <v>21.489076904374528</v>
      </c>
      <c r="M53" s="341">
        <f t="shared" si="8"/>
        <v>21.223961935142199</v>
      </c>
      <c r="N53" s="341" t="e">
        <f t="shared" si="8"/>
        <v>#VALUE!</v>
      </c>
      <c r="O53" s="341" t="e">
        <f t="shared" si="8"/>
        <v>#VALUE!</v>
      </c>
      <c r="P53" s="341" t="e">
        <f t="shared" si="8"/>
        <v>#VALUE!</v>
      </c>
      <c r="Q53" s="341" t="e">
        <f t="shared" si="8"/>
        <v>#VALUE!</v>
      </c>
      <c r="R53" s="341" t="e">
        <f t="shared" si="8"/>
        <v>#VALUE!</v>
      </c>
      <c r="S53" s="341" t="e">
        <f t="shared" si="8"/>
        <v>#VALUE!</v>
      </c>
      <c r="T53" s="341" t="e">
        <f t="shared" si="8"/>
        <v>#VALUE!</v>
      </c>
      <c r="U53" s="341" t="e">
        <f t="shared" si="8"/>
        <v>#VALUE!</v>
      </c>
      <c r="V53" s="341">
        <f t="shared" si="8"/>
        <v>18.829475629495995</v>
      </c>
      <c r="W53" s="341">
        <f t="shared" si="8"/>
        <v>18.6974887266183</v>
      </c>
      <c r="X53" s="341">
        <f t="shared" si="8"/>
        <v>18.600011828780616</v>
      </c>
      <c r="Y53" s="341">
        <f t="shared" si="8"/>
        <v>18.508639366591808</v>
      </c>
      <c r="Z53" s="341">
        <f t="shared" si="8"/>
        <v>18.487961446883453</v>
      </c>
      <c r="AA53" s="341">
        <f t="shared" si="8"/>
        <v>18.436829048779124</v>
      </c>
      <c r="AB53" s="341">
        <f t="shared" si="8"/>
        <v>18.413979516041699</v>
      </c>
      <c r="AC53" s="341">
        <f t="shared" si="8"/>
        <v>18.392671303691031</v>
      </c>
      <c r="AD53" s="341">
        <f t="shared" si="8"/>
        <v>18.399816773909915</v>
      </c>
      <c r="AE53" s="341">
        <f t="shared" si="8"/>
        <v>18.367966257342221</v>
      </c>
      <c r="AF53" s="341">
        <f t="shared" si="8"/>
        <v>18.351312099992604</v>
      </c>
      <c r="AG53" s="341">
        <f t="shared" si="8"/>
        <v>18.298116499557743</v>
      </c>
      <c r="AH53" s="341">
        <f t="shared" si="8"/>
        <v>18.209140827966664</v>
      </c>
      <c r="AI53" s="341">
        <f t="shared" si="8"/>
        <v>18.097600302887233</v>
      </c>
      <c r="AJ53" s="341">
        <f t="shared" si="8"/>
        <v>17.946018668381424</v>
      </c>
      <c r="AK53" s="341">
        <f t="shared" si="8"/>
        <v>17.757106062775229</v>
      </c>
      <c r="AL53" s="341">
        <f t="shared" si="8"/>
        <v>17.531608395797356</v>
      </c>
      <c r="AM53" s="341">
        <f t="shared" si="8"/>
        <v>17.517184094054468</v>
      </c>
      <c r="AN53" s="341">
        <f t="shared" si="8"/>
        <v>17.296208787807739</v>
      </c>
      <c r="AO53" s="341">
        <f t="shared" si="8"/>
        <v>17.105216079922709</v>
      </c>
      <c r="AP53" s="341">
        <f t="shared" si="8"/>
        <v>17.140944011102967</v>
      </c>
      <c r="AQ53" s="341">
        <f t="shared" si="8"/>
        <v>17.046350587603811</v>
      </c>
      <c r="AR53" s="341">
        <f t="shared" si="8"/>
        <v>16.801900880783212</v>
      </c>
    </row>
    <row r="54" spans="1:44">
      <c r="A54" s="113" t="s">
        <v>133</v>
      </c>
      <c r="B54" s="342">
        <f>'Public PreK-12 Enrollment'!B58+'Private Enrollment'!B54</f>
        <v>700698</v>
      </c>
      <c r="C54" s="342">
        <f>'Public PreK-12 Enrollment'!C58+'Private Enrollment'!C54</f>
        <v>771161</v>
      </c>
      <c r="D54" s="342" t="str">
        <f>IF('Private Enrollment'!D54=0,"NA",'Public PreK-12 Enrollment'!D58+'Private Enrollment'!D54)</f>
        <v>NA</v>
      </c>
      <c r="E54" s="342" t="str">
        <f>IF('Private Enrollment'!E54=0,"NA",'Public PreK-12 Enrollment'!E58+'Private Enrollment'!E54)</f>
        <v>NA</v>
      </c>
      <c r="F54" s="342" t="str">
        <f>IF('Private Enrollment'!F54=0,"NA",'Public PreK-12 Enrollment'!F58+'Private Enrollment'!F54)</f>
        <v>NA</v>
      </c>
      <c r="G54" s="342" t="str">
        <f>IF('Private Enrollment'!G54=0,"NA",'Public PreK-12 Enrollment'!G58+'Private Enrollment'!G54)</f>
        <v>NA</v>
      </c>
      <c r="H54" s="342">
        <f>'Public PreK-12 Enrollment'!H58+'Private Enrollment'!H54</f>
        <v>750149</v>
      </c>
      <c r="I54" s="342" t="str">
        <f>IF('Private Enrollment'!I54=0,"NA",'Public PreK-12 Enrollment'!I58+'Private Enrollment'!I54)</f>
        <v>NA</v>
      </c>
      <c r="J54" s="342" t="str">
        <f>IF('Private Enrollment'!J54=0,"NA",'Public PreK-12 Enrollment'!J58+'Private Enrollment'!J54)</f>
        <v>NA</v>
      </c>
      <c r="K54" s="342">
        <f>'Public PreK-12 Enrollment'!K58+'Private Enrollment'!K54</f>
        <v>683895</v>
      </c>
      <c r="L54" s="342">
        <f>'Public PreK-12 Enrollment'!L58+'Private Enrollment'!L54</f>
        <v>655905</v>
      </c>
      <c r="M54" s="342">
        <f>'Public PreK-12 Enrollment'!M58+'Private Enrollment'!M54</f>
        <v>619863</v>
      </c>
      <c r="N54" s="342" t="str">
        <f>IF('Private Enrollment'!N54=0,"NA",'Public PreK-12 Enrollment'!N58+'Private Enrollment'!N54)</f>
        <v>NA</v>
      </c>
      <c r="O54" s="342" t="str">
        <f>IF('Private Enrollment'!O54=0,"NA",'Public PreK-12 Enrollment'!O58+'Private Enrollment'!O54)</f>
        <v>NA</v>
      </c>
      <c r="P54" s="342" t="str">
        <f>IF('Private Enrollment'!P54=0,"NA",'Public PreK-12 Enrollment'!P58+'Private Enrollment'!P54)</f>
        <v>NA</v>
      </c>
      <c r="Q54" s="342" t="str">
        <f>IF('Private Enrollment'!Q54=0,"NA",'Public PreK-12 Enrollment'!Q58+'Private Enrollment'!Q54)</f>
        <v>NA</v>
      </c>
      <c r="R54" s="342" t="str">
        <f>IF('Private Enrollment'!R54=0,"NA",'Public PreK-12 Enrollment'!R58+'Private Enrollment'!R54)</f>
        <v>NA</v>
      </c>
      <c r="S54" s="342" t="str">
        <f>IF('Private Enrollment'!S54=0,"NA",'Public PreK-12 Enrollment'!S58+'Private Enrollment'!S54)</f>
        <v>NA</v>
      </c>
      <c r="T54" s="342" t="str">
        <f>IF('Private Enrollment'!T54=0,"NA",'Public PreK-12 Enrollment'!T58+'Private Enrollment'!T54)</f>
        <v>NA</v>
      </c>
      <c r="U54" s="342" t="str">
        <f>IF('Private Enrollment'!U54=0,"NA",'Public PreK-12 Enrollment'!U58+'Private Enrollment'!U54)</f>
        <v>NA</v>
      </c>
      <c r="V54" s="342">
        <f>'Public PreK-12 Enrollment'!V58+'Private Enrollment'!V54</f>
        <v>533799</v>
      </c>
      <c r="W54" s="342">
        <f>'Public PreK-12 Enrollment'!W58+'Private Enrollment'!W54</f>
        <v>538929.5</v>
      </c>
      <c r="X54" s="342">
        <f>'Public PreK-12 Enrollment'!X58+'Private Enrollment'!X54</f>
        <v>548424</v>
      </c>
      <c r="Y54" s="342">
        <f>'Public PreK-12 Enrollment'!Y58+'Private Enrollment'!Y54</f>
        <v>557262</v>
      </c>
      <c r="Z54" s="342">
        <f>'Public PreK-12 Enrollment'!Z58+'Private Enrollment'!Z54</f>
        <v>566496</v>
      </c>
      <c r="AA54" s="342">
        <f>'Public PreK-12 Enrollment'!AA58+'Private Enrollment'!AA54</f>
        <v>577225.5</v>
      </c>
      <c r="AB54" s="342">
        <f>'Public PreK-12 Enrollment'!AB58+'Private Enrollment'!AB54</f>
        <v>588540</v>
      </c>
      <c r="AC54" s="342">
        <f>'Public PreK-12 Enrollment'!AC58+'Private Enrollment'!AC54</f>
        <v>600801.5</v>
      </c>
      <c r="AD54" s="342">
        <f>'Public PreK-12 Enrollment'!AD58+'Private Enrollment'!AD54</f>
        <v>611904</v>
      </c>
      <c r="AE54" s="342">
        <f>'Public PreK-12 Enrollment'!AE58+'Private Enrollment'!AE54</f>
        <v>623098</v>
      </c>
      <c r="AF54" s="342">
        <f>'Public PreK-12 Enrollment'!AF58+'Private Enrollment'!AF54</f>
        <v>634053</v>
      </c>
      <c r="AG54" s="342">
        <f>'Public PreK-12 Enrollment'!AG58+'Private Enrollment'!AG54</f>
        <v>643369</v>
      </c>
      <c r="AH54" s="342">
        <f>'Public PreK-12 Enrollment'!AH58+'Private Enrollment'!AH54</f>
        <v>652548</v>
      </c>
      <c r="AI54" s="342">
        <f>'Public PreK-12 Enrollment'!AI58+'Private Enrollment'!AI54</f>
        <v>662663</v>
      </c>
      <c r="AJ54" s="342">
        <f>'Public PreK-12 Enrollment'!AJ58+'Private Enrollment'!AJ54</f>
        <v>680163</v>
      </c>
      <c r="AK54" s="342">
        <f>'Public PreK-12 Enrollment'!AK58+'Private Enrollment'!AK54</f>
        <v>666980</v>
      </c>
      <c r="AL54" s="342">
        <f>'Public PreK-12 Enrollment'!AL58+'Private Enrollment'!AL54</f>
        <v>651279</v>
      </c>
      <c r="AM54" s="342">
        <f>'Public PreK-12 Enrollment'!AM58+'Private Enrollment'!AM54</f>
        <v>655785</v>
      </c>
      <c r="AN54" s="342">
        <f>'Public PreK-12 Enrollment'!AN58+'Private Enrollment'!AN54</f>
        <v>655776</v>
      </c>
      <c r="AO54" s="342">
        <f>'Public PreK-12 Enrollment'!AO58+'Private Enrollment'!AO54</f>
        <v>641965</v>
      </c>
      <c r="AP54" s="342">
        <f>'Public PreK-12 Enrollment'!AP58+'Private Enrollment'!AQ54</f>
        <v>636508</v>
      </c>
      <c r="AQ54" s="342">
        <f>'Public PreK-12 Enrollment'!AQ58+'Private Enrollment'!AR54</f>
        <v>629976</v>
      </c>
      <c r="AR54" s="342">
        <f>'Public PreK-12 Enrollment'!AR58+'Private Enrollment'!AS54</f>
        <v>620757</v>
      </c>
    </row>
    <row r="55" spans="1:44">
      <c r="A55" s="113" t="s">
        <v>140</v>
      </c>
      <c r="B55" s="342">
        <f>'Public PreK-12 Enrollment'!B59+'Private Enrollment'!B55</f>
        <v>261806</v>
      </c>
      <c r="C55" s="342">
        <f>'Public PreK-12 Enrollment'!C59+'Private Enrollment'!C55</f>
        <v>259622</v>
      </c>
      <c r="D55" s="342" t="str">
        <f>IF('Private Enrollment'!D55=0,"NA",'Public PreK-12 Enrollment'!D59+'Private Enrollment'!D55)</f>
        <v>NA</v>
      </c>
      <c r="E55" s="342" t="str">
        <f>IF('Private Enrollment'!E55=0,"NA",'Public PreK-12 Enrollment'!E59+'Private Enrollment'!E55)</f>
        <v>NA</v>
      </c>
      <c r="F55" s="342" t="str">
        <f>IF('Private Enrollment'!F55=0,"NA",'Public PreK-12 Enrollment'!F59+'Private Enrollment'!F55)</f>
        <v>NA</v>
      </c>
      <c r="G55" s="342" t="str">
        <f>IF('Private Enrollment'!G55=0,"NA",'Public PreK-12 Enrollment'!G59+'Private Enrollment'!G55)</f>
        <v>NA</v>
      </c>
      <c r="H55" s="342">
        <f>'Public PreK-12 Enrollment'!H59+'Private Enrollment'!H55</f>
        <v>268731</v>
      </c>
      <c r="I55" s="342" t="str">
        <f>IF('Private Enrollment'!I55=0,"NA",'Public PreK-12 Enrollment'!I59+'Private Enrollment'!I55)</f>
        <v>NA</v>
      </c>
      <c r="J55" s="342" t="str">
        <f>IF('Private Enrollment'!J55=0,"NA",'Public PreK-12 Enrollment'!J59+'Private Enrollment'!J55)</f>
        <v>NA</v>
      </c>
      <c r="K55" s="342">
        <f>'Public PreK-12 Enrollment'!K59+'Private Enrollment'!K55</f>
        <v>258389</v>
      </c>
      <c r="L55" s="342">
        <f>'Public PreK-12 Enrollment'!L59+'Private Enrollment'!L55</f>
        <v>245779.5</v>
      </c>
      <c r="M55" s="342">
        <f>'Public PreK-12 Enrollment'!M59+'Private Enrollment'!M55</f>
        <v>240037</v>
      </c>
      <c r="N55" s="342" t="str">
        <f>IF('Private Enrollment'!N55=0,"NA",'Public PreK-12 Enrollment'!N59+'Private Enrollment'!N55)</f>
        <v>NA</v>
      </c>
      <c r="O55" s="342" t="str">
        <f>IF('Private Enrollment'!O55=0,"NA",'Public PreK-12 Enrollment'!O59+'Private Enrollment'!O55)</f>
        <v>NA</v>
      </c>
      <c r="P55" s="342" t="str">
        <f>IF('Private Enrollment'!P55=0,"NA",'Public PreK-12 Enrollment'!P59+'Private Enrollment'!P55)</f>
        <v>NA</v>
      </c>
      <c r="Q55" s="342" t="str">
        <f>IF('Private Enrollment'!Q55=0,"NA",'Public PreK-12 Enrollment'!Q59+'Private Enrollment'!Q55)</f>
        <v>NA</v>
      </c>
      <c r="R55" s="342" t="str">
        <f>IF('Private Enrollment'!R55=0,"NA",'Public PreK-12 Enrollment'!R59+'Private Enrollment'!R55)</f>
        <v>NA</v>
      </c>
      <c r="S55" s="342" t="str">
        <f>IF('Private Enrollment'!S55=0,"NA",'Public PreK-12 Enrollment'!S59+'Private Enrollment'!S55)</f>
        <v>NA</v>
      </c>
      <c r="T55" s="342" t="str">
        <f>IF('Private Enrollment'!T55=0,"NA",'Public PreK-12 Enrollment'!T59+'Private Enrollment'!T55)</f>
        <v>NA</v>
      </c>
      <c r="U55" s="342" t="str">
        <f>IF('Private Enrollment'!U55=0,"NA",'Public PreK-12 Enrollment'!U59+'Private Enrollment'!U55)</f>
        <v>NA</v>
      </c>
      <c r="V55" s="342">
        <f>'Public PreK-12 Enrollment'!V59+'Private Enrollment'!V55</f>
        <v>230191</v>
      </c>
      <c r="W55" s="342">
        <f>'Public PreK-12 Enrollment'!W59+'Private Enrollment'!W55</f>
        <v>230784</v>
      </c>
      <c r="X55" s="342">
        <f>'Public PreK-12 Enrollment'!X59+'Private Enrollment'!X55</f>
        <v>231254</v>
      </c>
      <c r="Y55" s="342">
        <f>'Public PreK-12 Enrollment'!Y59+'Private Enrollment'!Y55</f>
        <v>232379.5</v>
      </c>
      <c r="Z55" s="342">
        <f>'Public PreK-12 Enrollment'!Z59+'Private Enrollment'!Z55</f>
        <v>233994</v>
      </c>
      <c r="AA55" s="342">
        <f>'Public PreK-12 Enrollment'!AA59+'Private Enrollment'!AA55</f>
        <v>229548.5</v>
      </c>
      <c r="AB55" s="342">
        <f>'Public PreK-12 Enrollment'!AB59+'Private Enrollment'!AB55</f>
        <v>230465</v>
      </c>
      <c r="AC55" s="342">
        <f>'Public PreK-12 Enrollment'!AC59+'Private Enrollment'!AC55</f>
        <v>231171</v>
      </c>
      <c r="AD55" s="342">
        <f>'Public PreK-12 Enrollment'!AD59+'Private Enrollment'!AD55</f>
        <v>230839</v>
      </c>
      <c r="AE55" s="342">
        <f>'Public PreK-12 Enrollment'!AE59+'Private Enrollment'!AE55</f>
        <v>230091</v>
      </c>
      <c r="AF55" s="342">
        <f>'Public PreK-12 Enrollment'!AF59+'Private Enrollment'!AF55</f>
        <v>229073</v>
      </c>
      <c r="AG55" s="342">
        <f>'Public PreK-12 Enrollment'!AG59+'Private Enrollment'!AG55</f>
        <v>227357</v>
      </c>
      <c r="AH55" s="342">
        <f>'Public PreK-12 Enrollment'!AH59+'Private Enrollment'!AH55</f>
        <v>226406</v>
      </c>
      <c r="AI55" s="342">
        <f>'Public PreK-12 Enrollment'!AI59+'Private Enrollment'!AI55</f>
        <v>227117</v>
      </c>
      <c r="AJ55" s="342">
        <f>'Public PreK-12 Enrollment'!AJ59+'Private Enrollment'!AJ55</f>
        <v>226824</v>
      </c>
      <c r="AK55" s="342">
        <f>'Public PreK-12 Enrollment'!AK59+'Private Enrollment'!AK55</f>
        <v>221530</v>
      </c>
      <c r="AL55" s="342">
        <f>'Public PreK-12 Enrollment'!AL59+'Private Enrollment'!AL55</f>
        <v>216178</v>
      </c>
      <c r="AM55" s="342">
        <f>'Public PreK-12 Enrollment'!AM59+'Private Enrollment'!AM55</f>
        <v>214956</v>
      </c>
      <c r="AN55" s="342">
        <f>'Public PreK-12 Enrollment'!AN59+'Private Enrollment'!AN55</f>
        <v>217505</v>
      </c>
      <c r="AO55" s="342">
        <f>'Public PreK-12 Enrollment'!AO59+'Private Enrollment'!AO55</f>
        <v>212031.5</v>
      </c>
      <c r="AP55" s="342">
        <f>'Public PreK-12 Enrollment'!AP59+'Private Enrollment'!AQ55</f>
        <v>207535</v>
      </c>
      <c r="AQ55" s="342">
        <f>'Public PreK-12 Enrollment'!AQ59+'Private Enrollment'!AR55</f>
        <v>207407</v>
      </c>
      <c r="AR55" s="342">
        <f>'Public PreK-12 Enrollment'!AR59+'Private Enrollment'!AS55</f>
        <v>207319</v>
      </c>
    </row>
    <row r="56" spans="1:44">
      <c r="A56" s="113" t="s">
        <v>141</v>
      </c>
      <c r="B56" s="342">
        <f>'Public PreK-12 Enrollment'!B60+'Private Enrollment'!B56</f>
        <v>1311400</v>
      </c>
      <c r="C56" s="342">
        <f>'Public PreK-12 Enrollment'!C60+'Private Enrollment'!C56</f>
        <v>1400426</v>
      </c>
      <c r="D56" s="342" t="str">
        <f>IF('Private Enrollment'!D56=0,"NA",'Public PreK-12 Enrollment'!D60+'Private Enrollment'!D56)</f>
        <v>NA</v>
      </c>
      <c r="E56" s="342" t="str">
        <f>IF('Private Enrollment'!E56=0,"NA",'Public PreK-12 Enrollment'!E60+'Private Enrollment'!E56)</f>
        <v>NA</v>
      </c>
      <c r="F56" s="342" t="str">
        <f>IF('Private Enrollment'!F56=0,"NA",'Public PreK-12 Enrollment'!F60+'Private Enrollment'!F56)</f>
        <v>NA</v>
      </c>
      <c r="G56" s="342" t="str">
        <f>IF('Private Enrollment'!G56=0,"NA",'Public PreK-12 Enrollment'!G60+'Private Enrollment'!G56)</f>
        <v>NA</v>
      </c>
      <c r="H56" s="342">
        <f>'Public PreK-12 Enrollment'!H60+'Private Enrollment'!H56</f>
        <v>1377610</v>
      </c>
      <c r="I56" s="342" t="str">
        <f>IF('Private Enrollment'!I56=0,"NA",'Public PreK-12 Enrollment'!I60+'Private Enrollment'!I56)</f>
        <v>NA</v>
      </c>
      <c r="J56" s="342" t="str">
        <f>IF('Private Enrollment'!J56=0,"NA",'Public PreK-12 Enrollment'!J60+'Private Enrollment'!J56)</f>
        <v>NA</v>
      </c>
      <c r="K56" s="342">
        <f>'Public PreK-12 Enrollment'!K60+'Private Enrollment'!K56</f>
        <v>1223994</v>
      </c>
      <c r="L56" s="342">
        <f>'Public PreK-12 Enrollment'!L60+'Private Enrollment'!L56</f>
        <v>1176155.5</v>
      </c>
      <c r="M56" s="342">
        <f>'Public PreK-12 Enrollment'!M60+'Private Enrollment'!M56</f>
        <v>1160218</v>
      </c>
      <c r="N56" s="342" t="str">
        <f>IF('Private Enrollment'!N56=0,"NA",'Public PreK-12 Enrollment'!N60+'Private Enrollment'!N56)</f>
        <v>NA</v>
      </c>
      <c r="O56" s="342" t="str">
        <f>IF('Private Enrollment'!O56=0,"NA",'Public PreK-12 Enrollment'!O60+'Private Enrollment'!O56)</f>
        <v>NA</v>
      </c>
      <c r="P56" s="342" t="str">
        <f>IF('Private Enrollment'!P56=0,"NA",'Public PreK-12 Enrollment'!P60+'Private Enrollment'!P56)</f>
        <v>NA</v>
      </c>
      <c r="Q56" s="342" t="str">
        <f>IF('Private Enrollment'!Q56=0,"NA",'Public PreK-12 Enrollment'!Q60+'Private Enrollment'!Q56)</f>
        <v>NA</v>
      </c>
      <c r="R56" s="342" t="str">
        <f>IF('Private Enrollment'!R56=0,"NA",'Public PreK-12 Enrollment'!R60+'Private Enrollment'!R56)</f>
        <v>NA</v>
      </c>
      <c r="S56" s="342" t="str">
        <f>IF('Private Enrollment'!S56=0,"NA",'Public PreK-12 Enrollment'!S60+'Private Enrollment'!S56)</f>
        <v>NA</v>
      </c>
      <c r="T56" s="342" t="str">
        <f>IF('Private Enrollment'!T56=0,"NA",'Public PreK-12 Enrollment'!T60+'Private Enrollment'!T56)</f>
        <v>NA</v>
      </c>
      <c r="U56" s="342" t="str">
        <f>IF('Private Enrollment'!U56=0,"NA",'Public PreK-12 Enrollment'!U60+'Private Enrollment'!U56)</f>
        <v>NA</v>
      </c>
      <c r="V56" s="342">
        <f>'Public PreK-12 Enrollment'!V60+'Private Enrollment'!V56</f>
        <v>950191</v>
      </c>
      <c r="W56" s="342">
        <f>'Public PreK-12 Enrollment'!W60+'Private Enrollment'!W56</f>
        <v>959118.5</v>
      </c>
      <c r="X56" s="342">
        <f>'Public PreK-12 Enrollment'!X60+'Private Enrollment'!X56</f>
        <v>971161</v>
      </c>
      <c r="Y56" s="342">
        <f>'Public PreK-12 Enrollment'!Y60+'Private Enrollment'!Y56</f>
        <v>985823</v>
      </c>
      <c r="Z56" s="342">
        <f>'Public PreK-12 Enrollment'!Z60+'Private Enrollment'!Z56</f>
        <v>1004470</v>
      </c>
      <c r="AA56" s="342">
        <f>'Public PreK-12 Enrollment'!AA60+'Private Enrollment'!AA56</f>
        <v>1019947</v>
      </c>
      <c r="AB56" s="342">
        <f>'Public PreK-12 Enrollment'!AB60+'Private Enrollment'!AB56</f>
        <v>1040703</v>
      </c>
      <c r="AC56" s="342">
        <f>'Public PreK-12 Enrollment'!AC60+'Private Enrollment'!AC56</f>
        <v>1072396</v>
      </c>
      <c r="AD56" s="342">
        <f>'Public PreK-12 Enrollment'!AD60+'Private Enrollment'!AD56</f>
        <v>1100306</v>
      </c>
      <c r="AE56" s="342">
        <f>'Public PreK-12 Enrollment'!AE60+'Private Enrollment'!AE56</f>
        <v>1114997</v>
      </c>
      <c r="AF56" s="342">
        <f>'Public PreK-12 Enrollment'!AF60+'Private Enrollment'!AF56</f>
        <v>1125485</v>
      </c>
      <c r="AG56" s="342">
        <f>'Public PreK-12 Enrollment'!AG60+'Private Enrollment'!AG56</f>
        <v>1140925</v>
      </c>
      <c r="AH56" s="342">
        <f>'Public PreK-12 Enrollment'!AH60+'Private Enrollment'!AH56</f>
        <v>1150629</v>
      </c>
      <c r="AI56" s="342">
        <f>'Public PreK-12 Enrollment'!AI60+'Private Enrollment'!AI56</f>
        <v>1153929</v>
      </c>
      <c r="AJ56" s="342">
        <f>'Public PreK-12 Enrollment'!AJ60+'Private Enrollment'!AJ56</f>
        <v>1144849</v>
      </c>
      <c r="AK56" s="342">
        <f>'Public PreK-12 Enrollment'!AK60+'Private Enrollment'!AK56</f>
        <v>1136654</v>
      </c>
      <c r="AL56" s="342">
        <f>'Public PreK-12 Enrollment'!AL60+'Private Enrollment'!AL56</f>
        <v>1129679</v>
      </c>
      <c r="AM56" s="342">
        <f>'Public PreK-12 Enrollment'!AM60+'Private Enrollment'!AM56</f>
        <v>1123366</v>
      </c>
      <c r="AN56" s="342">
        <f>'Public PreK-12 Enrollment'!AN60+'Private Enrollment'!AN56</f>
        <v>1114598</v>
      </c>
      <c r="AO56" s="342">
        <f>'Public PreK-12 Enrollment'!AO60+'Private Enrollment'!AO56</f>
        <v>1094286</v>
      </c>
      <c r="AP56" s="342">
        <f>'Public PreK-12 Enrollment'!AP60+'Private Enrollment'!AQ56</f>
        <v>1094163</v>
      </c>
      <c r="AQ56" s="342">
        <f>'Public PreK-12 Enrollment'!AQ60+'Private Enrollment'!AR56</f>
        <v>1089588</v>
      </c>
      <c r="AR56" s="342">
        <f>'Public PreK-12 Enrollment'!AR60+'Private Enrollment'!AS56</f>
        <v>1084309</v>
      </c>
    </row>
    <row r="57" spans="1:44">
      <c r="A57" s="113" t="s">
        <v>148</v>
      </c>
      <c r="B57" s="342">
        <f>'Public PreK-12 Enrollment'!B61+'Private Enrollment'!B57</f>
        <v>167957</v>
      </c>
      <c r="C57" s="342">
        <f>'Public PreK-12 Enrollment'!C61+'Private Enrollment'!C57</f>
        <v>187247</v>
      </c>
      <c r="D57" s="342" t="str">
        <f>IF('Private Enrollment'!D57=0,"NA",'Public PreK-12 Enrollment'!D61+'Private Enrollment'!D57)</f>
        <v>NA</v>
      </c>
      <c r="E57" s="342" t="str">
        <f>IF('Private Enrollment'!E57=0,"NA",'Public PreK-12 Enrollment'!E61+'Private Enrollment'!E57)</f>
        <v>NA</v>
      </c>
      <c r="F57" s="342" t="str">
        <f>IF('Private Enrollment'!F57=0,"NA",'Public PreK-12 Enrollment'!F61+'Private Enrollment'!F57)</f>
        <v>NA</v>
      </c>
      <c r="G57" s="342" t="str">
        <f>IF('Private Enrollment'!G57=0,"NA",'Public PreK-12 Enrollment'!G61+'Private Enrollment'!G57)</f>
        <v>NA</v>
      </c>
      <c r="H57" s="342">
        <f>'Public PreK-12 Enrollment'!H61+'Private Enrollment'!H57</f>
        <v>199597</v>
      </c>
      <c r="I57" s="342" t="str">
        <f>IF('Private Enrollment'!I57=0,"NA",'Public PreK-12 Enrollment'!I61+'Private Enrollment'!I57)</f>
        <v>NA</v>
      </c>
      <c r="J57" s="342" t="str">
        <f>IF('Private Enrollment'!J57=0,"NA",'Public PreK-12 Enrollment'!J61+'Private Enrollment'!J57)</f>
        <v>NA</v>
      </c>
      <c r="K57" s="342">
        <f>'Public PreK-12 Enrollment'!K61+'Private Enrollment'!K57</f>
        <v>193584</v>
      </c>
      <c r="L57" s="342">
        <f>'Public PreK-12 Enrollment'!L61+'Private Enrollment'!L57</f>
        <v>191504</v>
      </c>
      <c r="M57" s="342">
        <f>'Public PreK-12 Enrollment'!M61+'Private Enrollment'!M57</f>
        <v>187953</v>
      </c>
      <c r="N57" s="342" t="str">
        <f>IF('Private Enrollment'!N57=0,"NA",'Public PreK-12 Enrollment'!N61+'Private Enrollment'!N57)</f>
        <v>NA</v>
      </c>
      <c r="O57" s="342" t="str">
        <f>IF('Private Enrollment'!O57=0,"NA",'Public PreK-12 Enrollment'!O61+'Private Enrollment'!O57)</f>
        <v>NA</v>
      </c>
      <c r="P57" s="342" t="str">
        <f>IF('Private Enrollment'!P57=0,"NA",'Public PreK-12 Enrollment'!P61+'Private Enrollment'!P57)</f>
        <v>NA</v>
      </c>
      <c r="Q57" s="342" t="str">
        <f>IF('Private Enrollment'!Q57=0,"NA",'Public PreK-12 Enrollment'!Q61+'Private Enrollment'!Q57)</f>
        <v>NA</v>
      </c>
      <c r="R57" s="342" t="str">
        <f>IF('Private Enrollment'!R57=0,"NA",'Public PreK-12 Enrollment'!R61+'Private Enrollment'!R57)</f>
        <v>NA</v>
      </c>
      <c r="S57" s="342" t="str">
        <f>IF('Private Enrollment'!S57=0,"NA",'Public PreK-12 Enrollment'!S61+'Private Enrollment'!S57)</f>
        <v>NA</v>
      </c>
      <c r="T57" s="342" t="str">
        <f>IF('Private Enrollment'!T57=0,"NA",'Public PreK-12 Enrollment'!T61+'Private Enrollment'!T57)</f>
        <v>NA</v>
      </c>
      <c r="U57" s="342" t="str">
        <f>IF('Private Enrollment'!U57=0,"NA",'Public PreK-12 Enrollment'!U61+'Private Enrollment'!U57)</f>
        <v>NA</v>
      </c>
      <c r="V57" s="342">
        <f>'Public PreK-12 Enrollment'!V61+'Private Enrollment'!V57</f>
        <v>193438</v>
      </c>
      <c r="W57" s="342">
        <f>'Public PreK-12 Enrollment'!W61+'Private Enrollment'!W57</f>
        <v>193012</v>
      </c>
      <c r="X57" s="342">
        <f>'Public PreK-12 Enrollment'!X61+'Private Enrollment'!X57</f>
        <v>195850</v>
      </c>
      <c r="Y57" s="342">
        <f>'Public PreK-12 Enrollment'!Y61+'Private Enrollment'!Y57</f>
        <v>199796</v>
      </c>
      <c r="Z57" s="342">
        <f>'Public PreK-12 Enrollment'!Z61+'Private Enrollment'!Z57</f>
        <v>203746</v>
      </c>
      <c r="AA57" s="342">
        <f>'Public PreK-12 Enrollment'!AA61+'Private Enrollment'!AA57</f>
        <v>209828.5</v>
      </c>
      <c r="AB57" s="342">
        <f>'Public PreK-12 Enrollment'!AB61+'Private Enrollment'!AB57</f>
        <v>216804</v>
      </c>
      <c r="AC57" s="342">
        <f>'Public PreK-12 Enrollment'!AC61+'Private Enrollment'!AC57</f>
        <v>225459.5</v>
      </c>
      <c r="AD57" s="342">
        <f>'Public PreK-12 Enrollment'!AD61+'Private Enrollment'!AD57</f>
        <v>233299</v>
      </c>
      <c r="AE57" s="342">
        <f>'Public PreK-12 Enrollment'!AE61+'Private Enrollment'!AE57</f>
        <v>238788</v>
      </c>
      <c r="AF57" s="342">
        <f>'Public PreK-12 Enrollment'!AF61+'Private Enrollment'!AF57</f>
        <v>243263</v>
      </c>
      <c r="AG57" s="342">
        <f>'Public PreK-12 Enrollment'!AG61+'Private Enrollment'!AG57</f>
        <v>246026</v>
      </c>
      <c r="AH57" s="342">
        <f>'Public PreK-12 Enrollment'!AH61+'Private Enrollment'!AH57</f>
        <v>245497</v>
      </c>
      <c r="AI57" s="342">
        <f>'Public PreK-12 Enrollment'!AI61+'Private Enrollment'!AI57</f>
        <v>243886</v>
      </c>
      <c r="AJ57" s="342">
        <f>'Public PreK-12 Enrollment'!AJ61+'Private Enrollment'!AJ57</f>
        <v>241197</v>
      </c>
      <c r="AK57" s="342">
        <f>'Public PreK-12 Enrollment'!AK61+'Private Enrollment'!AK57</f>
        <v>240352</v>
      </c>
      <c r="AL57" s="342">
        <f>'Public PreK-12 Enrollment'!AL61+'Private Enrollment'!AL57</f>
        <v>238987</v>
      </c>
      <c r="AM57" s="342">
        <f>'Public PreK-12 Enrollment'!AM61+'Private Enrollment'!AM57</f>
        <v>235642</v>
      </c>
      <c r="AN57" s="342">
        <f>'Public PreK-12 Enrollment'!AN61+'Private Enrollment'!AN57</f>
        <v>231692</v>
      </c>
      <c r="AO57" s="342">
        <f>'Public PreK-12 Enrollment'!AO61+'Private Enrollment'!AO57</f>
        <v>223797.5</v>
      </c>
      <c r="AP57" s="342">
        <f>'Public PreK-12 Enrollment'!AP61+'Private Enrollment'!AQ57</f>
        <v>223610</v>
      </c>
      <c r="AQ57" s="342">
        <f>'Public PreK-12 Enrollment'!AQ61+'Private Enrollment'!AR57</f>
        <v>221621</v>
      </c>
      <c r="AR57" s="342">
        <f>'Public PreK-12 Enrollment'!AR61+'Private Enrollment'!AS57</f>
        <v>219250</v>
      </c>
    </row>
    <row r="58" spans="1:44">
      <c r="A58" s="113" t="s">
        <v>149</v>
      </c>
      <c r="B58" s="342">
        <f>'Public PreK-12 Enrollment'!B62+'Private Enrollment'!B58</f>
        <v>1620200</v>
      </c>
      <c r="C58" s="342">
        <f>'Public PreK-12 Enrollment'!C62+'Private Enrollment'!C58</f>
        <v>1794221</v>
      </c>
      <c r="D58" s="342" t="str">
        <f>IF('Private Enrollment'!D58=0,"NA",'Public PreK-12 Enrollment'!D62+'Private Enrollment'!D58)</f>
        <v>NA</v>
      </c>
      <c r="E58" s="342" t="str">
        <f>IF('Private Enrollment'!E58=0,"NA",'Public PreK-12 Enrollment'!E62+'Private Enrollment'!E58)</f>
        <v>NA</v>
      </c>
      <c r="F58" s="342" t="str">
        <f>IF('Private Enrollment'!F58=0,"NA",'Public PreK-12 Enrollment'!F62+'Private Enrollment'!F58)</f>
        <v>NA</v>
      </c>
      <c r="G58" s="342" t="str">
        <f>IF('Private Enrollment'!G58=0,"NA",'Public PreK-12 Enrollment'!G62+'Private Enrollment'!G58)</f>
        <v>NA</v>
      </c>
      <c r="H58" s="342">
        <f>'Public PreK-12 Enrollment'!H62+'Private Enrollment'!H58</f>
        <v>1692500</v>
      </c>
      <c r="I58" s="342" t="str">
        <f>IF('Private Enrollment'!I58=0,"NA",'Public PreK-12 Enrollment'!I62+'Private Enrollment'!I58)</f>
        <v>NA</v>
      </c>
      <c r="J58" s="342" t="str">
        <f>IF('Private Enrollment'!J58=0,"NA",'Public PreK-12 Enrollment'!J62+'Private Enrollment'!J58)</f>
        <v>NA</v>
      </c>
      <c r="K58" s="342">
        <f>'Public PreK-12 Enrollment'!K62+'Private Enrollment'!K58</f>
        <v>1571096</v>
      </c>
      <c r="L58" s="342">
        <f>'Public PreK-12 Enrollment'!L62+'Private Enrollment'!L58</f>
        <v>1519632.5</v>
      </c>
      <c r="M58" s="342">
        <f>'Public PreK-12 Enrollment'!M62+'Private Enrollment'!M58</f>
        <v>1475886</v>
      </c>
      <c r="N58" s="342" t="str">
        <f>IF('Private Enrollment'!N58=0,"NA",'Public PreK-12 Enrollment'!N62+'Private Enrollment'!N58)</f>
        <v>NA</v>
      </c>
      <c r="O58" s="342" t="str">
        <f>IF('Private Enrollment'!O58=0,"NA",'Public PreK-12 Enrollment'!O62+'Private Enrollment'!O58)</f>
        <v>NA</v>
      </c>
      <c r="P58" s="342" t="str">
        <f>IF('Private Enrollment'!P58=0,"NA",'Public PreK-12 Enrollment'!P62+'Private Enrollment'!P58)</f>
        <v>NA</v>
      </c>
      <c r="Q58" s="342" t="str">
        <f>IF('Private Enrollment'!Q58=0,"NA",'Public PreK-12 Enrollment'!Q62+'Private Enrollment'!Q58)</f>
        <v>NA</v>
      </c>
      <c r="R58" s="342" t="str">
        <f>IF('Private Enrollment'!R58=0,"NA",'Public PreK-12 Enrollment'!R62+'Private Enrollment'!R58)</f>
        <v>NA</v>
      </c>
      <c r="S58" s="342" t="str">
        <f>IF('Private Enrollment'!S58=0,"NA",'Public PreK-12 Enrollment'!S62+'Private Enrollment'!S58)</f>
        <v>NA</v>
      </c>
      <c r="T58" s="342" t="str">
        <f>IF('Private Enrollment'!T58=0,"NA",'Public PreK-12 Enrollment'!T62+'Private Enrollment'!T58)</f>
        <v>NA</v>
      </c>
      <c r="U58" s="342" t="str">
        <f>IF('Private Enrollment'!U58=0,"NA",'Public PreK-12 Enrollment'!U62+'Private Enrollment'!U58)</f>
        <v>NA</v>
      </c>
      <c r="V58" s="342">
        <f>'Public PreK-12 Enrollment'!V62+'Private Enrollment'!V58</f>
        <v>1294445</v>
      </c>
      <c r="W58" s="342">
        <f>'Public PreK-12 Enrollment'!W62+'Private Enrollment'!W58</f>
        <v>1303822.5</v>
      </c>
      <c r="X58" s="342">
        <f>'Public PreK-12 Enrollment'!X62+'Private Enrollment'!X58</f>
        <v>1319709</v>
      </c>
      <c r="Y58" s="342">
        <f>'Public PreK-12 Enrollment'!Y62+'Private Enrollment'!Y58</f>
        <v>1333477</v>
      </c>
      <c r="Z58" s="342">
        <f>'Public PreK-12 Enrollment'!Z62+'Private Enrollment'!Z58</f>
        <v>1347228</v>
      </c>
      <c r="AA58" s="342">
        <f>'Public PreK-12 Enrollment'!AA62+'Private Enrollment'!AA58</f>
        <v>1375804</v>
      </c>
      <c r="AB58" s="342">
        <f>'Public PreK-12 Enrollment'!AB62+'Private Enrollment'!AB58</f>
        <v>1404656</v>
      </c>
      <c r="AC58" s="342">
        <f>'Public PreK-12 Enrollment'!AC62+'Private Enrollment'!AC58</f>
        <v>1455524.5</v>
      </c>
      <c r="AD58" s="342">
        <f>'Public PreK-12 Enrollment'!AD62+'Private Enrollment'!AD58</f>
        <v>1498386</v>
      </c>
      <c r="AE58" s="342">
        <f>'Public PreK-12 Enrollment'!AE62+'Private Enrollment'!AE58</f>
        <v>1511821</v>
      </c>
      <c r="AF58" s="342">
        <f>'Public PreK-12 Enrollment'!AF62+'Private Enrollment'!AF58</f>
        <v>1526796</v>
      </c>
      <c r="AG58" s="342">
        <f>'Public PreK-12 Enrollment'!AG62+'Private Enrollment'!AG58</f>
        <v>1573400</v>
      </c>
      <c r="AH58" s="342">
        <f>'Public PreK-12 Enrollment'!AH62+'Private Enrollment'!AH58</f>
        <v>1624106</v>
      </c>
      <c r="AI58" s="342">
        <f>'Public PreK-12 Enrollment'!AI62+'Private Enrollment'!AI58</f>
        <v>1643428</v>
      </c>
      <c r="AJ58" s="342">
        <f>'Public PreK-12 Enrollment'!AJ62+'Private Enrollment'!AJ58</f>
        <v>1650283</v>
      </c>
      <c r="AK58" s="342">
        <f>'Public PreK-12 Enrollment'!AK62+'Private Enrollment'!AK58</f>
        <v>1656192</v>
      </c>
      <c r="AL58" s="342">
        <f>'Public PreK-12 Enrollment'!AL62+'Private Enrollment'!AL58</f>
        <v>1651762</v>
      </c>
      <c r="AM58" s="342">
        <f>'Public PreK-12 Enrollment'!AM62+'Private Enrollment'!AM58</f>
        <v>1643555</v>
      </c>
      <c r="AN58" s="342">
        <f>'Public PreK-12 Enrollment'!AN62+'Private Enrollment'!AN58</f>
        <v>1635598</v>
      </c>
      <c r="AO58" s="342">
        <f>'Public PreK-12 Enrollment'!AO62+'Private Enrollment'!AO58</f>
        <v>1602198.5</v>
      </c>
      <c r="AP58" s="342">
        <f>'Public PreK-12 Enrollment'!AP62+'Private Enrollment'!AQ58</f>
        <v>1628049</v>
      </c>
      <c r="AQ58" s="342">
        <f>'Public PreK-12 Enrollment'!AQ62+'Private Enrollment'!AR58</f>
        <v>1623668</v>
      </c>
      <c r="AR58" s="342">
        <f>'Public PreK-12 Enrollment'!AR62+'Private Enrollment'!AS58</f>
        <v>1566651</v>
      </c>
    </row>
    <row r="59" spans="1:44">
      <c r="A59" s="113" t="s">
        <v>151</v>
      </c>
      <c r="B59" s="342">
        <f>'Public PreK-12 Enrollment'!B63+'Private Enrollment'!B59</f>
        <v>4141345</v>
      </c>
      <c r="C59" s="342">
        <f>'Public PreK-12 Enrollment'!C63+'Private Enrollment'!C59</f>
        <v>4270644</v>
      </c>
      <c r="D59" s="342" t="str">
        <f>IF('Private Enrollment'!D59=0,"NA",'Public PreK-12 Enrollment'!D63+'Private Enrollment'!D59)</f>
        <v>NA</v>
      </c>
      <c r="E59" s="342" t="str">
        <f>IF('Private Enrollment'!E59=0,"NA",'Public PreK-12 Enrollment'!E63+'Private Enrollment'!E59)</f>
        <v>NA</v>
      </c>
      <c r="F59" s="342" t="str">
        <f>IF('Private Enrollment'!F59=0,"NA",'Public PreK-12 Enrollment'!F63+'Private Enrollment'!F59)</f>
        <v>NA</v>
      </c>
      <c r="G59" s="342" t="str">
        <f>IF('Private Enrollment'!G59=0,"NA",'Public PreK-12 Enrollment'!G63+'Private Enrollment'!G59)</f>
        <v>NA</v>
      </c>
      <c r="H59" s="342">
        <f>'Public PreK-12 Enrollment'!H63+'Private Enrollment'!H59</f>
        <v>4087653</v>
      </c>
      <c r="I59" s="342" t="str">
        <f>IF('Private Enrollment'!I59=0,"NA",'Public PreK-12 Enrollment'!I63+'Private Enrollment'!I59)</f>
        <v>NA</v>
      </c>
      <c r="J59" s="342" t="str">
        <f>IF('Private Enrollment'!J59=0,"NA",'Public PreK-12 Enrollment'!J63+'Private Enrollment'!J59)</f>
        <v>NA</v>
      </c>
      <c r="K59" s="342">
        <f>'Public PreK-12 Enrollment'!K63+'Private Enrollment'!K59</f>
        <v>3709613</v>
      </c>
      <c r="L59" s="342">
        <f>'Public PreK-12 Enrollment'!L63+'Private Enrollment'!L59</f>
        <v>3566915</v>
      </c>
      <c r="M59" s="342">
        <f>'Public PreK-12 Enrollment'!M63+'Private Enrollment'!M59</f>
        <v>3451394</v>
      </c>
      <c r="N59" s="342" t="str">
        <f>IF('Private Enrollment'!N59=0,"NA",'Public PreK-12 Enrollment'!N63+'Private Enrollment'!N59)</f>
        <v>NA</v>
      </c>
      <c r="O59" s="342" t="str">
        <f>IF('Private Enrollment'!O59=0,"NA",'Public PreK-12 Enrollment'!O63+'Private Enrollment'!O59)</f>
        <v>NA</v>
      </c>
      <c r="P59" s="342" t="str">
        <f>IF('Private Enrollment'!P59=0,"NA",'Public PreK-12 Enrollment'!P63+'Private Enrollment'!P59)</f>
        <v>NA</v>
      </c>
      <c r="Q59" s="342" t="str">
        <f>IF('Private Enrollment'!Q59=0,"NA",'Public PreK-12 Enrollment'!Q63+'Private Enrollment'!Q59)</f>
        <v>NA</v>
      </c>
      <c r="R59" s="342" t="str">
        <f>IF('Private Enrollment'!R59=0,"NA",'Public PreK-12 Enrollment'!R63+'Private Enrollment'!R59)</f>
        <v>NA</v>
      </c>
      <c r="S59" s="342" t="str">
        <f>IF('Private Enrollment'!S59=0,"NA",'Public PreK-12 Enrollment'!S63+'Private Enrollment'!S59)</f>
        <v>NA</v>
      </c>
      <c r="T59" s="342" t="str">
        <f>IF('Private Enrollment'!T59=0,"NA",'Public PreK-12 Enrollment'!T63+'Private Enrollment'!T59)</f>
        <v>NA</v>
      </c>
      <c r="U59" s="342" t="str">
        <f>IF('Private Enrollment'!U59=0,"NA",'Public PreK-12 Enrollment'!U63+'Private Enrollment'!U59)</f>
        <v>NA</v>
      </c>
      <c r="V59" s="342">
        <f>'Public PreK-12 Enrollment'!V63+'Private Enrollment'!V59</f>
        <v>3063267</v>
      </c>
      <c r="W59" s="342">
        <f>'Public PreK-12 Enrollment'!W63+'Private Enrollment'!W59</f>
        <v>3096384</v>
      </c>
      <c r="X59" s="342">
        <f>'Public PreK-12 Enrollment'!X63+'Private Enrollment'!X59</f>
        <v>3142661</v>
      </c>
      <c r="Y59" s="342">
        <f>'Public PreK-12 Enrollment'!Y63+'Private Enrollment'!Y59</f>
        <v>3175579.5</v>
      </c>
      <c r="Z59" s="342">
        <f>'Public PreK-12 Enrollment'!Z63+'Private Enrollment'!Z59</f>
        <v>3206932</v>
      </c>
      <c r="AA59" s="342">
        <f>'Public PreK-12 Enrollment'!AA63+'Private Enrollment'!AA59</f>
        <v>3235887</v>
      </c>
      <c r="AB59" s="342">
        <f>'Public PreK-12 Enrollment'!AB63+'Private Enrollment'!AB59</f>
        <v>3279469</v>
      </c>
      <c r="AC59" s="342">
        <f>'Public PreK-12 Enrollment'!AC63+'Private Enrollment'!AC59</f>
        <v>3342005.5</v>
      </c>
      <c r="AD59" s="342">
        <f>'Public PreK-12 Enrollment'!AD63+'Private Enrollment'!AD59</f>
        <v>3393333</v>
      </c>
      <c r="AE59" s="342">
        <f>'Public PreK-12 Enrollment'!AE63+'Private Enrollment'!AE59</f>
        <v>3414158</v>
      </c>
      <c r="AF59" s="342">
        <f>'Public PreK-12 Enrollment'!AF63+'Private Enrollment'!AF59</f>
        <v>3430296</v>
      </c>
      <c r="AG59" s="342">
        <f>'Public PreK-12 Enrollment'!AG63+'Private Enrollment'!AG59</f>
        <v>3433283</v>
      </c>
      <c r="AH59" s="342">
        <f>'Public PreK-12 Enrollment'!AH63+'Private Enrollment'!AH59</f>
        <v>3431802</v>
      </c>
      <c r="AI59" s="342">
        <f>'Public PreK-12 Enrollment'!AI63+'Private Enrollment'!AI59</f>
        <v>3425878</v>
      </c>
      <c r="AJ59" s="342">
        <f>'Public PreK-12 Enrollment'!AJ63+'Private Enrollment'!AJ59</f>
        <v>3380395</v>
      </c>
      <c r="AK59" s="342">
        <f>'Public PreK-12 Enrollment'!AK63+'Private Enrollment'!AK59</f>
        <v>3349522</v>
      </c>
      <c r="AL59" s="342">
        <f>'Public PreK-12 Enrollment'!AL63+'Private Enrollment'!AL59</f>
        <v>3326331</v>
      </c>
      <c r="AM59" s="342">
        <f>'Public PreK-12 Enrollment'!AM63+'Private Enrollment'!AM59</f>
        <v>3324449</v>
      </c>
      <c r="AN59" s="342">
        <f>'Public PreK-12 Enrollment'!AN63+'Private Enrollment'!AN59</f>
        <v>3284285</v>
      </c>
      <c r="AO59" s="342">
        <f>'Public PreK-12 Enrollment'!AO63+'Private Enrollment'!AO59</f>
        <v>3215319.5</v>
      </c>
      <c r="AP59" s="342">
        <f>'Public PreK-12 Enrollment'!AP63+'Private Enrollment'!AQ59</f>
        <v>3252362</v>
      </c>
      <c r="AQ59" s="342">
        <f>'Public PreK-12 Enrollment'!AQ63+'Private Enrollment'!AR59</f>
        <v>3222015</v>
      </c>
      <c r="AR59" s="342">
        <f>'Public PreK-12 Enrollment'!AR63+'Private Enrollment'!AS59</f>
        <v>3192528</v>
      </c>
    </row>
    <row r="60" spans="1:44">
      <c r="A60" s="113" t="s">
        <v>155</v>
      </c>
      <c r="B60" s="342">
        <f>'Public PreK-12 Enrollment'!B64+'Private Enrollment'!B60</f>
        <v>2870129</v>
      </c>
      <c r="C60" s="342">
        <f>'Public PreK-12 Enrollment'!C64+'Private Enrollment'!C60</f>
        <v>2896039</v>
      </c>
      <c r="D60" s="342" t="str">
        <f>IF('Private Enrollment'!D60=0,"NA",'Public PreK-12 Enrollment'!D64+'Private Enrollment'!D60)</f>
        <v>NA</v>
      </c>
      <c r="E60" s="342" t="str">
        <f>IF('Private Enrollment'!E60=0,"NA",'Public PreK-12 Enrollment'!E64+'Private Enrollment'!E60)</f>
        <v>NA</v>
      </c>
      <c r="F60" s="342" t="str">
        <f>IF('Private Enrollment'!F60=0,"NA",'Public PreK-12 Enrollment'!F64+'Private Enrollment'!F60)</f>
        <v>NA</v>
      </c>
      <c r="G60" s="342" t="str">
        <f>IF('Private Enrollment'!G60=0,"NA",'Public PreK-12 Enrollment'!G64+'Private Enrollment'!G60)</f>
        <v>NA</v>
      </c>
      <c r="H60" s="342">
        <f>'Public PreK-12 Enrollment'!H64+'Private Enrollment'!H60</f>
        <v>2695747</v>
      </c>
      <c r="I60" s="342" t="str">
        <f>IF('Private Enrollment'!I60=0,"NA",'Public PreK-12 Enrollment'!I64+'Private Enrollment'!I60)</f>
        <v>NA</v>
      </c>
      <c r="J60" s="342" t="str">
        <f>IF('Private Enrollment'!J60=0,"NA",'Public PreK-12 Enrollment'!J64+'Private Enrollment'!J60)</f>
        <v>NA</v>
      </c>
      <c r="K60" s="342">
        <f>'Public PreK-12 Enrollment'!K64+'Private Enrollment'!K60</f>
        <v>2473449</v>
      </c>
      <c r="L60" s="342">
        <f>'Public PreK-12 Enrollment'!L64+'Private Enrollment'!L60</f>
        <v>2383181.5</v>
      </c>
      <c r="M60" s="342">
        <f>'Public PreK-12 Enrollment'!M64+'Private Enrollment'!M60</f>
        <v>2311350</v>
      </c>
      <c r="N60" s="342" t="str">
        <f>IF('Private Enrollment'!N60=0,"NA",'Public PreK-12 Enrollment'!N64+'Private Enrollment'!N60)</f>
        <v>NA</v>
      </c>
      <c r="O60" s="342" t="str">
        <f>IF('Private Enrollment'!O60=0,"NA",'Public PreK-12 Enrollment'!O64+'Private Enrollment'!O60)</f>
        <v>NA</v>
      </c>
      <c r="P60" s="342" t="str">
        <f>IF('Private Enrollment'!P60=0,"NA",'Public PreK-12 Enrollment'!P64+'Private Enrollment'!P60)</f>
        <v>NA</v>
      </c>
      <c r="Q60" s="342" t="str">
        <f>IF('Private Enrollment'!Q60=0,"NA",'Public PreK-12 Enrollment'!Q64+'Private Enrollment'!Q60)</f>
        <v>NA</v>
      </c>
      <c r="R60" s="342" t="str">
        <f>IF('Private Enrollment'!R60=0,"NA",'Public PreK-12 Enrollment'!R64+'Private Enrollment'!R60)</f>
        <v>NA</v>
      </c>
      <c r="S60" s="342" t="str">
        <f>IF('Private Enrollment'!S60=0,"NA",'Public PreK-12 Enrollment'!S64+'Private Enrollment'!S60)</f>
        <v>NA</v>
      </c>
      <c r="T60" s="342" t="str">
        <f>IF('Private Enrollment'!T60=0,"NA",'Public PreK-12 Enrollment'!T64+'Private Enrollment'!T60)</f>
        <v>NA</v>
      </c>
      <c r="U60" s="342" t="str">
        <f>IF('Private Enrollment'!U60=0,"NA",'Public PreK-12 Enrollment'!U64+'Private Enrollment'!U60)</f>
        <v>NA</v>
      </c>
      <c r="V60" s="342">
        <f>'Public PreK-12 Enrollment'!V64+'Private Enrollment'!V60</f>
        <v>2016462</v>
      </c>
      <c r="W60" s="342">
        <f>'Public PreK-12 Enrollment'!W64+'Private Enrollment'!W60</f>
        <v>2028145.5</v>
      </c>
      <c r="X60" s="342">
        <f>'Public PreK-12 Enrollment'!X64+'Private Enrollment'!X60</f>
        <v>2052237</v>
      </c>
      <c r="Y60" s="342">
        <f>'Public PreK-12 Enrollment'!Y64+'Private Enrollment'!Y60</f>
        <v>2068482</v>
      </c>
      <c r="Z60" s="342">
        <f>'Public PreK-12 Enrollment'!Z64+'Private Enrollment'!Z60</f>
        <v>2086380</v>
      </c>
      <c r="AA60" s="342">
        <f>'Public PreK-12 Enrollment'!AA64+'Private Enrollment'!AA60</f>
        <v>2109495</v>
      </c>
      <c r="AB60" s="342">
        <f>'Public PreK-12 Enrollment'!AB64+'Private Enrollment'!AB60</f>
        <v>2134333</v>
      </c>
      <c r="AC60" s="342">
        <f>'Public PreK-12 Enrollment'!AC64+'Private Enrollment'!AC60</f>
        <v>2175626</v>
      </c>
      <c r="AD60" s="342">
        <f>'Public PreK-12 Enrollment'!AD64+'Private Enrollment'!AD60</f>
        <v>2211091</v>
      </c>
      <c r="AE60" s="342">
        <f>'Public PreK-12 Enrollment'!AE64+'Private Enrollment'!AE60</f>
        <v>2210414</v>
      </c>
      <c r="AF60" s="342">
        <f>'Public PreK-12 Enrollment'!AF64+'Private Enrollment'!AF60</f>
        <v>2208776</v>
      </c>
      <c r="AG60" s="342">
        <f>'Public PreK-12 Enrollment'!AG64+'Private Enrollment'!AG60</f>
        <v>2197586</v>
      </c>
      <c r="AH60" s="342">
        <f>'Public PreK-12 Enrollment'!AH64+'Private Enrollment'!AH60</f>
        <v>2196117</v>
      </c>
      <c r="AI60" s="342">
        <f>'Public PreK-12 Enrollment'!AI64+'Private Enrollment'!AI60</f>
        <v>2182782</v>
      </c>
      <c r="AJ60" s="342">
        <f>'Public PreK-12 Enrollment'!AJ64+'Private Enrollment'!AJ60</f>
        <v>2178726</v>
      </c>
      <c r="AK60" s="342">
        <f>'Public PreK-12 Enrollment'!AK64+'Private Enrollment'!AK60</f>
        <v>2173249</v>
      </c>
      <c r="AL60" s="342">
        <f>'Public PreK-12 Enrollment'!AL64+'Private Enrollment'!AL60</f>
        <v>2163424</v>
      </c>
      <c r="AM60" s="342">
        <f>'Public PreK-12 Enrollment'!AM64+'Private Enrollment'!AM60</f>
        <v>2199440</v>
      </c>
      <c r="AN60" s="342">
        <f>'Public PreK-12 Enrollment'!AN64+'Private Enrollment'!AN60</f>
        <v>2125991</v>
      </c>
      <c r="AO60" s="342">
        <f>'Public PreK-12 Enrollment'!AO64+'Private Enrollment'!AO60</f>
        <v>2069738.5</v>
      </c>
      <c r="AP60" s="342">
        <f>'Public PreK-12 Enrollment'!AP64+'Private Enrollment'!AQ60</f>
        <v>2087633</v>
      </c>
      <c r="AQ60" s="342">
        <f>'Public PreK-12 Enrollment'!AQ64+'Private Enrollment'!AR60</f>
        <v>2082254</v>
      </c>
      <c r="AR60" s="342">
        <f>'Public PreK-12 Enrollment'!AR64+'Private Enrollment'!AS60</f>
        <v>2047695</v>
      </c>
    </row>
    <row r="61" spans="1:44">
      <c r="A61" s="113" t="s">
        <v>156</v>
      </c>
      <c r="B61" s="342">
        <f>'Public PreK-12 Enrollment'!B65+'Private Enrollment'!B61</f>
        <v>214001</v>
      </c>
      <c r="C61" s="342">
        <f>'Public PreK-12 Enrollment'!C65+'Private Enrollment'!C61</f>
        <v>230067</v>
      </c>
      <c r="D61" s="342" t="str">
        <f>IF('Private Enrollment'!D61=0,"NA",'Public PreK-12 Enrollment'!D65+'Private Enrollment'!D61)</f>
        <v>NA</v>
      </c>
      <c r="E61" s="342" t="str">
        <f>IF('Private Enrollment'!E61=0,"NA",'Public PreK-12 Enrollment'!E65+'Private Enrollment'!E61)</f>
        <v>NA</v>
      </c>
      <c r="F61" s="342" t="str">
        <f>IF('Private Enrollment'!F61=0,"NA",'Public PreK-12 Enrollment'!F65+'Private Enrollment'!F61)</f>
        <v>NA</v>
      </c>
      <c r="G61" s="342" t="str">
        <f>IF('Private Enrollment'!G61=0,"NA",'Public PreK-12 Enrollment'!G65+'Private Enrollment'!G61)</f>
        <v>NA</v>
      </c>
      <c r="H61" s="342">
        <f>'Public PreK-12 Enrollment'!H65+'Private Enrollment'!H61</f>
        <v>209617</v>
      </c>
      <c r="I61" s="342" t="str">
        <f>IF('Private Enrollment'!I61=0,"NA",'Public PreK-12 Enrollment'!I65+'Private Enrollment'!I61)</f>
        <v>NA</v>
      </c>
      <c r="J61" s="342" t="str">
        <f>IF('Private Enrollment'!J61=0,"NA",'Public PreK-12 Enrollment'!J65+'Private Enrollment'!J61)</f>
        <v>NA</v>
      </c>
      <c r="K61" s="342">
        <f>'Public PreK-12 Enrollment'!K65+'Private Enrollment'!K61</f>
        <v>190953</v>
      </c>
      <c r="L61" s="342">
        <f>'Public PreK-12 Enrollment'!L65+'Private Enrollment'!L61</f>
        <v>184470.5</v>
      </c>
      <c r="M61" s="342">
        <f>'Public PreK-12 Enrollment'!M65+'Private Enrollment'!M61</f>
        <v>178831</v>
      </c>
      <c r="N61" s="342" t="str">
        <f>IF('Private Enrollment'!N61=0,"NA",'Public PreK-12 Enrollment'!N65+'Private Enrollment'!N61)</f>
        <v>NA</v>
      </c>
      <c r="O61" s="342" t="str">
        <f>IF('Private Enrollment'!O61=0,"NA",'Public PreK-12 Enrollment'!O65+'Private Enrollment'!O61)</f>
        <v>NA</v>
      </c>
      <c r="P61" s="342" t="str">
        <f>IF('Private Enrollment'!P61=0,"NA",'Public PreK-12 Enrollment'!P65+'Private Enrollment'!P61)</f>
        <v>NA</v>
      </c>
      <c r="Q61" s="342" t="str">
        <f>IF('Private Enrollment'!Q61=0,"NA",'Public PreK-12 Enrollment'!Q65+'Private Enrollment'!Q61)</f>
        <v>NA</v>
      </c>
      <c r="R61" s="342" t="str">
        <f>IF('Private Enrollment'!R61=0,"NA",'Public PreK-12 Enrollment'!R65+'Private Enrollment'!R61)</f>
        <v>NA</v>
      </c>
      <c r="S61" s="342" t="str">
        <f>IF('Private Enrollment'!S61=0,"NA",'Public PreK-12 Enrollment'!S65+'Private Enrollment'!S61)</f>
        <v>NA</v>
      </c>
      <c r="T61" s="342" t="str">
        <f>IF('Private Enrollment'!T61=0,"NA",'Public PreK-12 Enrollment'!T65+'Private Enrollment'!T61)</f>
        <v>NA</v>
      </c>
      <c r="U61" s="342" t="str">
        <f>IF('Private Enrollment'!U61=0,"NA",'Public PreK-12 Enrollment'!U65+'Private Enrollment'!U61)</f>
        <v>NA</v>
      </c>
      <c r="V61" s="342">
        <f>'Public PreK-12 Enrollment'!V65+'Private Enrollment'!V61</f>
        <v>158328</v>
      </c>
      <c r="W61" s="342">
        <f>'Public PreK-12 Enrollment'!W65+'Private Enrollment'!W61</f>
        <v>160733.5</v>
      </c>
      <c r="X61" s="342">
        <f>'Public PreK-12 Enrollment'!X65+'Private Enrollment'!X61</f>
        <v>163386</v>
      </c>
      <c r="Y61" s="342">
        <f>'Public PreK-12 Enrollment'!Y65+'Private Enrollment'!Y61</f>
        <v>165995.5</v>
      </c>
      <c r="Z61" s="342">
        <f>'Public PreK-12 Enrollment'!Z65+'Private Enrollment'!Z61</f>
        <v>168829</v>
      </c>
      <c r="AA61" s="342">
        <f>'Public PreK-12 Enrollment'!AA65+'Private Enrollment'!AA61</f>
        <v>170835</v>
      </c>
      <c r="AB61" s="342">
        <f>'Public PreK-12 Enrollment'!AB65+'Private Enrollment'!AB61</f>
        <v>173342</v>
      </c>
      <c r="AC61" s="342">
        <f>'Public PreK-12 Enrollment'!AC65+'Private Enrollment'!AC61</f>
        <v>178250.5</v>
      </c>
      <c r="AD61" s="342">
        <f>'Public PreK-12 Enrollment'!AD65+'Private Enrollment'!AD61</f>
        <v>183631</v>
      </c>
      <c r="AE61" s="342">
        <f>'Public PreK-12 Enrollment'!AE65+'Private Enrollment'!AE61</f>
        <v>184725</v>
      </c>
      <c r="AF61" s="342">
        <f>'Public PreK-12 Enrollment'!AF65+'Private Enrollment'!AF61</f>
        <v>186024</v>
      </c>
      <c r="AG61" s="342">
        <f>'Public PreK-12 Enrollment'!AG65+'Private Enrollment'!AG61</f>
        <v>187617</v>
      </c>
      <c r="AH61" s="342">
        <f>'Public PreK-12 Enrollment'!AH65+'Private Enrollment'!AH61</f>
        <v>189016</v>
      </c>
      <c r="AI61" s="342">
        <f>'Public PreK-12 Enrollment'!AI65+'Private Enrollment'!AI61</f>
        <v>190670</v>
      </c>
      <c r="AJ61" s="342">
        <f>'Public PreK-12 Enrollment'!AJ65+'Private Enrollment'!AJ61</f>
        <v>191335</v>
      </c>
      <c r="AK61" s="342">
        <f>'Public PreK-12 Enrollment'!AK65+'Private Enrollment'!AK61</f>
        <v>187778</v>
      </c>
      <c r="AL61" s="342">
        <f>'Public PreK-12 Enrollment'!AL65+'Private Enrollment'!AL61</f>
        <v>184022</v>
      </c>
      <c r="AM61" s="342">
        <f>'Public PreK-12 Enrollment'!AM65+'Private Enrollment'!AM61</f>
        <v>181042</v>
      </c>
      <c r="AN61" s="342">
        <f>'Public PreK-12 Enrollment'!AN65+'Private Enrollment'!AN61</f>
        <v>175889</v>
      </c>
      <c r="AO61" s="342">
        <f>'Public PreK-12 Enrollment'!AO65+'Private Enrollment'!AO61</f>
        <v>170407.5</v>
      </c>
      <c r="AP61" s="342">
        <f>'Public PreK-12 Enrollment'!AP65+'Private Enrollment'!AQ61</f>
        <v>170058</v>
      </c>
      <c r="AQ61" s="342">
        <f>'Public PreK-12 Enrollment'!AQ65+'Private Enrollment'!AR61</f>
        <v>168973</v>
      </c>
      <c r="AR61" s="342">
        <f>'Public PreK-12 Enrollment'!AR65+'Private Enrollment'!AS61</f>
        <v>168274</v>
      </c>
    </row>
    <row r="62" spans="1:44">
      <c r="A62" s="114" t="s">
        <v>159</v>
      </c>
      <c r="B62" s="342">
        <f>'Public PreK-12 Enrollment'!B66+'Private Enrollment'!B62</f>
        <v>104154</v>
      </c>
      <c r="C62" s="342">
        <f>'Public PreK-12 Enrollment'!C66+'Private Enrollment'!C62</f>
        <v>114808</v>
      </c>
      <c r="D62" s="342" t="str">
        <f>IF('Private Enrollment'!D62=0,"NA",'Public PreK-12 Enrollment'!D66+'Private Enrollment'!D62)</f>
        <v>NA</v>
      </c>
      <c r="E62" s="342" t="str">
        <f>IF('Private Enrollment'!E62=0,"NA",'Public PreK-12 Enrollment'!E66+'Private Enrollment'!E62)</f>
        <v>NA</v>
      </c>
      <c r="F62" s="342" t="str">
        <f>IF('Private Enrollment'!F62=0,"NA",'Public PreK-12 Enrollment'!F66+'Private Enrollment'!F62)</f>
        <v>NA</v>
      </c>
      <c r="G62" s="342" t="str">
        <f>IF('Private Enrollment'!G62=0,"NA",'Public PreK-12 Enrollment'!G66+'Private Enrollment'!G62)</f>
        <v>NA</v>
      </c>
      <c r="H62" s="342">
        <f>'Public PreK-12 Enrollment'!H66+'Private Enrollment'!H62</f>
        <v>115974</v>
      </c>
      <c r="I62" s="342" t="str">
        <f>IF('Private Enrollment'!I62=0,"NA",'Public PreK-12 Enrollment'!I66+'Private Enrollment'!I62)</f>
        <v>NA</v>
      </c>
      <c r="J62" s="342" t="str">
        <f>IF('Private Enrollment'!J62=0,"NA",'Public PreK-12 Enrollment'!J66+'Private Enrollment'!J62)</f>
        <v>NA</v>
      </c>
      <c r="K62" s="342">
        <f>'Public PreK-12 Enrollment'!K66+'Private Enrollment'!K62</f>
        <v>109772</v>
      </c>
      <c r="L62" s="342">
        <f>'Public PreK-12 Enrollment'!L66+'Private Enrollment'!L62</f>
        <v>106355.5</v>
      </c>
      <c r="M62" s="342">
        <f>'Public PreK-12 Enrollment'!M66+'Private Enrollment'!M62</f>
        <v>103370</v>
      </c>
      <c r="N62" s="342" t="str">
        <f>IF('Private Enrollment'!N62=0,"NA",'Public PreK-12 Enrollment'!N66+'Private Enrollment'!N62)</f>
        <v>NA</v>
      </c>
      <c r="O62" s="342" t="str">
        <f>IF('Private Enrollment'!O62=0,"NA",'Public PreK-12 Enrollment'!O66+'Private Enrollment'!O62)</f>
        <v>NA</v>
      </c>
      <c r="P62" s="342" t="str">
        <f>IF('Private Enrollment'!P62=0,"NA",'Public PreK-12 Enrollment'!P66+'Private Enrollment'!P62)</f>
        <v>NA</v>
      </c>
      <c r="Q62" s="342" t="str">
        <f>IF('Private Enrollment'!Q62=0,"NA",'Public PreK-12 Enrollment'!Q66+'Private Enrollment'!Q62)</f>
        <v>NA</v>
      </c>
      <c r="R62" s="342" t="str">
        <f>IF('Private Enrollment'!R62=0,"NA",'Public PreK-12 Enrollment'!R66+'Private Enrollment'!R62)</f>
        <v>NA</v>
      </c>
      <c r="S62" s="342" t="str">
        <f>IF('Private Enrollment'!S62=0,"NA",'Public PreK-12 Enrollment'!S66+'Private Enrollment'!S62)</f>
        <v>NA</v>
      </c>
      <c r="T62" s="342" t="str">
        <f>IF('Private Enrollment'!T62=0,"NA",'Public PreK-12 Enrollment'!T66+'Private Enrollment'!T62)</f>
        <v>NA</v>
      </c>
      <c r="U62" s="342" t="str">
        <f>IF('Private Enrollment'!U62=0,"NA",'Public PreK-12 Enrollment'!U66+'Private Enrollment'!U62)</f>
        <v>NA</v>
      </c>
      <c r="V62" s="342">
        <f>'Public PreK-12 Enrollment'!V66+'Private Enrollment'!V62</f>
        <v>102331</v>
      </c>
      <c r="W62" s="342">
        <f>'Public PreK-12 Enrollment'!W66+'Private Enrollment'!W62</f>
        <v>103713.5</v>
      </c>
      <c r="X62" s="342">
        <f>'Public PreK-12 Enrollment'!X66+'Private Enrollment'!X62</f>
        <v>105488</v>
      </c>
      <c r="Y62" s="342">
        <f>'Public PreK-12 Enrollment'!Y66+'Private Enrollment'!Y62</f>
        <v>107287</v>
      </c>
      <c r="Z62" s="342">
        <f>'Public PreK-12 Enrollment'!Z66+'Private Enrollment'!Z62</f>
        <v>111862</v>
      </c>
      <c r="AA62" s="342">
        <f>'Public PreK-12 Enrollment'!AA66+'Private Enrollment'!AA62</f>
        <v>113921</v>
      </c>
      <c r="AB62" s="342">
        <f>'Public PreK-12 Enrollment'!AB66+'Private Enrollment'!AB62</f>
        <v>115234</v>
      </c>
      <c r="AC62" s="342">
        <f>'Public PreK-12 Enrollment'!AC66+'Private Enrollment'!AC62</f>
        <v>117290.5</v>
      </c>
      <c r="AD62" s="342">
        <f>'Public PreK-12 Enrollment'!AD66+'Private Enrollment'!AD62</f>
        <v>118214</v>
      </c>
      <c r="AE62" s="342">
        <f>'Public PreK-12 Enrollment'!AE66+'Private Enrollment'!AE62</f>
        <v>118740</v>
      </c>
      <c r="AF62" s="342">
        <f>'Public PreK-12 Enrollment'!AF66+'Private Enrollment'!AF62</f>
        <v>119569</v>
      </c>
      <c r="AG62" s="342">
        <f>'Public PreK-12 Enrollment'!AG66+'Private Enrollment'!AG62</f>
        <v>116599</v>
      </c>
      <c r="AH62" s="342">
        <f>'Public PreK-12 Enrollment'!AH66+'Private Enrollment'!AH62</f>
        <v>115269</v>
      </c>
      <c r="AI62" s="342">
        <f>'Public PreK-12 Enrollment'!AI66+'Private Enrollment'!AI62</f>
        <v>113388</v>
      </c>
      <c r="AJ62" s="342">
        <f>'Public PreK-12 Enrollment'!AJ66+'Private Enrollment'!AJ62</f>
        <v>111833</v>
      </c>
      <c r="AK62" s="342">
        <f>'Public PreK-12 Enrollment'!AK66+'Private Enrollment'!AK62</f>
        <v>110482</v>
      </c>
      <c r="AL62" s="342">
        <f>'Public PreK-12 Enrollment'!AL66+'Private Enrollment'!AL62</f>
        <v>108168</v>
      </c>
      <c r="AM62" s="342">
        <f>'Public PreK-12 Enrollment'!AM66+'Private Enrollment'!AM62</f>
        <v>107464</v>
      </c>
      <c r="AN62" s="342">
        <f>'Public PreK-12 Enrollment'!AN66+'Private Enrollment'!AN62</f>
        <v>106638</v>
      </c>
      <c r="AO62" s="342">
        <f>'Public PreK-12 Enrollment'!AO66+'Private Enrollment'!AO62</f>
        <v>104696</v>
      </c>
      <c r="AP62" s="434">
        <f>'Public PreK-12 Enrollment'!AP66+'Private Enrollment'!AQ62</f>
        <v>101801</v>
      </c>
      <c r="AQ62" s="434">
        <f>'Public PreK-12 Enrollment'!AQ66+'Private Enrollment'!AR62</f>
        <v>106548</v>
      </c>
      <c r="AR62" s="434">
        <f>'Public PreK-12 Enrollment'!AR66+'Private Enrollment'!AS62</f>
        <v>98938</v>
      </c>
    </row>
    <row r="63" spans="1:44">
      <c r="A63" s="115" t="s">
        <v>171</v>
      </c>
      <c r="B63" s="343">
        <f>'Public PreK-12 Enrollment'!B67+'Private Enrollment'!B63</f>
        <v>171116</v>
      </c>
      <c r="C63" s="343">
        <f>'Public PreK-12 Enrollment'!C67+'Private Enrollment'!C63</f>
        <v>164292</v>
      </c>
      <c r="D63" s="343" t="str">
        <f>IF('Private Enrollment'!D63=0,"NA",'Public PreK-12 Enrollment'!D67+'Private Enrollment'!D63)</f>
        <v>NA</v>
      </c>
      <c r="E63" s="343" t="str">
        <f>IF('Private Enrollment'!E63=0,"NA",'Public PreK-12 Enrollment'!E67+'Private Enrollment'!E63)</f>
        <v>NA</v>
      </c>
      <c r="F63" s="343" t="str">
        <f>IF('Private Enrollment'!F63=0,"NA",'Public PreK-12 Enrollment'!F67+'Private Enrollment'!F63)</f>
        <v>NA</v>
      </c>
      <c r="G63" s="343" t="str">
        <f>IF('Private Enrollment'!G63=0,"NA",'Public PreK-12 Enrollment'!G67+'Private Enrollment'!G63)</f>
        <v>NA</v>
      </c>
      <c r="H63" s="343">
        <f>'Public PreK-12 Enrollment'!H67+'Private Enrollment'!H63</f>
        <v>150469</v>
      </c>
      <c r="I63" s="343" t="str">
        <f>IF('Private Enrollment'!I63=0,"NA",'Public PreK-12 Enrollment'!I67+'Private Enrollment'!I63)</f>
        <v>NA</v>
      </c>
      <c r="J63" s="343" t="str">
        <f>IF('Private Enrollment'!J63=0,"NA",'Public PreK-12 Enrollment'!J67+'Private Enrollment'!J63)</f>
        <v>NA</v>
      </c>
      <c r="K63" s="343">
        <f>'Public PreK-12 Enrollment'!K67+'Private Enrollment'!K63</f>
        <v>136107</v>
      </c>
      <c r="L63" s="343">
        <f>'Public PreK-12 Enrollment'!L67+'Private Enrollment'!L63</f>
        <v>127882</v>
      </c>
      <c r="M63" s="343">
        <f>'Public PreK-12 Enrollment'!M67+'Private Enrollment'!M63</f>
        <v>121252</v>
      </c>
      <c r="N63" s="343" t="str">
        <f>IF('Private Enrollment'!N63=0,"NA",'Public PreK-12 Enrollment'!N67+'Private Enrollment'!N63)</f>
        <v>NA</v>
      </c>
      <c r="O63" s="343" t="str">
        <f>IF('Private Enrollment'!O63=0,"NA",'Public PreK-12 Enrollment'!O67+'Private Enrollment'!O63)</f>
        <v>NA</v>
      </c>
      <c r="P63" s="343" t="str">
        <f>IF('Private Enrollment'!P63=0,"NA",'Public PreK-12 Enrollment'!P67+'Private Enrollment'!P63)</f>
        <v>NA</v>
      </c>
      <c r="Q63" s="343" t="str">
        <f>IF('Private Enrollment'!Q63=0,"NA",'Public PreK-12 Enrollment'!Q67+'Private Enrollment'!Q63)</f>
        <v>NA</v>
      </c>
      <c r="R63" s="343" t="str">
        <f>IF('Private Enrollment'!R63=0,"NA",'Public PreK-12 Enrollment'!R67+'Private Enrollment'!R63)</f>
        <v>NA</v>
      </c>
      <c r="S63" s="343" t="str">
        <f>IF('Private Enrollment'!S63=0,"NA",'Public PreK-12 Enrollment'!S67+'Private Enrollment'!S63)</f>
        <v>NA</v>
      </c>
      <c r="T63" s="343" t="str">
        <f>IF('Private Enrollment'!T63=0,"NA",'Public PreK-12 Enrollment'!T67+'Private Enrollment'!T63)</f>
        <v>NA</v>
      </c>
      <c r="U63" s="343" t="str">
        <f>IF('Private Enrollment'!U63=0,"NA",'Public PreK-12 Enrollment'!U67+'Private Enrollment'!U63)</f>
        <v>NA</v>
      </c>
      <c r="V63" s="343">
        <f>'Public PreK-12 Enrollment'!V67+'Private Enrollment'!V63</f>
        <v>105150</v>
      </c>
      <c r="W63" s="343">
        <f>'Public PreK-12 Enrollment'!W67+'Private Enrollment'!W63</f>
        <v>101506.5</v>
      </c>
      <c r="X63" s="343">
        <f>'Public PreK-12 Enrollment'!X67+'Private Enrollment'!X63</f>
        <v>98394</v>
      </c>
      <c r="Y63" s="343">
        <f>'Public PreK-12 Enrollment'!Y67+'Private Enrollment'!Y63</f>
        <v>97752</v>
      </c>
      <c r="Z63" s="343">
        <f>'Public PreK-12 Enrollment'!Z67+'Private Enrollment'!Z63</f>
        <v>96532</v>
      </c>
      <c r="AA63" s="343">
        <f>'Public PreK-12 Enrollment'!AA67+'Private Enrollment'!AA63</f>
        <v>97111</v>
      </c>
      <c r="AB63" s="343">
        <f>'Public PreK-12 Enrollment'!AB67+'Private Enrollment'!AB63</f>
        <v>97270</v>
      </c>
      <c r="AC63" s="343">
        <f>'Public PreK-12 Enrollment'!AC67+'Private Enrollment'!AC63</f>
        <v>96122</v>
      </c>
      <c r="AD63" s="343">
        <f>'Public PreK-12 Enrollment'!AD67+'Private Enrollment'!AD63</f>
        <v>94591</v>
      </c>
      <c r="AE63" s="343">
        <f>'Public PreK-12 Enrollment'!AE67+'Private Enrollment'!AE63</f>
        <v>89129</v>
      </c>
      <c r="AF63" s="343">
        <f>'Public PreK-12 Enrollment'!AF67+'Private Enrollment'!AF63</f>
        <v>94194</v>
      </c>
      <c r="AG63" s="343">
        <f>'Public PreK-12 Enrollment'!AG67+'Private Enrollment'!AG63</f>
        <v>94255</v>
      </c>
      <c r="AH63" s="343">
        <f>'Public PreK-12 Enrollment'!AH67+'Private Enrollment'!AH63</f>
        <v>109052</v>
      </c>
      <c r="AI63" s="343">
        <f>'Public PreK-12 Enrollment'!AI67+'Private Enrollment'!AI63</f>
        <v>104751</v>
      </c>
      <c r="AJ63" s="343">
        <f>'Public PreK-12 Enrollment'!AJ67+'Private Enrollment'!AJ63</f>
        <v>101567</v>
      </c>
      <c r="AK63" s="343">
        <f>'Public PreK-12 Enrollment'!AK67+'Private Enrollment'!AK63</f>
        <v>103384</v>
      </c>
      <c r="AL63" s="343">
        <f>'Public PreK-12 Enrollment'!AL67+'Private Enrollment'!AL63</f>
        <v>106706</v>
      </c>
      <c r="AM63" s="343">
        <f>'Public PreK-12 Enrollment'!AM67+'Private Enrollment'!AM63</f>
        <v>97585</v>
      </c>
      <c r="AN63" s="343">
        <f>'Public PreK-12 Enrollment'!AN67+'Private Enrollment'!AN63</f>
        <v>98062</v>
      </c>
      <c r="AO63" s="343">
        <f>'Public PreK-12 Enrollment'!AO67+'Private Enrollment'!AO63</f>
        <v>86334.5</v>
      </c>
      <c r="AP63" s="434">
        <f>'Public PreK-12 Enrollment'!AP67+'Private Enrollment'!AQ63</f>
        <v>87243</v>
      </c>
      <c r="AQ63" s="434">
        <f>'Public PreK-12 Enrollment'!AQ67+'Private Enrollment'!AR63</f>
        <v>88664</v>
      </c>
      <c r="AR63" s="434">
        <f>'Public PreK-12 Enrollment'!AR67+'Private Enrollment'!AS63</f>
        <v>90861</v>
      </c>
    </row>
    <row r="64" spans="1:44" ht="15">
      <c r="A64" s="11"/>
      <c r="AP64" s="430" t="s">
        <v>313</v>
      </c>
    </row>
    <row r="65" spans="1:44">
      <c r="A65" s="11"/>
      <c r="AR65" s="450">
        <v>41760</v>
      </c>
    </row>
    <row r="67" spans="1:44">
      <c r="A67" s="96"/>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80"/>
  </sheetPr>
  <dimension ref="A1:AT72"/>
  <sheetViews>
    <sheetView zoomScaleNormal="100" workbookViewId="0">
      <pane xSplit="1" ySplit="3" topLeftCell="V28" activePane="bottomRight" state="frozen"/>
      <selection pane="topRight" activeCell="B1" sqref="B1"/>
      <selection pane="bottomLeft" activeCell="A4" sqref="A4"/>
      <selection pane="bottomRight" activeCell="AI60" sqref="AI60"/>
    </sheetView>
  </sheetViews>
  <sheetFormatPr defaultRowHeight="12.75"/>
  <cols>
    <col min="1" max="1" width="19.7109375" style="1" customWidth="1"/>
    <col min="2" max="10" width="11" style="1" customWidth="1"/>
    <col min="11" max="16" width="11" style="11" customWidth="1"/>
    <col min="17" max="25" width="11" style="1" customWidth="1"/>
    <col min="26" max="29" width="11" style="11" customWidth="1"/>
    <col min="30" max="31" width="11" style="486" customWidth="1"/>
    <col min="32" max="43" width="8.5703125" style="11" customWidth="1"/>
    <col min="44" max="16384" width="9.140625" style="1"/>
  </cols>
  <sheetData>
    <row r="1" spans="1:46">
      <c r="A1" s="323" t="s">
        <v>303</v>
      </c>
      <c r="AR1" s="14"/>
    </row>
    <row r="2" spans="1:46">
      <c r="A2" s="344"/>
      <c r="B2" s="345" t="s">
        <v>276</v>
      </c>
      <c r="C2" s="347"/>
      <c r="D2" s="347"/>
      <c r="E2" s="347"/>
      <c r="F2" s="346"/>
      <c r="G2" s="347"/>
      <c r="H2" s="347"/>
      <c r="I2" s="347"/>
      <c r="J2" s="347"/>
      <c r="K2" s="347"/>
      <c r="L2" s="347"/>
      <c r="M2" s="347"/>
      <c r="N2" s="347"/>
      <c r="O2" s="347"/>
      <c r="P2" s="347"/>
      <c r="Q2" s="345" t="s">
        <v>277</v>
      </c>
      <c r="R2" s="347"/>
      <c r="S2" s="347"/>
      <c r="T2" s="347"/>
      <c r="U2" s="347"/>
      <c r="V2" s="347"/>
      <c r="W2" s="347"/>
      <c r="X2" s="347"/>
      <c r="Y2" s="347"/>
      <c r="Z2" s="347"/>
      <c r="AA2" s="347"/>
      <c r="AB2" s="347"/>
      <c r="AC2" s="347"/>
      <c r="AD2" s="487"/>
      <c r="AE2" s="487"/>
      <c r="AF2" s="345" t="s">
        <v>278</v>
      </c>
      <c r="AG2" s="347"/>
      <c r="AH2" s="347"/>
      <c r="AI2" s="347"/>
      <c r="AJ2" s="347"/>
      <c r="AK2" s="347"/>
      <c r="AL2" s="347"/>
      <c r="AM2" s="347"/>
      <c r="AN2" s="347"/>
      <c r="AO2" s="347"/>
      <c r="AP2" s="347"/>
      <c r="AQ2" s="347"/>
      <c r="AR2" s="14"/>
    </row>
    <row r="3" spans="1:46" s="60" customFormat="1">
      <c r="A3" s="348"/>
      <c r="B3" s="349" t="s">
        <v>279</v>
      </c>
      <c r="C3" s="451" t="s">
        <v>315</v>
      </c>
      <c r="D3" s="451" t="s">
        <v>316</v>
      </c>
      <c r="E3" s="451" t="s">
        <v>317</v>
      </c>
      <c r="F3" s="350" t="s">
        <v>280</v>
      </c>
      <c r="G3" s="351" t="s">
        <v>281</v>
      </c>
      <c r="H3" s="350" t="s">
        <v>282</v>
      </c>
      <c r="I3" s="351" t="s">
        <v>283</v>
      </c>
      <c r="J3" s="351" t="s">
        <v>284</v>
      </c>
      <c r="K3" s="351" t="s">
        <v>293</v>
      </c>
      <c r="L3" s="351" t="s">
        <v>299</v>
      </c>
      <c r="M3" s="351" t="s">
        <v>306</v>
      </c>
      <c r="N3" s="351" t="s">
        <v>325</v>
      </c>
      <c r="O3" s="493" t="s">
        <v>333</v>
      </c>
      <c r="P3" s="493" t="s">
        <v>341</v>
      </c>
      <c r="Q3" s="349" t="s">
        <v>279</v>
      </c>
      <c r="R3" s="451" t="s">
        <v>315</v>
      </c>
      <c r="S3" s="451" t="s">
        <v>316</v>
      </c>
      <c r="T3" s="451" t="s">
        <v>317</v>
      </c>
      <c r="U3" s="350" t="s">
        <v>280</v>
      </c>
      <c r="V3" s="351" t="s">
        <v>281</v>
      </c>
      <c r="W3" s="350" t="s">
        <v>282</v>
      </c>
      <c r="X3" s="351" t="s">
        <v>283</v>
      </c>
      <c r="Y3" s="351" t="s">
        <v>284</v>
      </c>
      <c r="Z3" s="351" t="s">
        <v>293</v>
      </c>
      <c r="AA3" s="351" t="s">
        <v>299</v>
      </c>
      <c r="AB3" s="351" t="s">
        <v>306</v>
      </c>
      <c r="AC3" s="351" t="s">
        <v>325</v>
      </c>
      <c r="AD3" s="494" t="s">
        <v>333</v>
      </c>
      <c r="AE3" s="494" t="s">
        <v>341</v>
      </c>
      <c r="AF3" s="349" t="s">
        <v>279</v>
      </c>
      <c r="AG3" s="414" t="s">
        <v>315</v>
      </c>
      <c r="AH3" s="414" t="s">
        <v>316</v>
      </c>
      <c r="AI3" s="414" t="s">
        <v>317</v>
      </c>
      <c r="AJ3" s="414" t="s">
        <v>280</v>
      </c>
      <c r="AK3" s="414" t="s">
        <v>281</v>
      </c>
      <c r="AL3" s="414" t="s">
        <v>282</v>
      </c>
      <c r="AM3" s="414" t="s">
        <v>283</v>
      </c>
      <c r="AN3" s="414" t="s">
        <v>284</v>
      </c>
      <c r="AO3" s="414" t="s">
        <v>293</v>
      </c>
      <c r="AP3" s="414" t="s">
        <v>299</v>
      </c>
      <c r="AQ3" s="414" t="s">
        <v>306</v>
      </c>
      <c r="AR3" s="60" t="s">
        <v>325</v>
      </c>
      <c r="AS3" s="494" t="s">
        <v>333</v>
      </c>
      <c r="AT3" s="494" t="s">
        <v>341</v>
      </c>
    </row>
    <row r="4" spans="1:46">
      <c r="A4" s="352" t="s">
        <v>243</v>
      </c>
      <c r="B4" s="353">
        <f>+B5+B7+B8+B9+B64</f>
        <v>46579068</v>
      </c>
      <c r="C4" s="452">
        <v>47671877</v>
      </c>
      <c r="D4" s="452">
        <v>48202324</v>
      </c>
      <c r="E4" s="354"/>
      <c r="F4" s="354">
        <f>+F5+F7+F8+F9+F64</f>
        <v>45083575</v>
      </c>
      <c r="G4" s="354">
        <f t="shared" ref="G4:AA4" si="0">+G5+G7+G8+G9+G64</f>
        <v>48403390</v>
      </c>
      <c r="H4" s="354">
        <f t="shared" si="0"/>
        <v>48357258</v>
      </c>
      <c r="I4" s="354">
        <f t="shared" si="0"/>
        <v>47772027.001801036</v>
      </c>
      <c r="J4" s="354">
        <f t="shared" si="0"/>
        <v>48168458</v>
      </c>
      <c r="K4" s="354">
        <f t="shared" si="0"/>
        <v>48663648</v>
      </c>
      <c r="L4" s="354">
        <f t="shared" si="0"/>
        <v>48941267</v>
      </c>
      <c r="M4" s="354">
        <f t="shared" ref="M4:N4" si="1">+M5+M7+M8+M9+M64</f>
        <v>48995812</v>
      </c>
      <c r="N4" s="354">
        <f t="shared" si="1"/>
        <v>49771118</v>
      </c>
      <c r="O4" s="354">
        <f>O5+O7+O8+O9+O64</f>
        <v>49709977</v>
      </c>
      <c r="P4" s="354">
        <f>P5+P7+P8+P9+P64</f>
        <v>50312581</v>
      </c>
      <c r="Q4" s="353">
        <f t="shared" si="0"/>
        <v>17839867</v>
      </c>
      <c r="R4" s="353">
        <f t="shared" ref="R4:S4" si="2">+R5+R7+R8+R9+R64</f>
        <v>17387784.330000002</v>
      </c>
      <c r="S4" s="353">
        <f t="shared" si="2"/>
        <v>17452191.090000004</v>
      </c>
      <c r="T4" s="353"/>
      <c r="U4" s="353">
        <f t="shared" si="0"/>
        <v>18166544</v>
      </c>
      <c r="V4" s="354">
        <f t="shared" si="0"/>
        <v>20333474</v>
      </c>
      <c r="W4" s="354">
        <f t="shared" si="0"/>
        <v>20486065</v>
      </c>
      <c r="X4" s="354">
        <f t="shared" si="0"/>
        <v>20522564</v>
      </c>
      <c r="Y4" s="354">
        <f t="shared" si="0"/>
        <v>21501568</v>
      </c>
      <c r="Z4" s="354">
        <f t="shared" si="0"/>
        <v>23095559.898460314</v>
      </c>
      <c r="AA4" s="354">
        <f t="shared" si="0"/>
        <v>23544479</v>
      </c>
      <c r="AB4" s="354">
        <f t="shared" ref="AB4:AD4" si="3">+AB5+AB7+AB8+AB9+AB64</f>
        <v>24291646.388883933</v>
      </c>
      <c r="AC4" s="354">
        <f t="shared" si="3"/>
        <v>24674101</v>
      </c>
      <c r="AD4" s="354">
        <f t="shared" si="3"/>
        <v>24971984</v>
      </c>
      <c r="AE4" s="354">
        <f t="shared" ref="AE4" si="4">+AE5+AE7+AE8+AE9+AE64</f>
        <v>25397451</v>
      </c>
      <c r="AF4" s="400">
        <f t="shared" ref="AF4:AH5" si="5">(Q4/B4)*100</f>
        <v>38.300180244052974</v>
      </c>
      <c r="AG4" s="400">
        <f t="shared" si="5"/>
        <v>36.473882347867281</v>
      </c>
      <c r="AH4" s="400">
        <f t="shared" si="5"/>
        <v>36.206119626099365</v>
      </c>
      <c r="AI4" s="400" t="e">
        <f>(T4/E4)*100</f>
        <v>#DIV/0!</v>
      </c>
      <c r="AJ4" s="400">
        <f t="shared" ref="AJ4:AJ5" si="6">(U4/F4)*100</f>
        <v>40.295260524481478</v>
      </c>
      <c r="AK4" s="415">
        <f t="shared" ref="AK4:AT5" si="7">(V4/G4)*100</f>
        <v>42.008367595740708</v>
      </c>
      <c r="AL4" s="415">
        <f t="shared" si="7"/>
        <v>42.363992184999404</v>
      </c>
      <c r="AM4" s="415">
        <f t="shared" si="7"/>
        <v>42.959374529421339</v>
      </c>
      <c r="AN4" s="415">
        <f t="shared" si="7"/>
        <v>44.638273452722942</v>
      </c>
      <c r="AO4" s="415">
        <f t="shared" si="7"/>
        <v>47.459573722176181</v>
      </c>
      <c r="AP4" s="415">
        <f t="shared" si="7"/>
        <v>48.107620507658702</v>
      </c>
      <c r="AQ4" s="415">
        <f t="shared" si="7"/>
        <v>49.57902603774366</v>
      </c>
      <c r="AR4" s="415">
        <f t="shared" si="7"/>
        <v>49.575139139932524</v>
      </c>
      <c r="AS4" s="415">
        <f t="shared" si="7"/>
        <v>50.235356174073466</v>
      </c>
      <c r="AT4" s="415">
        <f t="shared" si="7"/>
        <v>50.47932444570872</v>
      </c>
    </row>
    <row r="5" spans="1:46">
      <c r="A5" s="355" t="s">
        <v>108</v>
      </c>
      <c r="B5" s="356">
        <f>SUM(B11:B26)</f>
        <v>16708296</v>
      </c>
      <c r="C5" s="356">
        <f t="shared" ref="C5:D5" si="8">SUM(C11:C26)</f>
        <v>17161527</v>
      </c>
      <c r="D5" s="356">
        <f t="shared" si="8"/>
        <v>17396173</v>
      </c>
      <c r="E5" s="357"/>
      <c r="F5" s="357">
        <f t="shared" ref="F5:Y5" si="9">SUM(F11:F26)</f>
        <v>16092009</v>
      </c>
      <c r="G5" s="357">
        <f t="shared" si="9"/>
        <v>17857335</v>
      </c>
      <c r="H5" s="357">
        <f t="shared" si="9"/>
        <v>18049117</v>
      </c>
      <c r="I5" s="357">
        <f t="shared" si="9"/>
        <v>17818885</v>
      </c>
      <c r="J5" s="357">
        <f t="shared" si="9"/>
        <v>17963798</v>
      </c>
      <c r="K5" s="357">
        <f t="shared" ref="K5:L5" si="10">SUM(K11:K26)</f>
        <v>18477818</v>
      </c>
      <c r="L5" s="357">
        <f t="shared" si="10"/>
        <v>18675263</v>
      </c>
      <c r="M5" s="357">
        <f t="shared" ref="M5:N5" si="11">SUM(M11:M26)</f>
        <v>18779434</v>
      </c>
      <c r="N5" s="357">
        <f t="shared" si="11"/>
        <v>19052236</v>
      </c>
      <c r="O5" s="357">
        <f>SUM(O11:O26)</f>
        <v>19158797</v>
      </c>
      <c r="P5" s="357">
        <f>SUM(P11:P26)</f>
        <v>19425235</v>
      </c>
      <c r="Q5" s="356">
        <f t="shared" si="9"/>
        <v>7402186</v>
      </c>
      <c r="R5" s="356">
        <f t="shared" ref="R5:S5" si="12">SUM(R11:R26)</f>
        <v>7204777.5599999996</v>
      </c>
      <c r="S5" s="356">
        <f t="shared" si="12"/>
        <v>7503102.0900000008</v>
      </c>
      <c r="T5" s="357"/>
      <c r="U5" s="357">
        <f t="shared" si="9"/>
        <v>7639828</v>
      </c>
      <c r="V5" s="357">
        <f t="shared" si="9"/>
        <v>8506907</v>
      </c>
      <c r="W5" s="357">
        <f t="shared" si="9"/>
        <v>8589006</v>
      </c>
      <c r="X5" s="357">
        <f t="shared" si="9"/>
        <v>8539672</v>
      </c>
      <c r="Y5" s="357">
        <f t="shared" si="9"/>
        <v>8898191</v>
      </c>
      <c r="Z5" s="357">
        <f t="shared" ref="Z5:AA5" si="13">SUM(Z11:Z26)</f>
        <v>9650025</v>
      </c>
      <c r="AA5" s="357">
        <f t="shared" si="13"/>
        <v>9886218</v>
      </c>
      <c r="AB5" s="357">
        <f t="shared" ref="AB5:AC5" si="14">SUM(AB11:AB26)</f>
        <v>10186413</v>
      </c>
      <c r="AC5" s="357">
        <f t="shared" si="14"/>
        <v>10859036</v>
      </c>
      <c r="AD5" s="488">
        <f>SUM(AD11:AD26)</f>
        <v>10836508</v>
      </c>
      <c r="AE5" s="488">
        <f>SUM(AE11:AE26)</f>
        <v>11030460</v>
      </c>
      <c r="AF5" s="401">
        <f t="shared" si="5"/>
        <v>44.302459089783902</v>
      </c>
      <c r="AG5" s="401">
        <f t="shared" si="5"/>
        <v>41.982147392828153</v>
      </c>
      <c r="AH5" s="401">
        <f t="shared" si="5"/>
        <v>43.130762668317921</v>
      </c>
      <c r="AI5" s="401" t="e">
        <f t="shared" ref="AI5" si="15">(T5/E5)*100</f>
        <v>#DIV/0!</v>
      </c>
      <c r="AJ5" s="401">
        <f t="shared" si="6"/>
        <v>47.475911801938466</v>
      </c>
      <c r="AK5" s="416">
        <f t="shared" si="7"/>
        <v>47.638166613327243</v>
      </c>
      <c r="AL5" s="416">
        <f t="shared" si="7"/>
        <v>47.586848708443739</v>
      </c>
      <c r="AM5" s="416">
        <f t="shared" si="7"/>
        <v>47.924839292694237</v>
      </c>
      <c r="AN5" s="416">
        <f t="shared" si="7"/>
        <v>49.534018362931938</v>
      </c>
      <c r="AO5" s="416">
        <f t="shared" si="7"/>
        <v>52.224916383525368</v>
      </c>
      <c r="AP5" s="416">
        <f t="shared" si="7"/>
        <v>52.937503477193339</v>
      </c>
      <c r="AQ5" s="416">
        <f t="shared" si="7"/>
        <v>54.242385579884889</v>
      </c>
      <c r="AR5" s="416">
        <f t="shared" si="7"/>
        <v>56.996123709574029</v>
      </c>
      <c r="AS5" s="416">
        <f t="shared" si="7"/>
        <v>56.561526279546669</v>
      </c>
      <c r="AT5" s="416">
        <f t="shared" si="7"/>
        <v>56.784177900550489</v>
      </c>
    </row>
    <row r="6" spans="1:46">
      <c r="A6" s="290" t="s">
        <v>244</v>
      </c>
      <c r="B6" s="358"/>
      <c r="C6" s="359"/>
      <c r="D6" s="359"/>
      <c r="E6" s="359"/>
      <c r="F6" s="359"/>
      <c r="G6" s="359"/>
      <c r="H6" s="360"/>
      <c r="I6" s="359"/>
      <c r="J6" s="359"/>
      <c r="K6" s="359"/>
      <c r="L6" s="359"/>
      <c r="M6" s="359"/>
      <c r="N6" s="359"/>
      <c r="O6" s="359"/>
      <c r="P6" s="359"/>
      <c r="Q6" s="358"/>
      <c r="R6" s="358"/>
      <c r="S6" s="358"/>
      <c r="T6" s="359"/>
      <c r="U6" s="359"/>
      <c r="V6" s="359"/>
      <c r="W6" s="360"/>
      <c r="X6" s="359"/>
      <c r="Y6" s="359"/>
      <c r="Z6" s="359"/>
      <c r="AA6" s="359"/>
      <c r="AB6" s="359"/>
      <c r="AC6" s="359"/>
      <c r="AD6" s="361"/>
      <c r="AE6" s="361"/>
      <c r="AF6" s="402"/>
      <c r="AG6" s="402"/>
      <c r="AH6" s="402"/>
      <c r="AI6" s="402"/>
      <c r="AJ6" s="402"/>
      <c r="AK6" s="417"/>
      <c r="AL6" s="417"/>
      <c r="AM6" s="417"/>
      <c r="AN6" s="417"/>
      <c r="AO6" s="417"/>
      <c r="AP6" s="417"/>
      <c r="AQ6" s="417"/>
      <c r="AR6" s="417"/>
      <c r="AS6" s="416"/>
      <c r="AT6" s="416"/>
    </row>
    <row r="7" spans="1:46">
      <c r="A7" s="355" t="s">
        <v>245</v>
      </c>
      <c r="B7" s="356">
        <f t="shared" ref="B7:AA7" si="16">SUM(B28:B40)</f>
        <v>11045152</v>
      </c>
      <c r="C7" s="356">
        <f t="shared" si="16"/>
        <v>11439982</v>
      </c>
      <c r="D7" s="356">
        <f t="shared" si="16"/>
        <v>11598457</v>
      </c>
      <c r="E7" s="357"/>
      <c r="F7" s="357">
        <f t="shared" si="16"/>
        <v>11564135</v>
      </c>
      <c r="G7" s="357">
        <f t="shared" si="16"/>
        <v>11635772</v>
      </c>
      <c r="H7" s="357">
        <f t="shared" si="16"/>
        <v>11648261</v>
      </c>
      <c r="I7" s="357">
        <f t="shared" si="16"/>
        <v>11426061</v>
      </c>
      <c r="J7" s="357">
        <f t="shared" si="16"/>
        <v>11734427</v>
      </c>
      <c r="K7" s="357">
        <f t="shared" si="16"/>
        <v>11668915</v>
      </c>
      <c r="L7" s="357">
        <f t="shared" si="16"/>
        <v>11851433</v>
      </c>
      <c r="M7" s="357">
        <f t="shared" ref="M7:N7" si="17">SUM(M28:M40)</f>
        <v>11856048</v>
      </c>
      <c r="N7" s="357">
        <f t="shared" si="17"/>
        <v>12124384</v>
      </c>
      <c r="O7" s="357">
        <f>SUM(O28:O40)</f>
        <v>12066686</v>
      </c>
      <c r="P7" s="357">
        <f>SUM(P28:P40)</f>
        <v>12265993</v>
      </c>
      <c r="Q7" s="356">
        <f t="shared" si="16"/>
        <v>4495726</v>
      </c>
      <c r="R7" s="356">
        <f t="shared" ref="R7:S7" si="18">SUM(R28:R40)</f>
        <v>4326310.0999999996</v>
      </c>
      <c r="S7" s="356">
        <f t="shared" si="18"/>
        <v>4667311.3899999997</v>
      </c>
      <c r="T7" s="357"/>
      <c r="U7" s="357">
        <f t="shared" si="16"/>
        <v>5190286</v>
      </c>
      <c r="V7" s="357">
        <f t="shared" si="16"/>
        <v>5230256</v>
      </c>
      <c r="W7" s="357">
        <f t="shared" si="16"/>
        <v>5257023</v>
      </c>
      <c r="X7" s="357">
        <f t="shared" si="16"/>
        <v>5237673</v>
      </c>
      <c r="Y7" s="357">
        <f t="shared" si="16"/>
        <v>5579086</v>
      </c>
      <c r="Z7" s="357">
        <f t="shared" si="16"/>
        <v>5891563</v>
      </c>
      <c r="AA7" s="357">
        <f t="shared" si="16"/>
        <v>5873233</v>
      </c>
      <c r="AB7" s="357">
        <f t="shared" ref="AB7:AC7" si="19">SUM(AB28:AB40)</f>
        <v>6084948.7154098749</v>
      </c>
      <c r="AC7" s="357">
        <f t="shared" si="19"/>
        <v>5795678</v>
      </c>
      <c r="AD7" s="488">
        <f>SUM(AD28:AD40)</f>
        <v>5830843</v>
      </c>
      <c r="AE7" s="488">
        <f>SUM(AE28:AE40)</f>
        <v>5875708</v>
      </c>
      <c r="AF7" s="401">
        <f t="shared" ref="AF7:AH9" si="20">(Q7/B7)*100</f>
        <v>40.703160988640086</v>
      </c>
      <c r="AG7" s="401">
        <f t="shared" si="20"/>
        <v>37.817455482010374</v>
      </c>
      <c r="AH7" s="401">
        <f t="shared" si="20"/>
        <v>40.240795736881203</v>
      </c>
      <c r="AI7" s="401" t="e">
        <f t="shared" ref="AI7:AI9" si="21">(T7/E7)*100</f>
        <v>#DIV/0!</v>
      </c>
      <c r="AJ7" s="401">
        <f t="shared" ref="AJ7:AJ9" si="22">(U7/F7)*100</f>
        <v>44.882613355862759</v>
      </c>
      <c r="AK7" s="416">
        <f t="shared" ref="AK7:AQ8" si="23">(V7/G7)*100</f>
        <v>44.949797916287807</v>
      </c>
      <c r="AL7" s="416">
        <f t="shared" si="23"/>
        <v>45.131397725377205</v>
      </c>
      <c r="AM7" s="416">
        <f t="shared" si="23"/>
        <v>45.839708014861813</v>
      </c>
      <c r="AN7" s="416">
        <f t="shared" si="23"/>
        <v>47.544596766420725</v>
      </c>
      <c r="AO7" s="416">
        <f t="shared" si="23"/>
        <v>50.489381403498101</v>
      </c>
      <c r="AP7" s="416">
        <f t="shared" si="23"/>
        <v>49.557154818324499</v>
      </c>
      <c r="AQ7" s="416">
        <f t="shared" si="23"/>
        <v>51.323583671471937</v>
      </c>
      <c r="AR7" s="416">
        <f t="shared" ref="AR7:AR8" si="24">(AC7/N7)*100</f>
        <v>47.801834715891545</v>
      </c>
      <c r="AS7" s="416">
        <f t="shared" ref="AS7:AT9" si="25">(AD7/O7)*100</f>
        <v>48.321825893207134</v>
      </c>
      <c r="AT7" s="416">
        <f t="shared" si="25"/>
        <v>47.902424206503298</v>
      </c>
    </row>
    <row r="8" spans="1:46">
      <c r="A8" s="355" t="s">
        <v>246</v>
      </c>
      <c r="B8" s="356">
        <f t="shared" ref="B8:AA8" si="26">SUM(B42:B53)</f>
        <v>10578737</v>
      </c>
      <c r="C8" s="356">
        <f t="shared" si="26"/>
        <v>10744536</v>
      </c>
      <c r="D8" s="356">
        <f t="shared" si="26"/>
        <v>10834907</v>
      </c>
      <c r="E8" s="357"/>
      <c r="F8" s="357">
        <f t="shared" si="26"/>
        <v>10501357</v>
      </c>
      <c r="G8" s="357">
        <f t="shared" si="26"/>
        <v>10632609</v>
      </c>
      <c r="H8" s="357">
        <f t="shared" si="26"/>
        <v>10602760</v>
      </c>
      <c r="I8" s="357">
        <f t="shared" si="26"/>
        <v>10568137.001801034</v>
      </c>
      <c r="J8" s="357">
        <f t="shared" si="26"/>
        <v>10547037</v>
      </c>
      <c r="K8" s="357">
        <f t="shared" si="26"/>
        <v>10455671</v>
      </c>
      <c r="L8" s="357">
        <f t="shared" si="26"/>
        <v>10407640</v>
      </c>
      <c r="M8" s="357">
        <f t="shared" ref="M8:N8" si="27">SUM(M42:M53)</f>
        <v>10462816</v>
      </c>
      <c r="N8" s="357">
        <f t="shared" si="27"/>
        <v>10559230</v>
      </c>
      <c r="O8" s="357">
        <f>SUM(O42:O53)</f>
        <v>10492490</v>
      </c>
      <c r="P8" s="357">
        <f>SUM(P42:P53)</f>
        <v>10560539</v>
      </c>
      <c r="Q8" s="356">
        <f t="shared" si="26"/>
        <v>3240852</v>
      </c>
      <c r="R8" s="356">
        <f t="shared" ref="R8:S8" si="28">SUM(R42:R53)</f>
        <v>3280488.8700000006</v>
      </c>
      <c r="S8" s="356">
        <f t="shared" si="28"/>
        <v>3420929.37</v>
      </c>
      <c r="T8" s="357"/>
      <c r="U8" s="357">
        <f t="shared" si="26"/>
        <v>3659169</v>
      </c>
      <c r="V8" s="357">
        <f t="shared" si="26"/>
        <v>3738275</v>
      </c>
      <c r="W8" s="357">
        <f t="shared" si="26"/>
        <v>3822817</v>
      </c>
      <c r="X8" s="357">
        <f t="shared" si="26"/>
        <v>3899511</v>
      </c>
      <c r="Y8" s="357">
        <f t="shared" si="26"/>
        <v>4085495</v>
      </c>
      <c r="Z8" s="357">
        <f t="shared" si="26"/>
        <v>4441880</v>
      </c>
      <c r="AA8" s="357">
        <f t="shared" si="26"/>
        <v>4548373</v>
      </c>
      <c r="AB8" s="357">
        <f t="shared" ref="AB8:AC8" si="29">SUM(AB42:AB53)</f>
        <v>4725271</v>
      </c>
      <c r="AC8" s="357">
        <f t="shared" si="29"/>
        <v>4678365</v>
      </c>
      <c r="AD8" s="488">
        <f>SUM(AD42:AD53)</f>
        <v>4863413</v>
      </c>
      <c r="AE8" s="488">
        <f>SUM(AE42:AE53)</f>
        <v>4921354</v>
      </c>
      <c r="AF8" s="401">
        <f t="shared" si="20"/>
        <v>30.635528607999234</v>
      </c>
      <c r="AG8" s="401">
        <f t="shared" si="20"/>
        <v>30.531694155987754</v>
      </c>
      <c r="AH8" s="401">
        <f t="shared" si="20"/>
        <v>31.573223194255384</v>
      </c>
      <c r="AI8" s="401" t="e">
        <f t="shared" si="21"/>
        <v>#DIV/0!</v>
      </c>
      <c r="AJ8" s="401">
        <f t="shared" si="22"/>
        <v>34.844725305500994</v>
      </c>
      <c r="AK8" s="416">
        <f t="shared" si="23"/>
        <v>35.158586194601909</v>
      </c>
      <c r="AL8" s="416">
        <f t="shared" si="23"/>
        <v>36.054923435030126</v>
      </c>
      <c r="AM8" s="416">
        <f t="shared" si="23"/>
        <v>36.898755185851968</v>
      </c>
      <c r="AN8" s="416">
        <f t="shared" si="23"/>
        <v>38.735950200990096</v>
      </c>
      <c r="AO8" s="416">
        <f t="shared" si="23"/>
        <v>42.48297407215663</v>
      </c>
      <c r="AP8" s="416">
        <f t="shared" si="23"/>
        <v>43.702251422993108</v>
      </c>
      <c r="AQ8" s="416">
        <f t="shared" si="23"/>
        <v>45.162516477399585</v>
      </c>
      <c r="AR8" s="416">
        <f t="shared" si="24"/>
        <v>44.305929504329391</v>
      </c>
      <c r="AS8" s="416">
        <f t="shared" si="25"/>
        <v>46.351371314149453</v>
      </c>
      <c r="AT8" s="416">
        <f t="shared" si="25"/>
        <v>46.601352449908099</v>
      </c>
    </row>
    <row r="9" spans="1:46">
      <c r="A9" s="355" t="s">
        <v>247</v>
      </c>
      <c r="B9" s="356">
        <f t="shared" ref="B9:AA9" si="30">SUM(B55:B63)</f>
        <v>8178503</v>
      </c>
      <c r="C9" s="356">
        <f t="shared" si="30"/>
        <v>8250440</v>
      </c>
      <c r="D9" s="356">
        <f t="shared" si="30"/>
        <v>8296621</v>
      </c>
      <c r="E9" s="357"/>
      <c r="F9" s="357">
        <f t="shared" si="30"/>
        <v>6849604</v>
      </c>
      <c r="G9" s="357">
        <f t="shared" si="30"/>
        <v>8211176</v>
      </c>
      <c r="H9" s="357">
        <f t="shared" si="30"/>
        <v>7995198</v>
      </c>
      <c r="I9" s="357">
        <f t="shared" si="30"/>
        <v>7897760</v>
      </c>
      <c r="J9" s="357">
        <f t="shared" si="30"/>
        <v>7856685</v>
      </c>
      <c r="K9" s="357">
        <f t="shared" si="30"/>
        <v>7994395</v>
      </c>
      <c r="L9" s="357">
        <f t="shared" si="30"/>
        <v>7935668</v>
      </c>
      <c r="M9" s="357">
        <f t="shared" ref="M9:N9" si="31">SUM(M55:M63)</f>
        <v>7825185</v>
      </c>
      <c r="N9" s="357">
        <f t="shared" si="31"/>
        <v>7959128</v>
      </c>
      <c r="O9" s="357">
        <f>SUM(O55:O63)</f>
        <v>7913851</v>
      </c>
      <c r="P9" s="357">
        <f>SUM(P55:P63)</f>
        <v>7979856</v>
      </c>
      <c r="Q9" s="356">
        <f t="shared" si="30"/>
        <v>2653264</v>
      </c>
      <c r="R9" s="356">
        <f t="shared" si="30"/>
        <v>2534742.2000000002</v>
      </c>
      <c r="S9" s="356">
        <f t="shared" si="30"/>
        <v>1813625.32</v>
      </c>
      <c r="T9" s="357"/>
      <c r="U9" s="357">
        <f t="shared" si="30"/>
        <v>1626806</v>
      </c>
      <c r="V9" s="357">
        <f t="shared" si="30"/>
        <v>2816986</v>
      </c>
      <c r="W9" s="357">
        <f t="shared" si="30"/>
        <v>2778794</v>
      </c>
      <c r="X9" s="357">
        <f t="shared" si="30"/>
        <v>2807399</v>
      </c>
      <c r="Y9" s="357">
        <f t="shared" si="30"/>
        <v>2892694</v>
      </c>
      <c r="Z9" s="357">
        <f t="shared" si="30"/>
        <v>3063761.8984603132</v>
      </c>
      <c r="AA9" s="357">
        <f t="shared" si="30"/>
        <v>3184628</v>
      </c>
      <c r="AB9" s="357">
        <f t="shared" ref="AB9:AC9" si="32">SUM(AB55:AB63)</f>
        <v>3249814.6734740594</v>
      </c>
      <c r="AC9" s="357">
        <f t="shared" si="32"/>
        <v>3294606</v>
      </c>
      <c r="AD9" s="488">
        <f>SUM(AD55:AD63)</f>
        <v>3363715</v>
      </c>
      <c r="AE9" s="488">
        <f>SUM(AE55:AE63)</f>
        <v>3495070</v>
      </c>
      <c r="AF9" s="401">
        <f t="shared" si="20"/>
        <v>32.441927330710769</v>
      </c>
      <c r="AG9" s="401">
        <f t="shared" si="20"/>
        <v>30.722509344956151</v>
      </c>
      <c r="AH9" s="401">
        <f t="shared" si="20"/>
        <v>21.859806781580115</v>
      </c>
      <c r="AI9" s="401" t="e">
        <f t="shared" si="21"/>
        <v>#DIV/0!</v>
      </c>
      <c r="AJ9" s="401">
        <f t="shared" si="22"/>
        <v>23.750365714572695</v>
      </c>
      <c r="AK9" s="416">
        <f t="shared" ref="AK9:AR9" si="33">(V9/G9)*100</f>
        <v>34.306730241807024</v>
      </c>
      <c r="AL9" s="416">
        <f t="shared" si="33"/>
        <v>34.755787161243532</v>
      </c>
      <c r="AM9" s="416">
        <f t="shared" si="33"/>
        <v>35.546775288182978</v>
      </c>
      <c r="AN9" s="416">
        <f t="shared" si="33"/>
        <v>36.818250954441986</v>
      </c>
      <c r="AO9" s="416">
        <f t="shared" si="33"/>
        <v>38.323874395252091</v>
      </c>
      <c r="AP9" s="416">
        <f t="shared" si="33"/>
        <v>40.130559897415061</v>
      </c>
      <c r="AQ9" s="416">
        <f t="shared" si="33"/>
        <v>41.530196071710243</v>
      </c>
      <c r="AR9" s="416">
        <f t="shared" si="33"/>
        <v>41.394057238431145</v>
      </c>
      <c r="AS9" s="416">
        <f t="shared" si="25"/>
        <v>42.504148738711407</v>
      </c>
      <c r="AT9" s="416">
        <f t="shared" si="25"/>
        <v>43.798660025945331</v>
      </c>
    </row>
    <row r="10" spans="1:46">
      <c r="A10" s="355"/>
      <c r="B10" s="356"/>
      <c r="C10" s="357"/>
      <c r="D10" s="357"/>
      <c r="E10" s="357"/>
      <c r="F10" s="357"/>
      <c r="G10" s="357"/>
      <c r="H10" s="357"/>
      <c r="I10" s="357"/>
      <c r="J10" s="357"/>
      <c r="K10" s="357"/>
      <c r="L10" s="357"/>
      <c r="M10" s="357"/>
      <c r="N10" s="357"/>
      <c r="O10" s="357"/>
      <c r="P10" s="357"/>
      <c r="Q10" s="356"/>
      <c r="R10" s="357"/>
      <c r="S10" s="357"/>
      <c r="T10" s="357"/>
      <c r="U10" s="357"/>
      <c r="V10" s="357"/>
      <c r="W10" s="357"/>
      <c r="X10" s="357"/>
      <c r="Y10" s="357"/>
      <c r="Z10" s="357"/>
      <c r="AA10" s="357"/>
      <c r="AB10" s="357"/>
      <c r="AC10" s="357"/>
      <c r="AD10" s="488"/>
      <c r="AE10" s="488"/>
      <c r="AF10" s="401"/>
      <c r="AG10" s="416"/>
      <c r="AH10" s="416"/>
      <c r="AI10" s="416"/>
      <c r="AJ10" s="416"/>
      <c r="AK10" s="416"/>
      <c r="AL10" s="416"/>
      <c r="AM10" s="416"/>
      <c r="AN10" s="416"/>
      <c r="AO10" s="416"/>
      <c r="AP10" s="416"/>
      <c r="AQ10" s="416"/>
      <c r="AS10" s="416"/>
      <c r="AT10" s="416"/>
    </row>
    <row r="11" spans="1:46">
      <c r="A11" s="355" t="s">
        <v>85</v>
      </c>
      <c r="B11" s="358">
        <v>728351</v>
      </c>
      <c r="C11" s="359">
        <v>737190</v>
      </c>
      <c r="D11" s="359">
        <v>739678</v>
      </c>
      <c r="E11" s="359"/>
      <c r="F11" s="359">
        <v>721205</v>
      </c>
      <c r="G11" s="359">
        <v>741544</v>
      </c>
      <c r="H11" s="360">
        <v>743469</v>
      </c>
      <c r="I11" s="359">
        <v>738382</v>
      </c>
      <c r="J11" s="359">
        <v>742997</v>
      </c>
      <c r="K11" s="359">
        <v>748836</v>
      </c>
      <c r="L11" s="359">
        <v>730427</v>
      </c>
      <c r="M11" s="359">
        <v>731556</v>
      </c>
      <c r="N11" s="359">
        <v>744637</v>
      </c>
      <c r="O11" s="359">
        <v>743018</v>
      </c>
      <c r="P11" s="359">
        <v>744164</v>
      </c>
      <c r="Q11" s="358">
        <v>335143</v>
      </c>
      <c r="R11" s="455">
        <f t="shared" ref="R11:R22" si="34">(C11*AG11)/100</f>
        <v>361223.1</v>
      </c>
      <c r="S11" s="455">
        <f t="shared" ref="S11:S22" si="35">(D11*AH11)/100</f>
        <v>369839</v>
      </c>
      <c r="T11" s="359"/>
      <c r="U11" s="359">
        <v>376494</v>
      </c>
      <c r="V11" s="359">
        <v>383219</v>
      </c>
      <c r="W11" s="360">
        <v>379537</v>
      </c>
      <c r="X11" s="359">
        <v>377454</v>
      </c>
      <c r="Y11" s="359">
        <v>389252</v>
      </c>
      <c r="Z11" s="359">
        <v>411067</v>
      </c>
      <c r="AA11" s="359">
        <v>402386</v>
      </c>
      <c r="AB11" s="359">
        <v>420447</v>
      </c>
      <c r="AC11" s="1">
        <v>429604</v>
      </c>
      <c r="AD11" s="361">
        <v>434095</v>
      </c>
      <c r="AE11" s="361">
        <v>384985</v>
      </c>
      <c r="AF11" s="402">
        <v>46.01394108060537</v>
      </c>
      <c r="AG11" s="438">
        <v>49</v>
      </c>
      <c r="AH11" s="438">
        <v>50</v>
      </c>
      <c r="AI11" s="438">
        <v>51</v>
      </c>
      <c r="AJ11" s="417">
        <v>52.203465034213572</v>
      </c>
      <c r="AK11" s="417">
        <v>51.678524807698537</v>
      </c>
      <c r="AL11" s="417">
        <v>51.049472136699713</v>
      </c>
      <c r="AM11" s="417">
        <v>51.119068449664262</v>
      </c>
      <c r="AN11" s="417">
        <v>52.38944437191536</v>
      </c>
      <c r="AO11" s="417">
        <v>54.89412902157482</v>
      </c>
      <c r="AP11" s="417">
        <v>55.089146485548866</v>
      </c>
      <c r="AQ11" s="417">
        <v>57.472975411315062</v>
      </c>
      <c r="AR11" s="416">
        <f t="shared" ref="AR11:AR25" si="36">(AC11/N11)*100</f>
        <v>57.693077298066044</v>
      </c>
      <c r="AS11" s="416">
        <f t="shared" ref="AS11:AT25" si="37">(AD11/O11)*100</f>
        <v>58.423214511626909</v>
      </c>
      <c r="AT11" s="416">
        <f t="shared" si="37"/>
        <v>51.733891991550252</v>
      </c>
    </row>
    <row r="12" spans="1:46">
      <c r="A12" s="355" t="s">
        <v>86</v>
      </c>
      <c r="B12" s="358">
        <v>449959</v>
      </c>
      <c r="C12" s="359">
        <v>449805</v>
      </c>
      <c r="D12" s="359">
        <v>450985</v>
      </c>
      <c r="E12" s="359"/>
      <c r="F12" s="359">
        <v>463121</v>
      </c>
      <c r="G12" s="359">
        <v>474206</v>
      </c>
      <c r="H12" s="360">
        <v>476132</v>
      </c>
      <c r="I12" s="359">
        <v>479016</v>
      </c>
      <c r="J12" s="359">
        <v>478965</v>
      </c>
      <c r="K12" s="359">
        <v>480060</v>
      </c>
      <c r="L12" s="359">
        <v>482114</v>
      </c>
      <c r="M12" s="359">
        <v>483114</v>
      </c>
      <c r="N12" s="359">
        <v>486157</v>
      </c>
      <c r="O12" s="359">
        <v>489979</v>
      </c>
      <c r="P12" s="359">
        <v>490917</v>
      </c>
      <c r="Q12" s="358">
        <v>205058</v>
      </c>
      <c r="R12" s="455">
        <f t="shared" si="34"/>
        <v>211408.35</v>
      </c>
      <c r="S12" s="455">
        <f t="shared" si="35"/>
        <v>216472.8</v>
      </c>
      <c r="T12" s="359"/>
      <c r="U12" s="359">
        <v>240352</v>
      </c>
      <c r="V12" s="359">
        <v>250641</v>
      </c>
      <c r="W12" s="360">
        <v>279400</v>
      </c>
      <c r="X12" s="359">
        <v>269355</v>
      </c>
      <c r="Y12" s="359">
        <v>273549</v>
      </c>
      <c r="Z12" s="359">
        <v>286477</v>
      </c>
      <c r="AA12" s="359">
        <v>291608</v>
      </c>
      <c r="AB12" s="359">
        <v>294324</v>
      </c>
      <c r="AC12" s="1">
        <v>298573</v>
      </c>
      <c r="AD12" s="361">
        <v>300050</v>
      </c>
      <c r="AE12" s="361">
        <v>305657</v>
      </c>
      <c r="AF12" s="402">
        <v>45.572596614358197</v>
      </c>
      <c r="AG12" s="438">
        <v>47</v>
      </c>
      <c r="AH12" s="438">
        <v>48</v>
      </c>
      <c r="AI12" s="438">
        <v>50</v>
      </c>
      <c r="AJ12" s="417">
        <v>51.898315990853362</v>
      </c>
      <c r="AK12" s="417">
        <v>52.854877416144042</v>
      </c>
      <c r="AL12" s="417">
        <v>58.6812060521032</v>
      </c>
      <c r="AM12" s="417">
        <v>56.23089834160028</v>
      </c>
      <c r="AN12" s="417">
        <v>57.112523879615416</v>
      </c>
      <c r="AO12" s="417">
        <v>59.675248927217424</v>
      </c>
      <c r="AP12" s="417">
        <v>60.485279415242047</v>
      </c>
      <c r="AQ12" s="417">
        <v>60.922266794172806</v>
      </c>
      <c r="AR12" s="416">
        <f t="shared" si="36"/>
        <v>61.414933858815161</v>
      </c>
      <c r="AS12" s="416">
        <f t="shared" si="37"/>
        <v>61.237318334051047</v>
      </c>
      <c r="AT12" s="416">
        <f t="shared" si="37"/>
        <v>62.262459845554339</v>
      </c>
    </row>
    <row r="13" spans="1:46">
      <c r="A13" s="355" t="s">
        <v>106</v>
      </c>
      <c r="B13" s="358">
        <v>114676</v>
      </c>
      <c r="C13" s="359">
        <v>115560</v>
      </c>
      <c r="D13" s="359">
        <v>116342</v>
      </c>
      <c r="E13" s="359"/>
      <c r="F13" s="359">
        <v>119091</v>
      </c>
      <c r="G13" s="359">
        <v>120937</v>
      </c>
      <c r="H13" s="360">
        <v>121886</v>
      </c>
      <c r="I13" s="359">
        <v>119256</v>
      </c>
      <c r="J13" s="359">
        <v>122622</v>
      </c>
      <c r="K13" s="359">
        <v>124809</v>
      </c>
      <c r="L13" s="359">
        <v>128342</v>
      </c>
      <c r="M13" s="359">
        <v>128470</v>
      </c>
      <c r="N13" s="359">
        <v>129026</v>
      </c>
      <c r="O13" s="359">
        <v>131539</v>
      </c>
      <c r="P13" s="359">
        <v>134042</v>
      </c>
      <c r="Q13" s="358">
        <v>37766</v>
      </c>
      <c r="R13" s="455">
        <f t="shared" si="34"/>
        <v>40446</v>
      </c>
      <c r="S13" s="455">
        <f t="shared" si="35"/>
        <v>41883.120000000003</v>
      </c>
      <c r="T13" s="359"/>
      <c r="U13" s="359">
        <v>42411</v>
      </c>
      <c r="V13" s="359">
        <v>43682</v>
      </c>
      <c r="W13" s="360">
        <v>45163</v>
      </c>
      <c r="X13" s="359">
        <v>44185</v>
      </c>
      <c r="Y13" s="359">
        <v>48982</v>
      </c>
      <c r="Z13" s="359">
        <v>58375</v>
      </c>
      <c r="AA13" s="359">
        <v>61564</v>
      </c>
      <c r="AB13" s="359">
        <v>62774</v>
      </c>
      <c r="AC13" s="1">
        <v>66413</v>
      </c>
      <c r="AD13" s="361">
        <v>51939</v>
      </c>
      <c r="AE13" s="361">
        <v>49598</v>
      </c>
      <c r="AF13" s="402">
        <v>32.932784540793193</v>
      </c>
      <c r="AG13" s="438">
        <v>35</v>
      </c>
      <c r="AH13" s="438">
        <v>36</v>
      </c>
      <c r="AI13" s="438">
        <v>34</v>
      </c>
      <c r="AJ13" s="417">
        <v>35.612262891402374</v>
      </c>
      <c r="AK13" s="417">
        <v>36.119632535948469</v>
      </c>
      <c r="AL13" s="417">
        <v>37.053476199071262</v>
      </c>
      <c r="AM13" s="417">
        <v>37.050546723016033</v>
      </c>
      <c r="AN13" s="417">
        <v>39.945523641760857</v>
      </c>
      <c r="AO13" s="417">
        <v>46.771466801272346</v>
      </c>
      <c r="AP13" s="417">
        <v>47.968708606691493</v>
      </c>
      <c r="AQ13" s="417">
        <v>48.862769518175448</v>
      </c>
      <c r="AR13" s="416">
        <f t="shared" si="36"/>
        <v>51.472571419713852</v>
      </c>
      <c r="AS13" s="416">
        <f t="shared" si="37"/>
        <v>39.485627836611201</v>
      </c>
      <c r="AT13" s="416">
        <f t="shared" si="37"/>
        <v>37.00183524566927</v>
      </c>
    </row>
    <row r="14" spans="1:46">
      <c r="A14" s="355" t="s">
        <v>87</v>
      </c>
      <c r="B14" s="358">
        <v>2434755</v>
      </c>
      <c r="C14" s="359">
        <v>2500478</v>
      </c>
      <c r="D14" s="359">
        <v>2539929</v>
      </c>
      <c r="E14" s="359"/>
      <c r="F14" s="359">
        <v>2639304</v>
      </c>
      <c r="G14" s="359">
        <v>2674998</v>
      </c>
      <c r="H14" s="360">
        <v>2670482</v>
      </c>
      <c r="I14" s="359">
        <v>2666811</v>
      </c>
      <c r="J14" s="359">
        <v>2631020</v>
      </c>
      <c r="K14" s="359">
        <v>2634321</v>
      </c>
      <c r="L14" s="359">
        <v>2641555</v>
      </c>
      <c r="M14" s="359">
        <v>2668037</v>
      </c>
      <c r="N14" s="359">
        <v>2692162</v>
      </c>
      <c r="O14" s="359">
        <v>2720739</v>
      </c>
      <c r="P14" s="359">
        <v>2756944</v>
      </c>
      <c r="Q14" s="358">
        <v>1079009</v>
      </c>
      <c r="R14" s="455">
        <f t="shared" si="34"/>
        <v>1125215.1000000001</v>
      </c>
      <c r="S14" s="455">
        <f t="shared" si="35"/>
        <v>1142968.05</v>
      </c>
      <c r="T14" s="359"/>
      <c r="U14" s="359">
        <v>1249976</v>
      </c>
      <c r="V14" s="359">
        <v>1224228</v>
      </c>
      <c r="W14" s="360">
        <v>1207511</v>
      </c>
      <c r="X14" s="359">
        <v>1215459</v>
      </c>
      <c r="Y14" s="359">
        <v>1304324</v>
      </c>
      <c r="Z14" s="359">
        <v>1408541</v>
      </c>
      <c r="AA14" s="359">
        <v>1479519</v>
      </c>
      <c r="AB14" s="359">
        <v>1535670</v>
      </c>
      <c r="AC14" s="1">
        <v>1576379</v>
      </c>
      <c r="AD14" s="361">
        <v>1589861</v>
      </c>
      <c r="AE14" s="361">
        <v>1609459</v>
      </c>
      <c r="AF14" s="402">
        <v>44.316943593913969</v>
      </c>
      <c r="AG14" s="438">
        <v>45</v>
      </c>
      <c r="AH14" s="438">
        <v>45</v>
      </c>
      <c r="AI14" s="438">
        <v>46</v>
      </c>
      <c r="AJ14" s="417">
        <v>47.360061591995468</v>
      </c>
      <c r="AK14" s="417">
        <v>45.765566927526677</v>
      </c>
      <c r="AL14" s="417">
        <v>45.216968322572484</v>
      </c>
      <c r="AM14" s="417">
        <v>45.57724563158019</v>
      </c>
      <c r="AN14" s="417">
        <v>49.574841696376311</v>
      </c>
      <c r="AO14" s="417">
        <v>53.468844533373115</v>
      </c>
      <c r="AP14" s="417">
        <v>56.009395980776475</v>
      </c>
      <c r="AQ14" s="417">
        <v>57.558047358413702</v>
      </c>
      <c r="AR14" s="416">
        <f t="shared" si="36"/>
        <v>58.554388628916087</v>
      </c>
      <c r="AS14" s="416">
        <f t="shared" si="37"/>
        <v>58.434895813233098</v>
      </c>
      <c r="AT14" s="416">
        <f t="shared" si="37"/>
        <v>58.378371123969153</v>
      </c>
    </row>
    <row r="15" spans="1:46">
      <c r="A15" s="355" t="s">
        <v>88</v>
      </c>
      <c r="B15" s="358">
        <v>1444937</v>
      </c>
      <c r="C15" s="359">
        <v>1470634</v>
      </c>
      <c r="D15" s="359">
        <v>1496012</v>
      </c>
      <c r="E15" s="359"/>
      <c r="F15" s="359">
        <v>1553435</v>
      </c>
      <c r="G15" s="359">
        <v>1598461</v>
      </c>
      <c r="H15" s="360">
        <v>1628309</v>
      </c>
      <c r="I15" s="359">
        <v>1649589</v>
      </c>
      <c r="J15" s="359">
        <v>1655792</v>
      </c>
      <c r="K15" s="359">
        <v>1667685</v>
      </c>
      <c r="L15" s="359">
        <v>1676419</v>
      </c>
      <c r="M15" s="359">
        <v>1682447</v>
      </c>
      <c r="N15" s="359">
        <v>1703332</v>
      </c>
      <c r="O15" s="359">
        <v>1723909</v>
      </c>
      <c r="P15" s="359">
        <v>1744437</v>
      </c>
      <c r="Q15" s="358">
        <v>624511</v>
      </c>
      <c r="R15" s="455">
        <f t="shared" si="34"/>
        <v>647078.96</v>
      </c>
      <c r="S15" s="455">
        <f t="shared" si="35"/>
        <v>673205.4</v>
      </c>
      <c r="T15" s="359"/>
      <c r="U15" s="359">
        <v>743797</v>
      </c>
      <c r="V15" s="359">
        <v>795394</v>
      </c>
      <c r="W15" s="360">
        <v>819824</v>
      </c>
      <c r="X15" s="359">
        <v>840921</v>
      </c>
      <c r="Y15" s="359">
        <v>877701</v>
      </c>
      <c r="Z15" s="359">
        <v>934899</v>
      </c>
      <c r="AA15" s="359">
        <v>961954</v>
      </c>
      <c r="AB15" s="359">
        <v>986865</v>
      </c>
      <c r="AC15" s="1">
        <v>1017193</v>
      </c>
      <c r="AD15" s="361">
        <v>1070855</v>
      </c>
      <c r="AE15" s="361">
        <v>1088688</v>
      </c>
      <c r="AF15" s="402">
        <v>43.220638685285238</v>
      </c>
      <c r="AG15" s="438">
        <v>44</v>
      </c>
      <c r="AH15" s="438">
        <v>45</v>
      </c>
      <c r="AI15" s="438">
        <v>46</v>
      </c>
      <c r="AJ15" s="417">
        <v>47.880793209886477</v>
      </c>
      <c r="AK15" s="417">
        <v>49.759987888350103</v>
      </c>
      <c r="AL15" s="417">
        <v>50.34818329936148</v>
      </c>
      <c r="AM15" s="417">
        <v>50.977607149417217</v>
      </c>
      <c r="AN15" s="417">
        <v>53.007926116323787</v>
      </c>
      <c r="AO15" s="417">
        <v>56.059687530918609</v>
      </c>
      <c r="AP15" s="417">
        <v>57.381478019516599</v>
      </c>
      <c r="AQ15" s="417">
        <v>58.656528259136842</v>
      </c>
      <c r="AR15" s="416">
        <f t="shared" si="36"/>
        <v>59.717835395565864</v>
      </c>
      <c r="AS15" s="416">
        <f t="shared" si="37"/>
        <v>62.117838006530512</v>
      </c>
      <c r="AT15" s="416">
        <f t="shared" si="37"/>
        <v>62.409132574005255</v>
      </c>
    </row>
    <row r="16" spans="1:46">
      <c r="A16" s="355" t="s">
        <v>89</v>
      </c>
      <c r="B16" s="358">
        <v>626723</v>
      </c>
      <c r="C16" s="359">
        <v>654363</v>
      </c>
      <c r="D16" s="359">
        <v>660782</v>
      </c>
      <c r="E16" s="359"/>
      <c r="F16" s="361" t="s">
        <v>285</v>
      </c>
      <c r="G16" s="359">
        <v>641682</v>
      </c>
      <c r="H16" s="360">
        <v>646461</v>
      </c>
      <c r="I16" s="359">
        <v>665066</v>
      </c>
      <c r="J16" s="359">
        <v>660419</v>
      </c>
      <c r="K16" s="359">
        <v>674953</v>
      </c>
      <c r="L16" s="359">
        <v>673128</v>
      </c>
      <c r="M16" s="359">
        <v>677628</v>
      </c>
      <c r="N16" s="359">
        <v>685167</v>
      </c>
      <c r="O16" s="359">
        <v>675587</v>
      </c>
      <c r="P16" s="359">
        <v>688640</v>
      </c>
      <c r="Q16" s="358">
        <v>298334</v>
      </c>
      <c r="R16" s="455">
        <f t="shared" si="34"/>
        <v>320637.87</v>
      </c>
      <c r="S16" s="455">
        <f t="shared" si="35"/>
        <v>455939.58</v>
      </c>
      <c r="T16" s="359"/>
      <c r="U16" s="361" t="s">
        <v>285</v>
      </c>
      <c r="V16" s="359">
        <v>336287</v>
      </c>
      <c r="W16" s="360">
        <v>331361</v>
      </c>
      <c r="X16" s="359">
        <v>340413</v>
      </c>
      <c r="Y16" s="359">
        <v>345926</v>
      </c>
      <c r="Z16" s="359">
        <v>370264</v>
      </c>
      <c r="AA16" s="359">
        <v>380773</v>
      </c>
      <c r="AB16" s="359">
        <v>368355</v>
      </c>
      <c r="AC16" s="1">
        <v>373837</v>
      </c>
      <c r="AD16" s="361">
        <v>368159</v>
      </c>
      <c r="AE16" s="361">
        <v>391714</v>
      </c>
      <c r="AF16" s="402">
        <v>47.60221022684663</v>
      </c>
      <c r="AG16" s="438">
        <v>49</v>
      </c>
      <c r="AH16" s="438">
        <v>69</v>
      </c>
      <c r="AI16" s="439" t="s">
        <v>318</v>
      </c>
      <c r="AJ16" s="419" t="s">
        <v>318</v>
      </c>
      <c r="AK16" s="417">
        <v>52.407111310586863</v>
      </c>
      <c r="AL16" s="417">
        <v>51.257693812929162</v>
      </c>
      <c r="AM16" s="417">
        <v>51.184844812394559</v>
      </c>
      <c r="AN16" s="417">
        <v>52.379777080913783</v>
      </c>
      <c r="AO16" s="417">
        <v>54.857745650437884</v>
      </c>
      <c r="AP16" s="417">
        <v>56.567695891420357</v>
      </c>
      <c r="AQ16" s="417">
        <v>54.359471568471193</v>
      </c>
      <c r="AR16" s="416">
        <f t="shared" si="36"/>
        <v>54.561442684776118</v>
      </c>
      <c r="AS16" s="416">
        <f t="shared" si="37"/>
        <v>54.494683882312714</v>
      </c>
      <c r="AT16" s="416">
        <f t="shared" si="37"/>
        <v>56.882260687732341</v>
      </c>
    </row>
    <row r="17" spans="1:46">
      <c r="A17" s="355" t="s">
        <v>90</v>
      </c>
      <c r="B17" s="358">
        <v>741162</v>
      </c>
      <c r="C17" s="359">
        <v>731328</v>
      </c>
      <c r="D17" s="359">
        <v>730464</v>
      </c>
      <c r="E17" s="359"/>
      <c r="F17" s="359">
        <v>723854</v>
      </c>
      <c r="G17" s="359">
        <v>654388</v>
      </c>
      <c r="H17" s="360">
        <v>675381</v>
      </c>
      <c r="I17" s="359">
        <v>680499</v>
      </c>
      <c r="J17" s="359">
        <v>684745</v>
      </c>
      <c r="K17" s="359">
        <v>690741</v>
      </c>
      <c r="L17" s="359">
        <v>695772</v>
      </c>
      <c r="M17" s="359">
        <v>702301</v>
      </c>
      <c r="N17" s="359">
        <v>710903</v>
      </c>
      <c r="O17" s="359">
        <v>695632</v>
      </c>
      <c r="P17" s="359">
        <v>716800</v>
      </c>
      <c r="Q17" s="358">
        <v>433068</v>
      </c>
      <c r="R17" s="455">
        <f t="shared" si="34"/>
        <v>431483.52</v>
      </c>
      <c r="S17" s="455">
        <f t="shared" si="35"/>
        <v>445583.04</v>
      </c>
      <c r="T17" s="359"/>
      <c r="U17" s="359">
        <v>445808</v>
      </c>
      <c r="V17" s="359">
        <v>400596</v>
      </c>
      <c r="W17" s="360">
        <v>416402</v>
      </c>
      <c r="X17" s="359">
        <v>430263</v>
      </c>
      <c r="Y17" s="359">
        <v>444562</v>
      </c>
      <c r="Z17" s="359">
        <v>454338</v>
      </c>
      <c r="AA17" s="359">
        <v>460546</v>
      </c>
      <c r="AB17" s="359">
        <v>471347</v>
      </c>
      <c r="AC17" s="1">
        <v>459617</v>
      </c>
      <c r="AD17" s="361">
        <v>463987</v>
      </c>
      <c r="AE17" s="361">
        <v>455884</v>
      </c>
      <c r="AF17" s="402">
        <v>58.43095031855384</v>
      </c>
      <c r="AG17" s="438">
        <v>59</v>
      </c>
      <c r="AH17" s="438">
        <v>61</v>
      </c>
      <c r="AI17" s="438">
        <v>61</v>
      </c>
      <c r="AJ17" s="419">
        <v>61.588110309537555</v>
      </c>
      <c r="AK17" s="417">
        <v>61.216892730306796</v>
      </c>
      <c r="AL17" s="417">
        <v>61.654384710259833</v>
      </c>
      <c r="AM17" s="417">
        <v>63.22757270767481</v>
      </c>
      <c r="AN17" s="417">
        <v>64.923730731878294</v>
      </c>
      <c r="AO17" s="417">
        <v>65.775449842994689</v>
      </c>
      <c r="AP17" s="417">
        <v>66.192085913201453</v>
      </c>
      <c r="AQ17" s="417">
        <v>67.11467020551018</v>
      </c>
      <c r="AR17" s="416">
        <f t="shared" si="36"/>
        <v>64.652561601231113</v>
      </c>
      <c r="AS17" s="416">
        <f t="shared" si="37"/>
        <v>66.700065551901005</v>
      </c>
      <c r="AT17" s="416">
        <f t="shared" si="37"/>
        <v>63.599888392857139</v>
      </c>
    </row>
    <row r="18" spans="1:46">
      <c r="A18" s="355" t="s">
        <v>91</v>
      </c>
      <c r="B18" s="358">
        <v>852911</v>
      </c>
      <c r="C18" s="359">
        <v>860640</v>
      </c>
      <c r="D18" s="359">
        <v>866743</v>
      </c>
      <c r="E18" s="359"/>
      <c r="F18" s="359">
        <v>865553</v>
      </c>
      <c r="G18" s="359">
        <v>860018</v>
      </c>
      <c r="H18" s="360">
        <v>850026</v>
      </c>
      <c r="I18" s="359">
        <v>841948</v>
      </c>
      <c r="J18" s="359">
        <v>840506</v>
      </c>
      <c r="K18" s="359">
        <v>848412</v>
      </c>
      <c r="L18" s="359">
        <v>852202</v>
      </c>
      <c r="M18" s="359">
        <v>854060</v>
      </c>
      <c r="N18" s="359">
        <v>859638</v>
      </c>
      <c r="O18" s="359">
        <v>866169</v>
      </c>
      <c r="P18" s="359">
        <v>874514</v>
      </c>
      <c r="Q18" s="358">
        <v>255872</v>
      </c>
      <c r="R18" s="455">
        <f t="shared" si="34"/>
        <v>258192</v>
      </c>
      <c r="S18" s="455">
        <f t="shared" si="35"/>
        <v>268690.33</v>
      </c>
      <c r="T18" s="359"/>
      <c r="U18" s="359">
        <v>277669</v>
      </c>
      <c r="V18" s="359">
        <v>272069</v>
      </c>
      <c r="W18" s="360">
        <v>274539</v>
      </c>
      <c r="X18" s="359">
        <v>282129</v>
      </c>
      <c r="Y18" s="359">
        <v>292398</v>
      </c>
      <c r="Z18" s="359">
        <v>324904</v>
      </c>
      <c r="AA18" s="359">
        <v>341557</v>
      </c>
      <c r="AB18" s="359">
        <v>356631</v>
      </c>
      <c r="AC18" s="1">
        <v>366695</v>
      </c>
      <c r="AD18" s="361">
        <v>382440</v>
      </c>
      <c r="AE18" s="361">
        <v>393773</v>
      </c>
      <c r="AF18" s="402">
        <v>29.999847580814411</v>
      </c>
      <c r="AG18" s="438">
        <v>30</v>
      </c>
      <c r="AH18" s="438">
        <v>31</v>
      </c>
      <c r="AI18" s="438">
        <v>31</v>
      </c>
      <c r="AJ18" s="419">
        <v>32.079953509490466</v>
      </c>
      <c r="AK18" s="417">
        <v>31.635268099039788</v>
      </c>
      <c r="AL18" s="417">
        <v>32.297717952156759</v>
      </c>
      <c r="AM18" s="417">
        <v>33.509076570049459</v>
      </c>
      <c r="AN18" s="417">
        <v>34.788329886996642</v>
      </c>
      <c r="AO18" s="417">
        <v>38.295545088942632</v>
      </c>
      <c r="AP18" s="417">
        <v>40.079347384774969</v>
      </c>
      <c r="AQ18" s="417">
        <v>41.757136500948413</v>
      </c>
      <c r="AR18" s="416">
        <f t="shared" si="36"/>
        <v>42.65690907102757</v>
      </c>
      <c r="AS18" s="416">
        <f t="shared" si="37"/>
        <v>44.153046345459138</v>
      </c>
      <c r="AT18" s="416">
        <f t="shared" si="37"/>
        <v>45.027638208193352</v>
      </c>
    </row>
    <row r="19" spans="1:46">
      <c r="A19" s="355" t="s">
        <v>92</v>
      </c>
      <c r="B19" s="358">
        <v>497421</v>
      </c>
      <c r="C19" s="359">
        <v>493507</v>
      </c>
      <c r="D19" s="359">
        <v>492645</v>
      </c>
      <c r="E19" s="359"/>
      <c r="F19" s="359">
        <v>493682</v>
      </c>
      <c r="G19" s="359">
        <v>494744</v>
      </c>
      <c r="H19" s="360">
        <v>494686</v>
      </c>
      <c r="I19" s="359">
        <v>494013</v>
      </c>
      <c r="J19" s="359">
        <v>491129</v>
      </c>
      <c r="K19" s="359">
        <v>488994</v>
      </c>
      <c r="L19" s="359">
        <v>489462</v>
      </c>
      <c r="M19" s="359">
        <v>487870</v>
      </c>
      <c r="N19" s="359">
        <v>493650</v>
      </c>
      <c r="O19" s="359">
        <v>492586</v>
      </c>
      <c r="P19" s="359">
        <v>490917</v>
      </c>
      <c r="Q19" s="358">
        <v>319670</v>
      </c>
      <c r="R19" s="455">
        <f t="shared" si="34"/>
        <v>320779.55</v>
      </c>
      <c r="S19" s="455">
        <f t="shared" si="35"/>
        <v>320219.25</v>
      </c>
      <c r="T19" s="359"/>
      <c r="U19" s="359">
        <v>318743</v>
      </c>
      <c r="V19" s="359">
        <v>344107</v>
      </c>
      <c r="W19" s="360">
        <v>334359</v>
      </c>
      <c r="X19" s="359">
        <v>330635</v>
      </c>
      <c r="Y19" s="359">
        <v>336113</v>
      </c>
      <c r="Z19" s="359">
        <v>344894</v>
      </c>
      <c r="AA19" s="359">
        <v>345734</v>
      </c>
      <c r="AB19" s="359">
        <v>348664</v>
      </c>
      <c r="AC19" s="1">
        <v>352084</v>
      </c>
      <c r="AD19" s="361">
        <v>355484</v>
      </c>
      <c r="AE19" s="361">
        <v>361714</v>
      </c>
      <c r="AF19" s="402">
        <v>64.265481352817829</v>
      </c>
      <c r="AG19" s="438">
        <v>65</v>
      </c>
      <c r="AH19" s="438">
        <v>65</v>
      </c>
      <c r="AI19" s="438">
        <v>64</v>
      </c>
      <c r="AJ19" s="419">
        <v>64.564436216025697</v>
      </c>
      <c r="AK19" s="417">
        <v>69.552536261177494</v>
      </c>
      <c r="AL19" s="417">
        <v>67.590148093942418</v>
      </c>
      <c r="AM19" s="417">
        <v>66.928400669618</v>
      </c>
      <c r="AN19" s="417">
        <v>68.436805808657198</v>
      </c>
      <c r="AO19" s="417">
        <v>70.531335762810997</v>
      </c>
      <c r="AP19" s="417">
        <v>70.635514095067649</v>
      </c>
      <c r="AQ19" s="417">
        <v>71.466579211675239</v>
      </c>
      <c r="AR19" s="416">
        <f t="shared" si="36"/>
        <v>71.322596981667175</v>
      </c>
      <c r="AS19" s="416">
        <f t="shared" si="37"/>
        <v>72.166890654626798</v>
      </c>
      <c r="AT19" s="416">
        <f t="shared" si="37"/>
        <v>73.681294393960698</v>
      </c>
    </row>
    <row r="20" spans="1:46">
      <c r="A20" s="355" t="s">
        <v>93</v>
      </c>
      <c r="B20" s="358">
        <v>1194371</v>
      </c>
      <c r="C20" s="359">
        <v>1315363</v>
      </c>
      <c r="D20" s="359">
        <v>1335954</v>
      </c>
      <c r="E20" s="359"/>
      <c r="F20" s="359">
        <v>1351576</v>
      </c>
      <c r="G20" s="359">
        <v>1356570</v>
      </c>
      <c r="H20" s="360">
        <v>1422787</v>
      </c>
      <c r="I20" s="359">
        <v>1003293</v>
      </c>
      <c r="J20" s="359">
        <v>1076134</v>
      </c>
      <c r="K20" s="359">
        <v>1445761</v>
      </c>
      <c r="L20" s="359">
        <v>1487699</v>
      </c>
      <c r="M20" s="359">
        <v>1497711</v>
      </c>
      <c r="N20" s="359">
        <v>1518465</v>
      </c>
      <c r="O20" s="359">
        <v>1498344</v>
      </c>
      <c r="P20" s="359">
        <v>1548895</v>
      </c>
      <c r="Q20" s="358">
        <v>470316</v>
      </c>
      <c r="R20" s="455">
        <f t="shared" si="34"/>
        <v>499837.94</v>
      </c>
      <c r="S20" s="455">
        <f t="shared" si="35"/>
        <v>454224.36</v>
      </c>
      <c r="T20" s="359"/>
      <c r="U20" s="359">
        <v>624500</v>
      </c>
      <c r="V20" s="359">
        <v>603316</v>
      </c>
      <c r="W20" s="360">
        <v>624349</v>
      </c>
      <c r="X20" s="359">
        <v>456210</v>
      </c>
      <c r="Y20" s="359">
        <v>493946</v>
      </c>
      <c r="Z20" s="359">
        <v>720798</v>
      </c>
      <c r="AA20" s="359">
        <v>747978</v>
      </c>
      <c r="AB20" s="359">
        <v>784268</v>
      </c>
      <c r="AC20" s="1">
        <v>809732</v>
      </c>
      <c r="AD20" s="361">
        <v>801350</v>
      </c>
      <c r="AE20" s="361">
        <v>878773</v>
      </c>
      <c r="AF20" s="402">
        <v>39.377714294804548</v>
      </c>
      <c r="AG20" s="438">
        <v>38</v>
      </c>
      <c r="AH20" s="438">
        <v>34</v>
      </c>
      <c r="AI20" s="438">
        <v>44</v>
      </c>
      <c r="AJ20" s="419">
        <v>46.205318827798067</v>
      </c>
      <c r="AK20" s="417">
        <v>44.473635713601219</v>
      </c>
      <c r="AL20" s="417">
        <v>43.88211306400747</v>
      </c>
      <c r="AM20" s="417">
        <v>45.471263130511225</v>
      </c>
      <c r="AN20" s="417">
        <v>45.90004590506387</v>
      </c>
      <c r="AO20" s="417">
        <v>49.855958211626955</v>
      </c>
      <c r="AP20" s="417">
        <v>50.277509092901184</v>
      </c>
      <c r="AQ20" s="417">
        <v>52.364441471018111</v>
      </c>
      <c r="AR20" s="416">
        <f t="shared" si="36"/>
        <v>53.325694039704572</v>
      </c>
      <c r="AS20" s="416">
        <f t="shared" si="37"/>
        <v>53.482377878511208</v>
      </c>
      <c r="AT20" s="416">
        <f t="shared" si="37"/>
        <v>56.735479164178336</v>
      </c>
    </row>
    <row r="21" spans="1:46">
      <c r="A21" s="355" t="s">
        <v>94</v>
      </c>
      <c r="B21" s="358">
        <v>623110</v>
      </c>
      <c r="C21" s="359">
        <v>622139</v>
      </c>
      <c r="D21" s="359">
        <v>624548</v>
      </c>
      <c r="E21" s="359"/>
      <c r="F21" s="359">
        <v>628837</v>
      </c>
      <c r="G21" s="359">
        <v>632812</v>
      </c>
      <c r="H21" s="360">
        <v>638736</v>
      </c>
      <c r="I21" s="359">
        <v>640515</v>
      </c>
      <c r="J21" s="359">
        <v>643640</v>
      </c>
      <c r="K21" s="359">
        <v>654167</v>
      </c>
      <c r="L21" s="359">
        <v>659376</v>
      </c>
      <c r="M21" s="359">
        <v>665243</v>
      </c>
      <c r="N21" s="359">
        <v>673483</v>
      </c>
      <c r="O21" s="359">
        <v>680989</v>
      </c>
      <c r="P21" s="359">
        <v>688511</v>
      </c>
      <c r="Q21" s="358">
        <v>300179</v>
      </c>
      <c r="R21" s="455">
        <f t="shared" si="34"/>
        <v>304848.11</v>
      </c>
      <c r="S21" s="455">
        <f t="shared" si="35"/>
        <v>318519.48</v>
      </c>
      <c r="T21" s="359"/>
      <c r="U21" s="359">
        <v>339012</v>
      </c>
      <c r="V21" s="359">
        <v>346070</v>
      </c>
      <c r="W21" s="360">
        <v>352841</v>
      </c>
      <c r="X21" s="359">
        <v>354139</v>
      </c>
      <c r="Y21" s="359">
        <v>362090</v>
      </c>
      <c r="Z21" s="359">
        <v>384448</v>
      </c>
      <c r="AA21" s="359">
        <v>398917</v>
      </c>
      <c r="AB21" s="359">
        <v>406908</v>
      </c>
      <c r="AC21" s="1">
        <v>410378</v>
      </c>
      <c r="AD21" s="361">
        <v>417589</v>
      </c>
      <c r="AE21" s="361">
        <v>413971</v>
      </c>
      <c r="AF21" s="402">
        <v>48.174319141082634</v>
      </c>
      <c r="AG21" s="438">
        <v>49</v>
      </c>
      <c r="AH21" s="438">
        <v>51</v>
      </c>
      <c r="AI21" s="438">
        <v>53</v>
      </c>
      <c r="AJ21" s="419">
        <v>53.910949896396041</v>
      </c>
      <c r="AK21" s="417">
        <v>54.687648148265197</v>
      </c>
      <c r="AL21" s="417">
        <v>55.240506249843449</v>
      </c>
      <c r="AM21" s="417">
        <v>55.289727797163223</v>
      </c>
      <c r="AN21" s="417">
        <v>56.256603070039155</v>
      </c>
      <c r="AO21" s="417">
        <v>58.769091073074605</v>
      </c>
      <c r="AP21" s="417">
        <v>60.499168911213033</v>
      </c>
      <c r="AQ21" s="417">
        <v>61.166821747842512</v>
      </c>
      <c r="AR21" s="416">
        <f t="shared" si="36"/>
        <v>60.93368355251728</v>
      </c>
      <c r="AS21" s="416">
        <f t="shared" si="37"/>
        <v>61.320961131530758</v>
      </c>
      <c r="AT21" s="416">
        <f t="shared" si="37"/>
        <v>60.12554628756839</v>
      </c>
    </row>
    <row r="22" spans="1:46">
      <c r="A22" s="355" t="s">
        <v>95</v>
      </c>
      <c r="B22" s="358">
        <v>677411</v>
      </c>
      <c r="C22" s="359">
        <v>676198</v>
      </c>
      <c r="D22" s="359">
        <v>694584</v>
      </c>
      <c r="E22" s="359"/>
      <c r="F22" s="359">
        <v>701700</v>
      </c>
      <c r="G22" s="359">
        <v>700397</v>
      </c>
      <c r="H22" s="360">
        <v>702851</v>
      </c>
      <c r="I22" s="359">
        <v>711552</v>
      </c>
      <c r="J22" s="359">
        <v>717001</v>
      </c>
      <c r="K22" s="359">
        <v>721532</v>
      </c>
      <c r="L22" s="359">
        <v>722203</v>
      </c>
      <c r="M22" s="359">
        <v>726003</v>
      </c>
      <c r="N22" s="359">
        <v>735998</v>
      </c>
      <c r="O22" s="359">
        <v>742982</v>
      </c>
      <c r="P22" s="359">
        <v>756523</v>
      </c>
      <c r="Q22" s="358">
        <v>320254</v>
      </c>
      <c r="R22" s="455">
        <f t="shared" si="34"/>
        <v>331337.02</v>
      </c>
      <c r="S22" s="455">
        <f t="shared" si="35"/>
        <v>347292</v>
      </c>
      <c r="T22" s="359"/>
      <c r="U22" s="359">
        <v>367133</v>
      </c>
      <c r="V22" s="359">
        <v>361567</v>
      </c>
      <c r="W22" s="360">
        <v>360907</v>
      </c>
      <c r="X22" s="359">
        <v>366883</v>
      </c>
      <c r="Y22" s="359">
        <v>376735</v>
      </c>
      <c r="Z22" s="359">
        <v>394018</v>
      </c>
      <c r="AA22" s="359">
        <v>395033</v>
      </c>
      <c r="AB22" s="359">
        <v>412345</v>
      </c>
      <c r="AC22" s="1">
        <v>427396</v>
      </c>
      <c r="AD22" s="361">
        <v>426387</v>
      </c>
      <c r="AE22" s="361">
        <v>421296</v>
      </c>
      <c r="AF22" s="402">
        <v>47.276173548997576</v>
      </c>
      <c r="AG22" s="438">
        <v>49</v>
      </c>
      <c r="AH22" s="438">
        <v>50</v>
      </c>
      <c r="AI22" s="438">
        <v>51</v>
      </c>
      <c r="AJ22" s="419">
        <v>52.320507339318802</v>
      </c>
      <c r="AK22" s="417">
        <v>51.62315087014936</v>
      </c>
      <c r="AL22" s="417">
        <v>51.349005692529424</v>
      </c>
      <c r="AM22" s="417">
        <v>51.560954083468246</v>
      </c>
      <c r="AN22" s="417">
        <v>52.543162422367608</v>
      </c>
      <c r="AO22" s="417">
        <v>54.608527411119681</v>
      </c>
      <c r="AP22" s="417">
        <v>54.69833274024063</v>
      </c>
      <c r="AQ22" s="417">
        <v>56.796597259239981</v>
      </c>
      <c r="AR22" s="416">
        <f t="shared" si="36"/>
        <v>58.070266495289388</v>
      </c>
      <c r="AS22" s="416">
        <f t="shared" si="37"/>
        <v>57.388604299969579</v>
      </c>
      <c r="AT22" s="416">
        <f t="shared" si="37"/>
        <v>55.688458910039749</v>
      </c>
    </row>
    <row r="23" spans="1:46">
      <c r="A23" s="355" t="s">
        <v>96</v>
      </c>
      <c r="B23" s="358">
        <v>909161</v>
      </c>
      <c r="C23" s="359">
        <v>924899</v>
      </c>
      <c r="D23" s="359">
        <v>928000</v>
      </c>
      <c r="E23" s="359"/>
      <c r="F23" s="362" t="s">
        <v>285</v>
      </c>
      <c r="G23" s="359">
        <v>934444</v>
      </c>
      <c r="H23" s="360">
        <v>958352</v>
      </c>
      <c r="I23" s="359">
        <v>948934</v>
      </c>
      <c r="J23" s="359">
        <v>949964</v>
      </c>
      <c r="K23" s="359">
        <v>948007</v>
      </c>
      <c r="L23" s="359">
        <v>987078</v>
      </c>
      <c r="M23" s="359">
        <v>964832</v>
      </c>
      <c r="N23" s="359">
        <v>993496</v>
      </c>
      <c r="O23" s="359">
        <v>993556</v>
      </c>
      <c r="P23" s="359">
        <v>995475</v>
      </c>
      <c r="Q23" s="358">
        <v>436298</v>
      </c>
      <c r="R23" s="456" t="s">
        <v>318</v>
      </c>
      <c r="S23" s="456" t="s">
        <v>318</v>
      </c>
      <c r="T23" s="359"/>
      <c r="U23" s="362" t="s">
        <v>285</v>
      </c>
      <c r="V23" s="359">
        <v>448431</v>
      </c>
      <c r="W23" s="360">
        <v>466781</v>
      </c>
      <c r="X23" s="359">
        <v>475202</v>
      </c>
      <c r="Y23" s="359">
        <v>485590</v>
      </c>
      <c r="Z23" s="359">
        <v>516062</v>
      </c>
      <c r="AA23" s="359">
        <v>542953</v>
      </c>
      <c r="AB23" s="359">
        <v>554768</v>
      </c>
      <c r="AC23" s="1">
        <v>575522</v>
      </c>
      <c r="AD23" s="361">
        <v>578414</v>
      </c>
      <c r="AE23" s="361">
        <v>556263</v>
      </c>
      <c r="AF23" s="402">
        <v>47.989080041928766</v>
      </c>
      <c r="AG23" s="439" t="s">
        <v>318</v>
      </c>
      <c r="AH23" s="439" t="s">
        <v>318</v>
      </c>
      <c r="AI23" s="439" t="s">
        <v>318</v>
      </c>
      <c r="AJ23" s="419" t="s">
        <v>318</v>
      </c>
      <c r="AK23" s="417">
        <v>47.989071576252826</v>
      </c>
      <c r="AL23" s="417">
        <v>48.7066338881747</v>
      </c>
      <c r="AM23" s="417">
        <v>50.077455334090672</v>
      </c>
      <c r="AN23" s="417">
        <v>51.116673895010756</v>
      </c>
      <c r="AO23" s="417">
        <v>54.436517873813173</v>
      </c>
      <c r="AP23" s="417">
        <v>55.006088677895768</v>
      </c>
      <c r="AQ23" s="417">
        <v>57.498922092136254</v>
      </c>
      <c r="AR23" s="416">
        <f t="shared" si="36"/>
        <v>57.928970021016688</v>
      </c>
      <c r="AS23" s="416">
        <f t="shared" si="37"/>
        <v>58.216547431649545</v>
      </c>
      <c r="AT23" s="416">
        <f t="shared" si="37"/>
        <v>55.87915316808558</v>
      </c>
    </row>
    <row r="24" spans="1:46">
      <c r="A24" s="355" t="s">
        <v>97</v>
      </c>
      <c r="B24" s="358">
        <v>4059353</v>
      </c>
      <c r="C24" s="359">
        <v>4163447</v>
      </c>
      <c r="D24" s="359">
        <v>4259823</v>
      </c>
      <c r="E24" s="359"/>
      <c r="F24" s="359">
        <v>4403057</v>
      </c>
      <c r="G24" s="359">
        <v>4523575</v>
      </c>
      <c r="H24" s="360">
        <v>4566432</v>
      </c>
      <c r="I24" s="359">
        <v>4673455</v>
      </c>
      <c r="J24" s="359">
        <v>4751003</v>
      </c>
      <c r="K24" s="359">
        <v>4847073</v>
      </c>
      <c r="L24" s="359">
        <v>4916401</v>
      </c>
      <c r="M24" s="359">
        <v>5000193</v>
      </c>
      <c r="N24" s="359">
        <v>5077659</v>
      </c>
      <c r="O24" s="359">
        <v>5149025</v>
      </c>
      <c r="P24" s="359">
        <v>5233765</v>
      </c>
      <c r="Q24" s="358">
        <v>1823029</v>
      </c>
      <c r="R24" s="455">
        <f t="shared" ref="R24:S26" si="38">(C24*AG24)/100</f>
        <v>1873551.15</v>
      </c>
      <c r="S24" s="455">
        <f t="shared" si="38"/>
        <v>1959518.58</v>
      </c>
      <c r="T24" s="359"/>
      <c r="U24" s="359">
        <v>2098348</v>
      </c>
      <c r="V24" s="359">
        <v>2181697</v>
      </c>
      <c r="W24" s="360">
        <v>2172930</v>
      </c>
      <c r="X24" s="359">
        <v>2230688</v>
      </c>
      <c r="Y24" s="359">
        <v>2317239</v>
      </c>
      <c r="Z24" s="359">
        <v>2449189</v>
      </c>
      <c r="AA24" s="359">
        <v>2471212</v>
      </c>
      <c r="AB24" s="359">
        <v>2552819</v>
      </c>
      <c r="AC24" s="1">
        <v>3059657</v>
      </c>
      <c r="AD24" s="361">
        <v>3092087</v>
      </c>
      <c r="AE24" s="361">
        <v>3074591</v>
      </c>
      <c r="AF24" s="402">
        <v>44.909348854361767</v>
      </c>
      <c r="AG24" s="438">
        <v>45</v>
      </c>
      <c r="AH24" s="438">
        <v>46</v>
      </c>
      <c r="AI24" s="438">
        <v>47</v>
      </c>
      <c r="AJ24" s="417">
        <v>47.656616755131722</v>
      </c>
      <c r="AK24" s="417">
        <v>48.229486633912337</v>
      </c>
      <c r="AL24" s="417">
        <v>47.584853995416992</v>
      </c>
      <c r="AM24" s="417">
        <v>47.731025547480399</v>
      </c>
      <c r="AN24" s="417">
        <v>48.773679999781102</v>
      </c>
      <c r="AO24" s="417">
        <v>50.529236922984246</v>
      </c>
      <c r="AP24" s="417">
        <v>50.264654978306289</v>
      </c>
      <c r="AQ24" s="417">
        <v>51.05440929980103</v>
      </c>
      <c r="AR24" s="416">
        <f t="shared" si="36"/>
        <v>60.257236651772004</v>
      </c>
      <c r="AS24" s="416">
        <f t="shared" si="37"/>
        <v>60.05189331960905</v>
      </c>
      <c r="AT24" s="416">
        <f t="shared" si="37"/>
        <v>58.745300944922064</v>
      </c>
    </row>
    <row r="25" spans="1:46">
      <c r="A25" s="355" t="s">
        <v>98</v>
      </c>
      <c r="B25" s="358">
        <v>1067710</v>
      </c>
      <c r="C25" s="359">
        <v>1163091</v>
      </c>
      <c r="D25" s="359">
        <v>1177229</v>
      </c>
      <c r="E25" s="359"/>
      <c r="F25" s="359">
        <v>1147470</v>
      </c>
      <c r="G25" s="359">
        <v>1167860</v>
      </c>
      <c r="H25" s="360">
        <v>1172057</v>
      </c>
      <c r="I25" s="359">
        <v>1224044</v>
      </c>
      <c r="J25" s="359">
        <v>1235143</v>
      </c>
      <c r="K25" s="359">
        <v>1219806</v>
      </c>
      <c r="L25" s="359">
        <v>1250206</v>
      </c>
      <c r="M25" s="359">
        <v>1227099</v>
      </c>
      <c r="N25" s="359">
        <v>1265419</v>
      </c>
      <c r="O25" s="359">
        <v>1273785</v>
      </c>
      <c r="P25" s="359">
        <v>1280381</v>
      </c>
      <c r="Q25" s="358">
        <v>320233</v>
      </c>
      <c r="R25" s="455">
        <f t="shared" si="38"/>
        <v>337296.39</v>
      </c>
      <c r="S25" s="455">
        <f t="shared" si="38"/>
        <v>353168.7</v>
      </c>
      <c r="T25" s="359"/>
      <c r="U25" s="359">
        <v>374532</v>
      </c>
      <c r="V25" s="359">
        <v>377725</v>
      </c>
      <c r="W25" s="360">
        <v>383298</v>
      </c>
      <c r="X25" s="359">
        <v>386805</v>
      </c>
      <c r="Y25" s="359">
        <v>408336</v>
      </c>
      <c r="Z25" s="359">
        <v>444715</v>
      </c>
      <c r="AA25" s="359">
        <v>458879</v>
      </c>
      <c r="AB25" s="359">
        <v>480821</v>
      </c>
      <c r="AC25" s="1">
        <v>487463</v>
      </c>
      <c r="AD25" s="361">
        <v>503811</v>
      </c>
      <c r="AE25" s="361">
        <v>514785</v>
      </c>
      <c r="AF25" s="402">
        <v>29.992507328769047</v>
      </c>
      <c r="AG25" s="438">
        <v>29</v>
      </c>
      <c r="AH25" s="438">
        <v>30</v>
      </c>
      <c r="AI25" s="438">
        <v>30</v>
      </c>
      <c r="AJ25" s="417">
        <v>32.639807576668673</v>
      </c>
      <c r="AK25" s="417">
        <v>32.343345949000735</v>
      </c>
      <c r="AL25" s="417">
        <v>32.70301700343925</v>
      </c>
      <c r="AM25" s="417">
        <v>31.600579717722567</v>
      </c>
      <c r="AN25" s="417">
        <v>33.05981574603102</v>
      </c>
      <c r="AO25" s="417">
        <v>36.457846575603</v>
      </c>
      <c r="AP25" s="417">
        <v>36.704271136116766</v>
      </c>
      <c r="AQ25" s="417">
        <v>39.18355405717061</v>
      </c>
      <c r="AR25" s="416">
        <f t="shared" si="36"/>
        <v>38.521865089744978</v>
      </c>
      <c r="AS25" s="416">
        <f t="shared" si="37"/>
        <v>39.552279230796408</v>
      </c>
      <c r="AT25" s="416">
        <f t="shared" si="37"/>
        <v>40.205610673697905</v>
      </c>
    </row>
    <row r="26" spans="1:46">
      <c r="A26" s="363" t="s">
        <v>99</v>
      </c>
      <c r="B26" s="364">
        <v>286285</v>
      </c>
      <c r="C26" s="365">
        <v>282885</v>
      </c>
      <c r="D26" s="365">
        <v>282455</v>
      </c>
      <c r="E26" s="365"/>
      <c r="F26" s="365">
        <v>280124</v>
      </c>
      <c r="G26" s="365">
        <v>280699</v>
      </c>
      <c r="H26" s="366">
        <v>281070</v>
      </c>
      <c r="I26" s="365">
        <v>282512</v>
      </c>
      <c r="J26" s="365">
        <v>282718</v>
      </c>
      <c r="K26" s="365">
        <v>282661</v>
      </c>
      <c r="L26" s="365">
        <v>282879</v>
      </c>
      <c r="M26" s="365">
        <v>282870</v>
      </c>
      <c r="N26" s="365">
        <v>283044</v>
      </c>
      <c r="O26" s="464">
        <v>280958</v>
      </c>
      <c r="P26" s="14">
        <v>280310</v>
      </c>
      <c r="Q26" s="364">
        <v>143446</v>
      </c>
      <c r="R26" s="458">
        <f t="shared" si="38"/>
        <v>141442.5</v>
      </c>
      <c r="S26" s="458">
        <f t="shared" si="38"/>
        <v>135578.4</v>
      </c>
      <c r="T26" s="365"/>
      <c r="U26" s="365">
        <v>141053</v>
      </c>
      <c r="V26" s="365">
        <v>137878</v>
      </c>
      <c r="W26" s="366">
        <v>139804</v>
      </c>
      <c r="X26" s="365">
        <v>138931</v>
      </c>
      <c r="Y26" s="365">
        <v>141448</v>
      </c>
      <c r="Z26" s="365">
        <v>147036</v>
      </c>
      <c r="AA26" s="365">
        <v>145605</v>
      </c>
      <c r="AB26" s="365">
        <v>149407</v>
      </c>
      <c r="AC26" s="365">
        <v>148493</v>
      </c>
      <c r="AD26" s="489" t="s">
        <v>326</v>
      </c>
      <c r="AE26" s="497">
        <v>129309</v>
      </c>
      <c r="AF26" s="403">
        <v>50.106013238555981</v>
      </c>
      <c r="AG26" s="440">
        <v>50</v>
      </c>
      <c r="AH26" s="440">
        <v>48</v>
      </c>
      <c r="AI26" s="440">
        <v>49</v>
      </c>
      <c r="AJ26" s="418">
        <v>50.353771901015264</v>
      </c>
      <c r="AK26" s="418">
        <v>49.119519485284954</v>
      </c>
      <c r="AL26" s="418">
        <v>49.739922439250009</v>
      </c>
      <c r="AM26" s="418">
        <v>49.177026108625476</v>
      </c>
      <c r="AN26" s="418">
        <v>50.031480132145809</v>
      </c>
      <c r="AO26" s="418">
        <v>52.018495653804372</v>
      </c>
      <c r="AP26" s="418">
        <v>51.472537728145248</v>
      </c>
      <c r="AQ26" s="418">
        <v>52.818255735850393</v>
      </c>
      <c r="AR26" s="465">
        <f>(AC26/N26)*100</f>
        <v>52.462867963991464</v>
      </c>
      <c r="AS26" s="491" t="s">
        <v>318</v>
      </c>
      <c r="AT26" s="491" t="s">
        <v>318</v>
      </c>
    </row>
    <row r="27" spans="1:46">
      <c r="A27" s="290"/>
      <c r="B27" s="358"/>
      <c r="C27" s="359"/>
      <c r="D27" s="359"/>
      <c r="E27" s="359"/>
      <c r="F27" s="359"/>
      <c r="G27" s="359"/>
      <c r="H27" s="360"/>
      <c r="I27" s="359"/>
      <c r="J27" s="359"/>
      <c r="K27" s="359"/>
      <c r="L27" s="359"/>
      <c r="M27" s="359"/>
      <c r="N27" s="359"/>
      <c r="O27" s="359"/>
      <c r="P27" s="359"/>
      <c r="Q27" s="358"/>
      <c r="R27" s="359"/>
      <c r="S27" s="359"/>
      <c r="T27" s="359"/>
      <c r="U27" s="359"/>
      <c r="V27" s="359"/>
      <c r="W27" s="360"/>
      <c r="X27" s="359"/>
      <c r="Y27" s="359"/>
      <c r="Z27" s="359"/>
      <c r="AA27" s="359"/>
      <c r="AB27" s="359"/>
      <c r="AC27" s="1"/>
      <c r="AD27" s="8"/>
      <c r="AE27" s="8"/>
      <c r="AF27" s="402"/>
      <c r="AG27" s="417"/>
      <c r="AH27" s="417"/>
      <c r="AI27" s="417"/>
      <c r="AJ27" s="417"/>
      <c r="AK27" s="417"/>
      <c r="AL27" s="417"/>
      <c r="AM27" s="417"/>
      <c r="AN27" s="417"/>
      <c r="AO27" s="417"/>
      <c r="AP27" s="417"/>
      <c r="AQ27" s="417"/>
      <c r="AR27" s="416"/>
      <c r="AS27" s="416"/>
      <c r="AT27" s="416"/>
    </row>
    <row r="28" spans="1:46">
      <c r="A28" s="367" t="s">
        <v>129</v>
      </c>
      <c r="B28" s="358">
        <v>105333</v>
      </c>
      <c r="C28" s="359">
        <v>134358</v>
      </c>
      <c r="D28" s="359">
        <v>134364</v>
      </c>
      <c r="E28" s="359"/>
      <c r="F28" s="359">
        <v>103052</v>
      </c>
      <c r="G28" s="359">
        <v>103498</v>
      </c>
      <c r="H28" s="360">
        <v>116682</v>
      </c>
      <c r="I28" s="359">
        <v>131029</v>
      </c>
      <c r="J28" s="359">
        <v>130662</v>
      </c>
      <c r="K28" s="359">
        <v>131508</v>
      </c>
      <c r="L28" s="359">
        <v>132104</v>
      </c>
      <c r="M28" s="359">
        <v>131166</v>
      </c>
      <c r="N28" s="359">
        <v>131489</v>
      </c>
      <c r="O28" s="359">
        <v>130942</v>
      </c>
      <c r="P28" s="359">
        <v>131176</v>
      </c>
      <c r="Q28" s="358">
        <v>32468</v>
      </c>
      <c r="R28" s="455">
        <f>(C28*AG28)/100</f>
        <v>33589.5</v>
      </c>
      <c r="S28" s="455">
        <f>(D28*AH28)/100</f>
        <v>34934.639999999999</v>
      </c>
      <c r="T28" s="359"/>
      <c r="U28" s="359">
        <v>38058</v>
      </c>
      <c r="V28" s="359">
        <v>41872</v>
      </c>
      <c r="W28" s="360">
        <v>45028</v>
      </c>
      <c r="X28" s="359">
        <v>44043</v>
      </c>
      <c r="Y28" s="359">
        <v>44578</v>
      </c>
      <c r="Z28" s="359">
        <v>47605</v>
      </c>
      <c r="AA28" s="359">
        <v>50701</v>
      </c>
      <c r="AB28" s="359">
        <v>53238</v>
      </c>
      <c r="AC28" s="1">
        <v>53082</v>
      </c>
      <c r="AD28" s="361">
        <v>56053</v>
      </c>
      <c r="AE28" s="361">
        <v>56566</v>
      </c>
      <c r="AF28" s="402">
        <v>30.824148177684108</v>
      </c>
      <c r="AG28" s="417">
        <v>25</v>
      </c>
      <c r="AH28" s="417">
        <v>26</v>
      </c>
      <c r="AI28" s="417">
        <v>27</v>
      </c>
      <c r="AJ28" s="417">
        <v>36.930869852113496</v>
      </c>
      <c r="AK28" s="417">
        <v>40.456820421650654</v>
      </c>
      <c r="AL28" s="417">
        <v>38.5903566959771</v>
      </c>
      <c r="AM28" s="417">
        <v>33.613169603675523</v>
      </c>
      <c r="AN28" s="417">
        <v>34.117034792058895</v>
      </c>
      <c r="AO28" s="417">
        <v>36.19931867262828</v>
      </c>
      <c r="AP28" s="417">
        <v>38.379610004239083</v>
      </c>
      <c r="AQ28" s="417">
        <v>40.588262202095052</v>
      </c>
      <c r="AR28" s="416">
        <f>(AC28/N28)*100</f>
        <v>40.369916875175868</v>
      </c>
      <c r="AS28" s="416">
        <f>(AD28/O28)*100</f>
        <v>42.807502558384627</v>
      </c>
      <c r="AT28" s="416">
        <f>(AE28/P28)*100</f>
        <v>43.122217478807102</v>
      </c>
    </row>
    <row r="29" spans="1:46">
      <c r="A29" s="367" t="s">
        <v>130</v>
      </c>
      <c r="B29" s="358">
        <v>877696</v>
      </c>
      <c r="C29" s="359">
        <v>922180</v>
      </c>
      <c r="D29" s="359">
        <v>937755</v>
      </c>
      <c r="E29" s="359"/>
      <c r="F29" s="359">
        <v>933789</v>
      </c>
      <c r="G29" s="359">
        <v>955320</v>
      </c>
      <c r="H29" s="360">
        <v>1014149</v>
      </c>
      <c r="I29" s="359">
        <v>1010604</v>
      </c>
      <c r="J29" s="359">
        <v>1075949</v>
      </c>
      <c r="K29" s="359">
        <v>1061408</v>
      </c>
      <c r="L29" s="359">
        <v>1067210</v>
      </c>
      <c r="M29" s="359">
        <v>1024454</v>
      </c>
      <c r="N29" s="359">
        <v>1089384</v>
      </c>
      <c r="O29" s="359">
        <v>1096885</v>
      </c>
      <c r="P29" s="359">
        <v>1111695</v>
      </c>
      <c r="Q29" s="358">
        <v>274277</v>
      </c>
      <c r="R29" s="456" t="s">
        <v>318</v>
      </c>
      <c r="S29" s="455">
        <f t="shared" ref="S29:S40" si="39">(D29*AH29)/100</f>
        <v>103153.05</v>
      </c>
      <c r="T29" s="359"/>
      <c r="U29" s="359">
        <v>500442</v>
      </c>
      <c r="V29" s="359">
        <v>492450</v>
      </c>
      <c r="W29" s="360">
        <v>434432</v>
      </c>
      <c r="X29" s="359">
        <v>412305</v>
      </c>
      <c r="Y29" s="359">
        <v>515916</v>
      </c>
      <c r="Z29" s="359">
        <v>508240</v>
      </c>
      <c r="AA29" s="359">
        <v>482044</v>
      </c>
      <c r="AB29" s="359">
        <v>511885</v>
      </c>
      <c r="AC29" s="8" t="s">
        <v>326</v>
      </c>
      <c r="AD29" s="361" t="s">
        <v>326</v>
      </c>
      <c r="AE29" s="361" t="s">
        <v>318</v>
      </c>
      <c r="AF29" s="402">
        <v>31.249658196004081</v>
      </c>
      <c r="AG29" s="417" t="s">
        <v>318</v>
      </c>
      <c r="AH29" s="417">
        <v>11</v>
      </c>
      <c r="AI29" s="417">
        <v>45</v>
      </c>
      <c r="AJ29" s="417">
        <v>53.592621031089458</v>
      </c>
      <c r="AK29" s="417">
        <v>51.548172340158274</v>
      </c>
      <c r="AL29" s="417">
        <v>42.837097901787608</v>
      </c>
      <c r="AM29" s="417">
        <v>40.797879288029733</v>
      </c>
      <c r="AN29" s="417">
        <v>47.949856359362755</v>
      </c>
      <c r="AO29" s="417">
        <v>47.883565980282796</v>
      </c>
      <c r="AP29" s="417">
        <v>45.168617235595619</v>
      </c>
      <c r="AQ29" s="417">
        <v>49.966616363448239</v>
      </c>
      <c r="AR29" s="419" t="s">
        <v>318</v>
      </c>
      <c r="AS29" s="492" t="s">
        <v>318</v>
      </c>
      <c r="AT29" s="492" t="s">
        <v>318</v>
      </c>
    </row>
    <row r="30" spans="1:46">
      <c r="A30" s="367" t="s">
        <v>131</v>
      </c>
      <c r="B30" s="358">
        <v>6050753</v>
      </c>
      <c r="C30" s="359">
        <v>6247726</v>
      </c>
      <c r="D30" s="359">
        <v>6356348</v>
      </c>
      <c r="E30" s="359"/>
      <c r="F30" s="359">
        <v>6322433</v>
      </c>
      <c r="G30" s="359">
        <v>6311900</v>
      </c>
      <c r="H30" s="360">
        <v>6210343</v>
      </c>
      <c r="I30" s="359">
        <v>5953047</v>
      </c>
      <c r="J30" s="359">
        <v>6180511</v>
      </c>
      <c r="K30" s="359">
        <v>6085255</v>
      </c>
      <c r="L30" s="359">
        <v>6169427</v>
      </c>
      <c r="M30" s="359">
        <v>6202862</v>
      </c>
      <c r="N30" s="359">
        <v>6299451</v>
      </c>
      <c r="O30" s="359">
        <v>6215786</v>
      </c>
      <c r="P30" s="359">
        <v>6312161</v>
      </c>
      <c r="Q30" s="358">
        <v>2820611</v>
      </c>
      <c r="R30" s="455">
        <f t="shared" ref="R30:R39" si="40">(C30*AG30)/100</f>
        <v>2936431.22</v>
      </c>
      <c r="S30" s="455">
        <f t="shared" si="39"/>
        <v>3051047.04</v>
      </c>
      <c r="T30" s="359"/>
      <c r="U30" s="359">
        <v>3100883</v>
      </c>
      <c r="V30" s="359">
        <v>3063627</v>
      </c>
      <c r="W30" s="360">
        <v>3119120</v>
      </c>
      <c r="X30" s="359">
        <v>3099565</v>
      </c>
      <c r="Y30" s="359">
        <v>3267160</v>
      </c>
      <c r="Z30" s="359">
        <v>3386691</v>
      </c>
      <c r="AA30" s="359">
        <v>3335885</v>
      </c>
      <c r="AB30" s="359">
        <v>3353963.7154098749</v>
      </c>
      <c r="AC30" s="1">
        <v>3478407</v>
      </c>
      <c r="AD30" s="361">
        <v>3610385</v>
      </c>
      <c r="AE30" s="361">
        <v>3651148</v>
      </c>
      <c r="AF30" s="402">
        <v>46.615867479634353</v>
      </c>
      <c r="AG30" s="417">
        <v>47</v>
      </c>
      <c r="AH30" s="417">
        <v>48</v>
      </c>
      <c r="AI30" s="417">
        <v>49</v>
      </c>
      <c r="AJ30" s="417">
        <v>49.045723378958698</v>
      </c>
      <c r="AK30" s="417">
        <v>48.53731839858046</v>
      </c>
      <c r="AL30" s="417">
        <v>50.224601121065291</v>
      </c>
      <c r="AM30" s="417">
        <v>52.066865925970355</v>
      </c>
      <c r="AN30" s="417">
        <v>52.862295690437243</v>
      </c>
      <c r="AO30" s="417">
        <v>55.654052295261245</v>
      </c>
      <c r="AP30" s="417">
        <v>54.071228981232778</v>
      </c>
      <c r="AQ30" s="417">
        <v>54.071228981232778</v>
      </c>
      <c r="AR30" s="416">
        <f t="shared" ref="AR30:AR40" si="41">(AC30/N30)*100</f>
        <v>55.217621345098166</v>
      </c>
      <c r="AS30" s="416">
        <f t="shared" ref="AS30:AT40" si="42">(AD30/O30)*100</f>
        <v>58.084126448368721</v>
      </c>
      <c r="AT30" s="416">
        <f t="shared" si="42"/>
        <v>57.843074661752134</v>
      </c>
    </row>
    <row r="31" spans="1:46">
      <c r="A31" s="367" t="s">
        <v>132</v>
      </c>
      <c r="B31" s="358">
        <v>724349</v>
      </c>
      <c r="C31" s="359">
        <v>742145</v>
      </c>
      <c r="D31" s="359">
        <v>751862</v>
      </c>
      <c r="E31" s="359"/>
      <c r="F31" s="359">
        <v>765976</v>
      </c>
      <c r="G31" s="359">
        <v>779825</v>
      </c>
      <c r="H31" s="360">
        <v>789014</v>
      </c>
      <c r="I31" s="359">
        <v>791996</v>
      </c>
      <c r="J31" s="359">
        <v>816922</v>
      </c>
      <c r="K31" s="359">
        <v>831906</v>
      </c>
      <c r="L31" s="359">
        <v>842864</v>
      </c>
      <c r="M31" s="359">
        <v>853610</v>
      </c>
      <c r="N31" s="359">
        <v>863561</v>
      </c>
      <c r="O31" s="359">
        <v>876147</v>
      </c>
      <c r="P31" s="359">
        <v>889006</v>
      </c>
      <c r="Q31" s="358">
        <v>195148</v>
      </c>
      <c r="R31" s="455">
        <f t="shared" si="40"/>
        <v>207800.6</v>
      </c>
      <c r="S31" s="455">
        <f t="shared" si="39"/>
        <v>218039.98</v>
      </c>
      <c r="T31" s="359"/>
      <c r="U31" s="359">
        <v>241569</v>
      </c>
      <c r="V31" s="359">
        <v>258264</v>
      </c>
      <c r="W31" s="360">
        <v>269926</v>
      </c>
      <c r="X31" s="359">
        <v>275475</v>
      </c>
      <c r="Y31" s="359">
        <v>289326</v>
      </c>
      <c r="Z31" s="359">
        <v>319404</v>
      </c>
      <c r="AA31" s="359">
        <v>336426</v>
      </c>
      <c r="AB31" s="359">
        <v>348896</v>
      </c>
      <c r="AC31" s="1">
        <v>358876</v>
      </c>
      <c r="AD31" s="361">
        <v>367665</v>
      </c>
      <c r="AE31" s="361">
        <v>369738</v>
      </c>
      <c r="AF31" s="402">
        <v>26.941156818053173</v>
      </c>
      <c r="AG31" s="417">
        <v>28</v>
      </c>
      <c r="AH31" s="417">
        <v>29</v>
      </c>
      <c r="AI31" s="417">
        <v>30</v>
      </c>
      <c r="AJ31" s="417">
        <v>31.537411093820172</v>
      </c>
      <c r="AK31" s="417">
        <v>33.118199596063221</v>
      </c>
      <c r="AL31" s="417">
        <v>34.210546327441591</v>
      </c>
      <c r="AM31" s="417">
        <v>34.782372638245647</v>
      </c>
      <c r="AN31" s="417">
        <v>35.416600360866767</v>
      </c>
      <c r="AO31" s="417">
        <v>38.3942416571103</v>
      </c>
      <c r="AP31" s="417">
        <v>39.914624423394521</v>
      </c>
      <c r="AQ31" s="417">
        <v>40.872998207612376</v>
      </c>
      <c r="AR31" s="416">
        <f t="shared" si="41"/>
        <v>41.557689613125184</v>
      </c>
      <c r="AS31" s="416">
        <f t="shared" si="42"/>
        <v>41.963848532266844</v>
      </c>
      <c r="AT31" s="416">
        <f t="shared" si="42"/>
        <v>41.59004551150386</v>
      </c>
    </row>
    <row r="32" spans="1:46">
      <c r="A32" s="367" t="s">
        <v>134</v>
      </c>
      <c r="B32" s="358">
        <v>184357</v>
      </c>
      <c r="C32" s="359">
        <v>184546</v>
      </c>
      <c r="D32" s="359">
        <v>183829</v>
      </c>
      <c r="E32" s="359"/>
      <c r="F32" s="359">
        <v>184096</v>
      </c>
      <c r="G32" s="359">
        <v>184925</v>
      </c>
      <c r="H32" s="360">
        <v>179730</v>
      </c>
      <c r="I32" s="359">
        <v>179897</v>
      </c>
      <c r="J32" s="359">
        <v>179406</v>
      </c>
      <c r="K32" s="359">
        <v>180196</v>
      </c>
      <c r="L32" s="359">
        <v>179601</v>
      </c>
      <c r="M32" s="359">
        <v>182705</v>
      </c>
      <c r="N32" s="359">
        <v>184760</v>
      </c>
      <c r="O32" s="359">
        <v>186825</v>
      </c>
      <c r="P32" s="359">
        <v>182384</v>
      </c>
      <c r="Q32" s="358">
        <v>80657</v>
      </c>
      <c r="R32" s="455">
        <f t="shared" si="40"/>
        <v>77509.320000000007</v>
      </c>
      <c r="S32" s="455">
        <f t="shared" si="39"/>
        <v>80884.759999999995</v>
      </c>
      <c r="T32" s="359"/>
      <c r="U32" s="359">
        <v>76597</v>
      </c>
      <c r="V32" s="359">
        <v>74926</v>
      </c>
      <c r="W32" s="360">
        <v>73650</v>
      </c>
      <c r="X32" s="359">
        <v>67747</v>
      </c>
      <c r="Y32" s="359">
        <v>74895</v>
      </c>
      <c r="Z32" s="359">
        <v>77947</v>
      </c>
      <c r="AA32" s="359">
        <v>84106</v>
      </c>
      <c r="AB32" s="359">
        <v>90021</v>
      </c>
      <c r="AC32" s="1">
        <v>93457</v>
      </c>
      <c r="AD32" s="361">
        <v>94312</v>
      </c>
      <c r="AE32" s="361">
        <v>91385</v>
      </c>
      <c r="AF32" s="402">
        <v>43.750440720992422</v>
      </c>
      <c r="AG32" s="417">
        <v>42</v>
      </c>
      <c r="AH32" s="417">
        <v>44</v>
      </c>
      <c r="AI32" s="417">
        <v>43</v>
      </c>
      <c r="AJ32" s="417">
        <v>41.607096297583865</v>
      </c>
      <c r="AK32" s="417">
        <v>40.516966337704474</v>
      </c>
      <c r="AL32" s="417">
        <v>40.978133867467868</v>
      </c>
      <c r="AM32" s="417">
        <v>37.65877140808351</v>
      </c>
      <c r="AN32" s="417">
        <v>41.746095448312765</v>
      </c>
      <c r="AO32" s="417">
        <v>43.256787054096648</v>
      </c>
      <c r="AP32" s="417">
        <v>46.829360638303797</v>
      </c>
      <c r="AQ32" s="417">
        <v>49.271229577734601</v>
      </c>
      <c r="AR32" s="416">
        <f t="shared" si="41"/>
        <v>50.582918380601861</v>
      </c>
      <c r="AS32" s="416">
        <f t="shared" si="42"/>
        <v>50.481466613140633</v>
      </c>
      <c r="AT32" s="416">
        <f t="shared" si="42"/>
        <v>50.105820686025091</v>
      </c>
    </row>
    <row r="33" spans="1:46">
      <c r="A33" s="367" t="s">
        <v>135</v>
      </c>
      <c r="B33" s="358">
        <v>244755</v>
      </c>
      <c r="C33" s="359">
        <v>246521</v>
      </c>
      <c r="D33" s="359">
        <v>248515</v>
      </c>
      <c r="E33" s="359"/>
      <c r="F33" s="359">
        <v>249831</v>
      </c>
      <c r="G33" s="359">
        <v>260343</v>
      </c>
      <c r="H33" s="360">
        <v>265045</v>
      </c>
      <c r="I33" s="359">
        <v>271976</v>
      </c>
      <c r="J33" s="359">
        <v>274672</v>
      </c>
      <c r="K33" s="359">
        <v>276299</v>
      </c>
      <c r="L33" s="359">
        <v>275815</v>
      </c>
      <c r="M33" s="359">
        <v>276969</v>
      </c>
      <c r="N33" s="359">
        <v>284834</v>
      </c>
      <c r="O33" s="359">
        <v>294262</v>
      </c>
      <c r="P33" s="359">
        <v>290885</v>
      </c>
      <c r="Q33" s="358">
        <v>85824</v>
      </c>
      <c r="R33" s="455">
        <f t="shared" si="40"/>
        <v>88747.56</v>
      </c>
      <c r="S33" s="455">
        <f t="shared" si="39"/>
        <v>89465.4</v>
      </c>
      <c r="T33" s="359"/>
      <c r="U33" s="359">
        <v>98743</v>
      </c>
      <c r="V33" s="359">
        <v>99093</v>
      </c>
      <c r="W33" s="360">
        <v>99639</v>
      </c>
      <c r="X33" s="359">
        <v>101202</v>
      </c>
      <c r="Y33" s="359">
        <v>109071</v>
      </c>
      <c r="Z33" s="359">
        <v>118932</v>
      </c>
      <c r="AA33" s="359">
        <v>124104</v>
      </c>
      <c r="AB33" s="359">
        <v>135642</v>
      </c>
      <c r="AC33" s="1">
        <v>134560</v>
      </c>
      <c r="AD33" s="361">
        <v>138886</v>
      </c>
      <c r="AE33" s="361">
        <v>141199</v>
      </c>
      <c r="AF33" s="402">
        <v>35.065269350983634</v>
      </c>
      <c r="AG33" s="417">
        <v>36</v>
      </c>
      <c r="AH33" s="417">
        <v>36</v>
      </c>
      <c r="AI33" s="417">
        <v>37</v>
      </c>
      <c r="AJ33" s="417">
        <v>39.52391816868203</v>
      </c>
      <c r="AK33" s="417">
        <v>38.062479114091794</v>
      </c>
      <c r="AL33" s="417">
        <v>37.593238883963096</v>
      </c>
      <c r="AM33" s="417">
        <v>37.209900873606493</v>
      </c>
      <c r="AN33" s="417">
        <v>39.709544474864565</v>
      </c>
      <c r="AO33" s="417">
        <v>43.044672619155335</v>
      </c>
      <c r="AP33" s="417">
        <v>44.995377336257995</v>
      </c>
      <c r="AQ33" s="417">
        <v>48.973711859449978</v>
      </c>
      <c r="AR33" s="416">
        <f t="shared" si="41"/>
        <v>47.241551219306679</v>
      </c>
      <c r="AS33" s="416">
        <f t="shared" si="42"/>
        <v>47.198075184699348</v>
      </c>
      <c r="AT33" s="416">
        <f t="shared" si="42"/>
        <v>48.541176066142974</v>
      </c>
    </row>
    <row r="34" spans="1:46">
      <c r="A34" s="367" t="s">
        <v>145</v>
      </c>
      <c r="B34" s="358">
        <v>154438</v>
      </c>
      <c r="C34" s="359">
        <v>151947</v>
      </c>
      <c r="D34" s="359">
        <v>149995</v>
      </c>
      <c r="E34" s="359"/>
      <c r="F34" s="359">
        <v>144049</v>
      </c>
      <c r="G34" s="359">
        <v>143093</v>
      </c>
      <c r="H34" s="360">
        <v>142137</v>
      </c>
      <c r="I34" s="359">
        <v>140715</v>
      </c>
      <c r="J34" s="359">
        <v>140430</v>
      </c>
      <c r="K34" s="359">
        <v>140553</v>
      </c>
      <c r="L34" s="359">
        <v>140497</v>
      </c>
      <c r="M34" s="359">
        <v>142349</v>
      </c>
      <c r="N34" s="359">
        <v>142908</v>
      </c>
      <c r="O34" s="359">
        <v>144129</v>
      </c>
      <c r="P34" s="359">
        <v>144532</v>
      </c>
      <c r="Q34" s="358">
        <v>47415</v>
      </c>
      <c r="R34" s="455">
        <f t="shared" si="40"/>
        <v>47103.57</v>
      </c>
      <c r="S34" s="455">
        <f t="shared" si="39"/>
        <v>47998.400000000001</v>
      </c>
      <c r="T34" s="359"/>
      <c r="U34" s="359">
        <v>49367</v>
      </c>
      <c r="V34" s="359">
        <v>50172</v>
      </c>
      <c r="W34" s="360">
        <v>50656</v>
      </c>
      <c r="X34" s="359">
        <v>50936</v>
      </c>
      <c r="Y34" s="359">
        <v>52021</v>
      </c>
      <c r="Z34" s="359">
        <v>56201</v>
      </c>
      <c r="AA34" s="359">
        <v>57836</v>
      </c>
      <c r="AB34" s="359">
        <v>57349</v>
      </c>
      <c r="AC34" s="1">
        <v>60262</v>
      </c>
      <c r="AD34" s="361">
        <v>59717</v>
      </c>
      <c r="AE34" s="361">
        <v>63014</v>
      </c>
      <c r="AF34" s="402">
        <v>30.701640787888991</v>
      </c>
      <c r="AG34" s="417">
        <v>31</v>
      </c>
      <c r="AH34" s="417">
        <v>32</v>
      </c>
      <c r="AI34" s="417">
        <v>34</v>
      </c>
      <c r="AJ34" s="417">
        <v>34.270977236912444</v>
      </c>
      <c r="AK34" s="417">
        <v>35.062511793029714</v>
      </c>
      <c r="AL34" s="417">
        <v>35.638855470426414</v>
      </c>
      <c r="AM34" s="417">
        <v>36.197988842696233</v>
      </c>
      <c r="AN34" s="417">
        <v>37.044078900519835</v>
      </c>
      <c r="AO34" s="417">
        <v>39.985628197192518</v>
      </c>
      <c r="AP34" s="417">
        <v>41.16529178558973</v>
      </c>
      <c r="AQ34" s="417">
        <v>40.287603003884819</v>
      </c>
      <c r="AR34" s="416">
        <f t="shared" si="41"/>
        <v>42.16838805385283</v>
      </c>
      <c r="AS34" s="416">
        <f t="shared" si="42"/>
        <v>41.433021806853581</v>
      </c>
      <c r="AT34" s="416">
        <f t="shared" si="42"/>
        <v>43.598649434035366</v>
      </c>
    </row>
    <row r="35" spans="1:46">
      <c r="A35" s="367" t="s">
        <v>147</v>
      </c>
      <c r="B35" s="358">
        <v>282621</v>
      </c>
      <c r="C35" s="359">
        <v>356814</v>
      </c>
      <c r="D35" s="359">
        <v>369498</v>
      </c>
      <c r="E35" s="359"/>
      <c r="F35" s="359">
        <v>397502</v>
      </c>
      <c r="G35" s="359">
        <v>410531</v>
      </c>
      <c r="H35" s="360">
        <v>424766</v>
      </c>
      <c r="I35" s="359">
        <v>423309</v>
      </c>
      <c r="J35" s="359">
        <v>422250</v>
      </c>
      <c r="K35" s="359">
        <v>426838</v>
      </c>
      <c r="L35" s="359">
        <v>436840</v>
      </c>
      <c r="M35" s="359">
        <v>438745</v>
      </c>
      <c r="N35" s="359">
        <v>445707</v>
      </c>
      <c r="O35" s="359">
        <v>451831</v>
      </c>
      <c r="P35" s="359">
        <v>459189</v>
      </c>
      <c r="Q35" s="358">
        <v>92978</v>
      </c>
      <c r="R35" s="455">
        <f t="shared" si="40"/>
        <v>107044.2</v>
      </c>
      <c r="S35" s="455">
        <f t="shared" si="39"/>
        <v>125629.32</v>
      </c>
      <c r="T35" s="359"/>
      <c r="U35" s="359">
        <v>114155</v>
      </c>
      <c r="V35" s="359">
        <v>170039</v>
      </c>
      <c r="W35" s="360">
        <v>172831</v>
      </c>
      <c r="X35" s="359">
        <v>169144</v>
      </c>
      <c r="Y35" s="359">
        <v>169185</v>
      </c>
      <c r="Z35" s="359">
        <v>182399</v>
      </c>
      <c r="AA35" s="359">
        <v>219904</v>
      </c>
      <c r="AB35" s="359">
        <v>237212</v>
      </c>
      <c r="AC35" s="1">
        <v>228660</v>
      </c>
      <c r="AD35" s="361">
        <v>238936</v>
      </c>
      <c r="AE35" s="361">
        <v>239867</v>
      </c>
      <c r="AF35" s="402">
        <v>32.898475343304284</v>
      </c>
      <c r="AG35" s="417">
        <v>30</v>
      </c>
      <c r="AH35" s="417">
        <v>34</v>
      </c>
      <c r="AI35" s="417">
        <v>34</v>
      </c>
      <c r="AJ35" s="417">
        <v>28.718094500153455</v>
      </c>
      <c r="AK35" s="417">
        <v>41.419283805607861</v>
      </c>
      <c r="AL35" s="417">
        <v>40.688520267629706</v>
      </c>
      <c r="AM35" s="417">
        <v>39.957572364395752</v>
      </c>
      <c r="AN35" s="417">
        <v>40.06749555950266</v>
      </c>
      <c r="AO35" s="417">
        <v>42.732605812978228</v>
      </c>
      <c r="AP35" s="417">
        <v>50.339712480542076</v>
      </c>
      <c r="AQ35" s="417">
        <v>54.066029242498495</v>
      </c>
      <c r="AR35" s="416">
        <f t="shared" si="41"/>
        <v>51.302761679758227</v>
      </c>
      <c r="AS35" s="416">
        <f t="shared" si="42"/>
        <v>52.881719049821726</v>
      </c>
      <c r="AT35" s="416">
        <f t="shared" si="42"/>
        <v>52.237096271905472</v>
      </c>
    </row>
    <row r="36" spans="1:46">
      <c r="A36" s="367" t="s">
        <v>150</v>
      </c>
      <c r="B36" s="358">
        <v>320303</v>
      </c>
      <c r="C36" s="359">
        <v>320260</v>
      </c>
      <c r="D36" s="359">
        <v>320234</v>
      </c>
      <c r="E36" s="359"/>
      <c r="F36" s="359">
        <v>326103</v>
      </c>
      <c r="G36" s="359">
        <v>326755</v>
      </c>
      <c r="H36" s="360">
        <v>326113</v>
      </c>
      <c r="I36" s="359">
        <v>321544</v>
      </c>
      <c r="J36" s="359">
        <v>322363</v>
      </c>
      <c r="K36" s="359">
        <v>327689</v>
      </c>
      <c r="L36" s="359">
        <v>335810</v>
      </c>
      <c r="M36" s="359">
        <v>333331</v>
      </c>
      <c r="N36" s="359">
        <v>338220</v>
      </c>
      <c r="O36" s="359">
        <v>339058</v>
      </c>
      <c r="P36" s="359">
        <v>340365</v>
      </c>
      <c r="Q36" s="358">
        <v>174939</v>
      </c>
      <c r="R36" s="455">
        <f t="shared" si="40"/>
        <v>176143</v>
      </c>
      <c r="S36" s="455">
        <f t="shared" si="39"/>
        <v>182533.38</v>
      </c>
      <c r="T36" s="359"/>
      <c r="U36" s="359">
        <v>189523</v>
      </c>
      <c r="V36" s="359">
        <v>181916</v>
      </c>
      <c r="W36" s="360">
        <v>198304</v>
      </c>
      <c r="X36" s="359">
        <v>199302</v>
      </c>
      <c r="Y36" s="359">
        <v>202758</v>
      </c>
      <c r="Z36" s="359">
        <v>218203</v>
      </c>
      <c r="AA36" s="359">
        <v>227077</v>
      </c>
      <c r="AB36" s="359">
        <v>228227</v>
      </c>
      <c r="AC36" s="1">
        <v>229249</v>
      </c>
      <c r="AD36" s="361">
        <v>227413</v>
      </c>
      <c r="AE36" s="361">
        <v>211610</v>
      </c>
      <c r="AF36" s="402">
        <v>54.616722291080634</v>
      </c>
      <c r="AG36" s="417">
        <v>55</v>
      </c>
      <c r="AH36" s="417">
        <v>57</v>
      </c>
      <c r="AI36" s="417">
        <v>58</v>
      </c>
      <c r="AJ36" s="417">
        <v>58.117527284324275</v>
      </c>
      <c r="AK36" s="417">
        <v>55.673516855136107</v>
      </c>
      <c r="AL36" s="417">
        <v>60.808370104840961</v>
      </c>
      <c r="AM36" s="417">
        <v>61.982807951633369</v>
      </c>
      <c r="AN36" s="417">
        <v>62.897416887173776</v>
      </c>
      <c r="AO36" s="417">
        <v>66.588442089908412</v>
      </c>
      <c r="AP36" s="417">
        <v>67.62067835978678</v>
      </c>
      <c r="AQ36" s="417">
        <v>68.468579280054968</v>
      </c>
      <c r="AR36" s="416">
        <f t="shared" si="41"/>
        <v>67.781030098752296</v>
      </c>
      <c r="AS36" s="416">
        <f t="shared" si="42"/>
        <v>67.072005379610573</v>
      </c>
      <c r="AT36" s="416">
        <f t="shared" si="42"/>
        <v>62.171492368486767</v>
      </c>
    </row>
    <row r="37" spans="1:46">
      <c r="A37" s="367" t="s">
        <v>154</v>
      </c>
      <c r="B37" s="358">
        <v>535617</v>
      </c>
      <c r="C37" s="359">
        <v>551480</v>
      </c>
      <c r="D37" s="359">
        <v>554071</v>
      </c>
      <c r="E37" s="359"/>
      <c r="F37" s="359">
        <v>538360</v>
      </c>
      <c r="G37" s="359">
        <v>534814</v>
      </c>
      <c r="H37" s="360">
        <v>553054</v>
      </c>
      <c r="I37" s="359">
        <v>558791</v>
      </c>
      <c r="J37" s="359">
        <v>553825</v>
      </c>
      <c r="K37" s="359">
        <v>541789</v>
      </c>
      <c r="L37" s="359">
        <v>553468</v>
      </c>
      <c r="M37" s="359">
        <v>540266</v>
      </c>
      <c r="N37" s="359">
        <v>587564</v>
      </c>
      <c r="O37" s="359">
        <v>554656</v>
      </c>
      <c r="P37" s="359">
        <v>601318</v>
      </c>
      <c r="Q37" s="358">
        <v>186203</v>
      </c>
      <c r="R37" s="455">
        <f t="shared" si="40"/>
        <v>198532.8</v>
      </c>
      <c r="S37" s="455">
        <f t="shared" si="39"/>
        <v>210546.98</v>
      </c>
      <c r="T37" s="359"/>
      <c r="U37" s="359">
        <v>225735</v>
      </c>
      <c r="V37" s="359">
        <v>230737</v>
      </c>
      <c r="W37" s="360">
        <v>232435</v>
      </c>
      <c r="X37" s="359">
        <v>235632</v>
      </c>
      <c r="Y37" s="359">
        <v>255795</v>
      </c>
      <c r="Z37" s="359">
        <v>272196</v>
      </c>
      <c r="AA37" s="359">
        <v>280174</v>
      </c>
      <c r="AB37" s="359">
        <v>287214</v>
      </c>
      <c r="AC37" s="1">
        <v>286635</v>
      </c>
      <c r="AD37" s="361">
        <v>281580</v>
      </c>
      <c r="AE37" s="361">
        <v>287720</v>
      </c>
      <c r="AF37" s="402">
        <v>34.764206513236132</v>
      </c>
      <c r="AG37" s="417">
        <v>36</v>
      </c>
      <c r="AH37" s="417">
        <v>38</v>
      </c>
      <c r="AI37" s="417">
        <v>41</v>
      </c>
      <c r="AJ37" s="417">
        <v>41.930121108551901</v>
      </c>
      <c r="AK37" s="417">
        <v>43.143410606304251</v>
      </c>
      <c r="AL37" s="417">
        <v>42.027541614381235</v>
      </c>
      <c r="AM37" s="417">
        <v>42.168180947796223</v>
      </c>
      <c r="AN37" s="417">
        <v>46.186972419085457</v>
      </c>
      <c r="AO37" s="417">
        <v>50.240222669710896</v>
      </c>
      <c r="AP37" s="417">
        <v>50.621535481726134</v>
      </c>
      <c r="AQ37" s="417">
        <v>53.161590771953072</v>
      </c>
      <c r="AR37" s="416">
        <f t="shared" si="41"/>
        <v>48.783621869277219</v>
      </c>
      <c r="AS37" s="416">
        <f t="shared" si="42"/>
        <v>50.766601280793864</v>
      </c>
      <c r="AT37" s="416">
        <f t="shared" si="42"/>
        <v>47.848226728619466</v>
      </c>
    </row>
    <row r="38" spans="1:46">
      <c r="A38" s="367" t="s">
        <v>158</v>
      </c>
      <c r="B38" s="358">
        <v>470265</v>
      </c>
      <c r="C38" s="359">
        <v>484677</v>
      </c>
      <c r="D38" s="359">
        <v>489072</v>
      </c>
      <c r="E38" s="359"/>
      <c r="F38" s="359">
        <v>494533</v>
      </c>
      <c r="G38" s="359">
        <v>508399</v>
      </c>
      <c r="H38" s="360">
        <v>520331</v>
      </c>
      <c r="I38" s="359">
        <v>526542</v>
      </c>
      <c r="J38" s="359">
        <v>553040</v>
      </c>
      <c r="K38" s="359">
        <v>580718</v>
      </c>
      <c r="L38" s="359">
        <v>585552</v>
      </c>
      <c r="M38" s="359">
        <v>598294</v>
      </c>
      <c r="N38" s="359">
        <v>613279</v>
      </c>
      <c r="O38" s="359">
        <v>625093</v>
      </c>
      <c r="P38" s="359">
        <v>635577</v>
      </c>
      <c r="Q38" s="358">
        <v>135428</v>
      </c>
      <c r="R38" s="455">
        <f t="shared" si="40"/>
        <v>140556.32999999999</v>
      </c>
      <c r="S38" s="455">
        <f t="shared" si="39"/>
        <v>151612.32</v>
      </c>
      <c r="T38" s="359"/>
      <c r="U38" s="359">
        <v>160051</v>
      </c>
      <c r="V38" s="359">
        <v>164255</v>
      </c>
      <c r="W38" s="360">
        <v>160559</v>
      </c>
      <c r="X38" s="359">
        <v>172576</v>
      </c>
      <c r="Y38" s="359">
        <v>174729</v>
      </c>
      <c r="Z38" s="359">
        <v>244433</v>
      </c>
      <c r="AA38" s="359">
        <v>223943</v>
      </c>
      <c r="AB38" s="359">
        <v>284910</v>
      </c>
      <c r="AC38" s="1">
        <v>362933</v>
      </c>
      <c r="AD38" s="361">
        <v>231165</v>
      </c>
      <c r="AE38" s="361">
        <v>234776</v>
      </c>
      <c r="AF38" s="402">
        <v>28.79823078477029</v>
      </c>
      <c r="AG38" s="417">
        <v>29</v>
      </c>
      <c r="AH38" s="417">
        <v>31</v>
      </c>
      <c r="AI38" s="417">
        <v>32</v>
      </c>
      <c r="AJ38" s="417">
        <v>32.364068727466119</v>
      </c>
      <c r="AK38" s="417">
        <v>32.308285421489813</v>
      </c>
      <c r="AL38" s="417">
        <v>30.857089045242354</v>
      </c>
      <c r="AM38" s="417">
        <v>32.775353153214745</v>
      </c>
      <c r="AN38" s="417">
        <v>31.594278894835814</v>
      </c>
      <c r="AO38" s="417">
        <v>42.091514297817525</v>
      </c>
      <c r="AP38" s="417">
        <v>38.244767330655513</v>
      </c>
      <c r="AQ38" s="417">
        <v>47.620400672579031</v>
      </c>
      <c r="AR38" s="416">
        <f t="shared" si="41"/>
        <v>59.179101192116477</v>
      </c>
      <c r="AS38" s="416">
        <f t="shared" si="42"/>
        <v>36.980897242490315</v>
      </c>
      <c r="AT38" s="416">
        <f t="shared" si="42"/>
        <v>36.939033350797779</v>
      </c>
    </row>
    <row r="39" spans="1:46">
      <c r="A39" s="367" t="s">
        <v>160</v>
      </c>
      <c r="B39" s="358">
        <v>1004770</v>
      </c>
      <c r="C39" s="359">
        <v>1009200</v>
      </c>
      <c r="D39" s="359">
        <v>1014798</v>
      </c>
      <c r="E39" s="359"/>
      <c r="F39" s="359">
        <v>1019982</v>
      </c>
      <c r="G39" s="359">
        <v>1031967</v>
      </c>
      <c r="H39" s="360">
        <v>1021710</v>
      </c>
      <c r="I39" s="359">
        <v>1030247</v>
      </c>
      <c r="J39" s="359">
        <v>997244</v>
      </c>
      <c r="K39" s="359">
        <v>996604</v>
      </c>
      <c r="L39" s="359">
        <v>1043466</v>
      </c>
      <c r="M39" s="359">
        <v>1041934</v>
      </c>
      <c r="N39" s="359">
        <v>1051694</v>
      </c>
      <c r="O39" s="359">
        <v>1058509</v>
      </c>
      <c r="P39" s="359">
        <v>1073638</v>
      </c>
      <c r="Q39" s="358">
        <v>326295</v>
      </c>
      <c r="R39" s="455">
        <f t="shared" si="40"/>
        <v>312852</v>
      </c>
      <c r="S39" s="455">
        <f t="shared" si="39"/>
        <v>345031.32</v>
      </c>
      <c r="T39" s="359"/>
      <c r="U39" s="359">
        <v>368022</v>
      </c>
      <c r="V39" s="359">
        <v>376198</v>
      </c>
      <c r="W39" s="360">
        <v>375159</v>
      </c>
      <c r="X39" s="359">
        <v>383802</v>
      </c>
      <c r="Y39" s="359">
        <v>396602</v>
      </c>
      <c r="Z39" s="359">
        <v>428258</v>
      </c>
      <c r="AA39" s="359">
        <v>418065</v>
      </c>
      <c r="AB39" s="359">
        <v>463246</v>
      </c>
      <c r="AC39" s="1">
        <v>474940</v>
      </c>
      <c r="AD39" s="361">
        <v>489870</v>
      </c>
      <c r="AE39" s="361">
        <v>493292</v>
      </c>
      <c r="AF39" s="402">
        <v>32.474596176239338</v>
      </c>
      <c r="AG39" s="417">
        <v>31</v>
      </c>
      <c r="AH39" s="417">
        <v>34</v>
      </c>
      <c r="AI39" s="417">
        <v>35</v>
      </c>
      <c r="AJ39" s="417">
        <v>36.081224962793463</v>
      </c>
      <c r="AK39" s="417">
        <v>36.454460268593856</v>
      </c>
      <c r="AL39" s="417">
        <v>36.718736236309717</v>
      </c>
      <c r="AM39" s="417">
        <v>37.253396515592861</v>
      </c>
      <c r="AN39" s="417">
        <v>39.769805584190024</v>
      </c>
      <c r="AO39" s="417">
        <v>42.971732001878379</v>
      </c>
      <c r="AP39" s="417">
        <v>40.065033264140851</v>
      </c>
      <c r="AQ39" s="417">
        <v>44.460205732800731</v>
      </c>
      <c r="AR39" s="416">
        <f t="shared" si="41"/>
        <v>45.159523587659528</v>
      </c>
      <c r="AS39" s="416">
        <f t="shared" si="42"/>
        <v>46.279247507579058</v>
      </c>
      <c r="AT39" s="416">
        <f t="shared" si="42"/>
        <v>45.945840218025069</v>
      </c>
    </row>
    <row r="40" spans="1:46">
      <c r="A40" s="368" t="s">
        <v>162</v>
      </c>
      <c r="B40" s="364">
        <v>89895</v>
      </c>
      <c r="C40" s="365">
        <v>88128</v>
      </c>
      <c r="D40" s="365">
        <v>88116</v>
      </c>
      <c r="E40" s="365"/>
      <c r="F40" s="365">
        <v>84429</v>
      </c>
      <c r="G40" s="365">
        <v>84402</v>
      </c>
      <c r="H40" s="366">
        <v>85187</v>
      </c>
      <c r="I40" s="365">
        <v>86364</v>
      </c>
      <c r="J40" s="365">
        <v>87153</v>
      </c>
      <c r="K40" s="365">
        <v>88152</v>
      </c>
      <c r="L40" s="365">
        <v>88779</v>
      </c>
      <c r="M40" s="365">
        <v>89363</v>
      </c>
      <c r="N40" s="365">
        <v>91533</v>
      </c>
      <c r="O40" s="464">
        <v>92563</v>
      </c>
      <c r="P40" s="14">
        <v>94067</v>
      </c>
      <c r="Q40" s="364">
        <v>43483</v>
      </c>
      <c r="R40" s="457" t="s">
        <v>318</v>
      </c>
      <c r="S40" s="458">
        <f t="shared" si="39"/>
        <v>26434.799999999999</v>
      </c>
      <c r="T40" s="365"/>
      <c r="U40" s="365">
        <v>27141</v>
      </c>
      <c r="V40" s="365">
        <v>26707</v>
      </c>
      <c r="W40" s="366">
        <v>25284</v>
      </c>
      <c r="X40" s="365">
        <v>25944</v>
      </c>
      <c r="Y40" s="365">
        <v>27050</v>
      </c>
      <c r="Z40" s="365">
        <v>31054</v>
      </c>
      <c r="AA40" s="365">
        <v>32968</v>
      </c>
      <c r="AB40" s="365">
        <v>33145</v>
      </c>
      <c r="AC40" s="365">
        <v>34617</v>
      </c>
      <c r="AD40" s="489">
        <v>34861</v>
      </c>
      <c r="AE40" s="497">
        <v>35393</v>
      </c>
      <c r="AF40" s="403">
        <v>48.370877134434622</v>
      </c>
      <c r="AG40" s="418" t="s">
        <v>318</v>
      </c>
      <c r="AH40" s="418">
        <v>30</v>
      </c>
      <c r="AI40" s="418">
        <v>31</v>
      </c>
      <c r="AJ40" s="418">
        <v>32.146537327221694</v>
      </c>
      <c r="AK40" s="418">
        <v>31.642615103907488</v>
      </c>
      <c r="AL40" s="418">
        <v>29.680585065796421</v>
      </c>
      <c r="AM40" s="418">
        <v>30.040294567180769</v>
      </c>
      <c r="AN40" s="418">
        <v>31.037371060089725</v>
      </c>
      <c r="AO40" s="418">
        <v>35.22778836555041</v>
      </c>
      <c r="AP40" s="418">
        <v>37.134908030052152</v>
      </c>
      <c r="AQ40" s="418">
        <v>37.090294640958788</v>
      </c>
      <c r="AR40" s="465">
        <f t="shared" si="41"/>
        <v>37.819147192815706</v>
      </c>
      <c r="AS40" s="465">
        <f t="shared" si="42"/>
        <v>37.661916748592851</v>
      </c>
      <c r="AT40" s="465">
        <f t="shared" si="42"/>
        <v>37.62530961973912</v>
      </c>
    </row>
    <row r="41" spans="1:46">
      <c r="A41" s="290"/>
      <c r="B41" s="358"/>
      <c r="C41" s="359"/>
      <c r="D41" s="359"/>
      <c r="E41" s="359"/>
      <c r="F41" s="359"/>
      <c r="G41" s="359"/>
      <c r="H41" s="360"/>
      <c r="I41" s="359"/>
      <c r="J41" s="359"/>
      <c r="K41" s="359"/>
      <c r="L41" s="359"/>
      <c r="M41" s="359"/>
      <c r="N41" s="359"/>
      <c r="O41" s="359"/>
      <c r="P41" s="359"/>
      <c r="Q41" s="358"/>
      <c r="R41" s="359"/>
      <c r="S41" s="359"/>
      <c r="T41" s="359"/>
      <c r="U41" s="359"/>
      <c r="V41" s="359"/>
      <c r="W41" s="360"/>
      <c r="X41" s="359"/>
      <c r="Y41" s="359"/>
      <c r="Z41" s="359"/>
      <c r="AA41" s="359"/>
      <c r="AB41" s="359"/>
      <c r="AC41" s="1"/>
      <c r="AD41" s="8"/>
      <c r="AE41" s="8"/>
      <c r="AF41" s="402"/>
      <c r="AG41" s="417"/>
      <c r="AH41" s="417"/>
      <c r="AI41" s="417"/>
      <c r="AJ41" s="417"/>
      <c r="AK41" s="417"/>
      <c r="AL41" s="417"/>
      <c r="AM41" s="417"/>
      <c r="AN41" s="417"/>
      <c r="AO41" s="417"/>
      <c r="AP41" s="417"/>
      <c r="AQ41" s="417"/>
      <c r="AR41" s="416"/>
      <c r="AS41" s="416"/>
      <c r="AT41" s="416"/>
    </row>
    <row r="42" spans="1:46">
      <c r="A42" s="367" t="s">
        <v>136</v>
      </c>
      <c r="B42" s="358">
        <v>2048792</v>
      </c>
      <c r="C42" s="359">
        <v>2071391</v>
      </c>
      <c r="D42" s="359">
        <v>2084187</v>
      </c>
      <c r="E42" s="359"/>
      <c r="F42" s="359">
        <v>1989386</v>
      </c>
      <c r="G42" s="359">
        <v>1976077</v>
      </c>
      <c r="H42" s="360">
        <v>1944728</v>
      </c>
      <c r="I42" s="359">
        <v>1955299</v>
      </c>
      <c r="J42" s="359">
        <v>1977007</v>
      </c>
      <c r="K42" s="359">
        <v>1954124</v>
      </c>
      <c r="L42" s="359">
        <v>1973401</v>
      </c>
      <c r="M42" s="359">
        <v>2068926</v>
      </c>
      <c r="N42" s="359">
        <v>2072880</v>
      </c>
      <c r="O42" s="359">
        <v>2049231</v>
      </c>
      <c r="P42" s="359">
        <v>2050239</v>
      </c>
      <c r="Q42" s="358">
        <v>759973</v>
      </c>
      <c r="R42" s="455">
        <f t="shared" ref="R42:R53" si="43">(C42*AG42)/100</f>
        <v>724986.85</v>
      </c>
      <c r="S42" s="455">
        <f t="shared" ref="S42:S53" si="44">(D42*AH42)/100</f>
        <v>750307.32</v>
      </c>
      <c r="T42" s="359"/>
      <c r="U42" s="359">
        <v>785978</v>
      </c>
      <c r="V42" s="359">
        <v>785715</v>
      </c>
      <c r="W42" s="360">
        <v>794322</v>
      </c>
      <c r="X42" s="359">
        <v>810398</v>
      </c>
      <c r="Y42" s="359">
        <v>832946</v>
      </c>
      <c r="Z42" s="359">
        <v>901759</v>
      </c>
      <c r="AA42" s="359">
        <v>921471</v>
      </c>
      <c r="AB42" s="359">
        <v>1014713</v>
      </c>
      <c r="AC42" s="1">
        <v>1027336</v>
      </c>
      <c r="AD42" s="361">
        <v>1044588</v>
      </c>
      <c r="AE42" s="361">
        <v>1104382</v>
      </c>
      <c r="AF42" s="402">
        <v>37.093711806762229</v>
      </c>
      <c r="AG42" s="417">
        <v>35</v>
      </c>
      <c r="AH42" s="417">
        <v>36</v>
      </c>
      <c r="AI42" s="417">
        <v>37</v>
      </c>
      <c r="AJ42" s="417">
        <v>39.508571991559208</v>
      </c>
      <c r="AK42" s="417">
        <v>39.761355453254097</v>
      </c>
      <c r="AL42" s="417">
        <v>40.844889362419835</v>
      </c>
      <c r="AM42" s="417">
        <v>41.446244282843701</v>
      </c>
      <c r="AN42" s="417">
        <v>42.131666706288854</v>
      </c>
      <c r="AO42" s="417">
        <v>46.146457440776537</v>
      </c>
      <c r="AP42" s="417">
        <v>46.694564358688382</v>
      </c>
      <c r="AQ42" s="417">
        <v>49.045398433776754</v>
      </c>
      <c r="AR42" s="416">
        <f t="shared" ref="AR42:AR53" si="45">(AC42/N42)*100</f>
        <v>49.5608042916136</v>
      </c>
      <c r="AS42" s="416">
        <f t="shared" ref="AS42:AT53" si="46">(AD42/O42)*100</f>
        <v>50.974633899252943</v>
      </c>
      <c r="AT42" s="416">
        <f t="shared" si="46"/>
        <v>53.866012694129807</v>
      </c>
    </row>
    <row r="43" spans="1:46">
      <c r="A43" s="367" t="s">
        <v>137</v>
      </c>
      <c r="B43" s="358">
        <v>977219</v>
      </c>
      <c r="C43" s="359">
        <v>996133</v>
      </c>
      <c r="D43" s="359">
        <v>1003875</v>
      </c>
      <c r="E43" s="359"/>
      <c r="F43" s="359">
        <v>1005569</v>
      </c>
      <c r="G43" s="359">
        <v>1034719</v>
      </c>
      <c r="H43" s="360">
        <v>1044175</v>
      </c>
      <c r="I43" s="359">
        <v>1044593</v>
      </c>
      <c r="J43" s="359">
        <v>1045833</v>
      </c>
      <c r="K43" s="359">
        <v>1046357</v>
      </c>
      <c r="L43" s="359">
        <v>1038817</v>
      </c>
      <c r="M43" s="359">
        <v>1037779</v>
      </c>
      <c r="N43" s="359">
        <v>1041369</v>
      </c>
      <c r="O43" s="359">
        <v>1047385</v>
      </c>
      <c r="P43" s="359">
        <v>1046269</v>
      </c>
      <c r="Q43" s="358">
        <v>285267</v>
      </c>
      <c r="R43" s="455">
        <f t="shared" si="43"/>
        <v>308801.23</v>
      </c>
      <c r="S43" s="455">
        <f t="shared" si="44"/>
        <v>321240</v>
      </c>
      <c r="T43" s="359"/>
      <c r="U43" s="359">
        <v>365374</v>
      </c>
      <c r="V43" s="359">
        <v>373433</v>
      </c>
      <c r="W43" s="360">
        <v>392272</v>
      </c>
      <c r="X43" s="359">
        <v>410324</v>
      </c>
      <c r="Y43" s="359">
        <v>437293</v>
      </c>
      <c r="Z43" s="359">
        <v>474326</v>
      </c>
      <c r="AA43" s="359">
        <v>485728</v>
      </c>
      <c r="AB43" s="359">
        <v>497663</v>
      </c>
      <c r="AC43" s="1">
        <v>509604</v>
      </c>
      <c r="AD43" s="361">
        <v>514937</v>
      </c>
      <c r="AE43" s="361">
        <v>513987</v>
      </c>
      <c r="AF43" s="402">
        <v>29.191716493436985</v>
      </c>
      <c r="AG43" s="417">
        <v>31</v>
      </c>
      <c r="AH43" s="417">
        <v>32</v>
      </c>
      <c r="AI43" s="417">
        <v>34</v>
      </c>
      <c r="AJ43" s="417">
        <v>36.335050105959908</v>
      </c>
      <c r="AK43" s="417">
        <v>36.090281516044456</v>
      </c>
      <c r="AL43" s="417">
        <v>37.567649100964879</v>
      </c>
      <c r="AM43" s="417">
        <v>39.28075336518625</v>
      </c>
      <c r="AN43" s="417">
        <v>41.812889820841377</v>
      </c>
      <c r="AO43" s="417">
        <v>45.331182378480769</v>
      </c>
      <c r="AP43" s="417">
        <v>46.757802384828132</v>
      </c>
      <c r="AQ43" s="417">
        <v>47.954622323249943</v>
      </c>
      <c r="AR43" s="416">
        <f t="shared" si="45"/>
        <v>48.935967942199163</v>
      </c>
      <c r="AS43" s="416">
        <f t="shared" si="46"/>
        <v>49.164060970894177</v>
      </c>
      <c r="AT43" s="416">
        <f t="shared" si="46"/>
        <v>49.125702854619604</v>
      </c>
    </row>
    <row r="44" spans="1:46">
      <c r="A44" s="367" t="s">
        <v>138</v>
      </c>
      <c r="B44" s="358">
        <v>492021</v>
      </c>
      <c r="C44" s="359">
        <v>485932</v>
      </c>
      <c r="D44" s="359">
        <v>482210</v>
      </c>
      <c r="E44" s="359"/>
      <c r="F44" s="359">
        <v>477007</v>
      </c>
      <c r="G44" s="359">
        <v>481094</v>
      </c>
      <c r="H44" s="360">
        <v>481181</v>
      </c>
      <c r="I44" s="359">
        <v>482204</v>
      </c>
      <c r="J44" s="359">
        <v>482735</v>
      </c>
      <c r="K44" s="359">
        <v>482123</v>
      </c>
      <c r="L44" s="359">
        <v>484856</v>
      </c>
      <c r="M44" s="359">
        <v>485358</v>
      </c>
      <c r="N44" s="359">
        <v>499825</v>
      </c>
      <c r="O44" s="359">
        <v>494278</v>
      </c>
      <c r="P44" s="359">
        <v>505311</v>
      </c>
      <c r="Q44" s="358">
        <v>131553</v>
      </c>
      <c r="R44" s="455">
        <f t="shared" si="43"/>
        <v>131201.64000000001</v>
      </c>
      <c r="S44" s="455">
        <f t="shared" si="44"/>
        <v>135018.79999999999</v>
      </c>
      <c r="T44" s="359"/>
      <c r="U44" s="359">
        <v>148429</v>
      </c>
      <c r="V44" s="359">
        <v>154416</v>
      </c>
      <c r="W44" s="360">
        <v>155065</v>
      </c>
      <c r="X44" s="359">
        <v>161551</v>
      </c>
      <c r="Y44" s="359">
        <v>165830</v>
      </c>
      <c r="Z44" s="359">
        <v>179921</v>
      </c>
      <c r="AA44" s="359">
        <v>188486</v>
      </c>
      <c r="AB44" s="359">
        <v>194146</v>
      </c>
      <c r="AC44" s="1">
        <v>200417</v>
      </c>
      <c r="AD44" s="361">
        <v>201703</v>
      </c>
      <c r="AE44" s="361">
        <v>202288</v>
      </c>
      <c r="AF44" s="402">
        <v>26.737273409061807</v>
      </c>
      <c r="AG44" s="417">
        <v>27</v>
      </c>
      <c r="AH44" s="417">
        <v>28</v>
      </c>
      <c r="AI44" s="417">
        <v>30</v>
      </c>
      <c r="AJ44" s="417">
        <v>31.11673413597704</v>
      </c>
      <c r="AK44" s="417">
        <v>32.096845938631532</v>
      </c>
      <c r="AL44" s="417">
        <v>32.225919144770884</v>
      </c>
      <c r="AM44" s="417">
        <v>33.502625444832482</v>
      </c>
      <c r="AN44" s="417">
        <v>34.352180803132157</v>
      </c>
      <c r="AO44" s="417">
        <v>37.318485116868516</v>
      </c>
      <c r="AP44" s="417">
        <v>38.874634943158384</v>
      </c>
      <c r="AQ44" s="417">
        <v>40.000576893756772</v>
      </c>
      <c r="AR44" s="416">
        <f t="shared" si="45"/>
        <v>40.097434101935676</v>
      </c>
      <c r="AS44" s="416">
        <f t="shared" si="46"/>
        <v>40.807602199571903</v>
      </c>
      <c r="AT44" s="416">
        <f t="shared" si="46"/>
        <v>40.032376101054595</v>
      </c>
    </row>
    <row r="45" spans="1:46">
      <c r="A45" s="367" t="s">
        <v>139</v>
      </c>
      <c r="B45" s="358">
        <v>462594</v>
      </c>
      <c r="C45" s="359">
        <v>470205</v>
      </c>
      <c r="D45" s="359">
        <v>470957</v>
      </c>
      <c r="E45" s="359"/>
      <c r="F45" s="359">
        <v>466577</v>
      </c>
      <c r="G45" s="359">
        <v>466263</v>
      </c>
      <c r="H45" s="360">
        <v>459171</v>
      </c>
      <c r="I45" s="359">
        <v>468014</v>
      </c>
      <c r="J45" s="359">
        <v>470397</v>
      </c>
      <c r="K45" s="359">
        <v>469218</v>
      </c>
      <c r="L45" s="359">
        <v>479953</v>
      </c>
      <c r="M45" s="359">
        <v>481519</v>
      </c>
      <c r="N45" s="359">
        <v>489043</v>
      </c>
      <c r="O45" s="359">
        <v>491553</v>
      </c>
      <c r="P45" s="359">
        <v>497275</v>
      </c>
      <c r="Q45" s="358">
        <v>154693</v>
      </c>
      <c r="R45" s="455">
        <f t="shared" si="43"/>
        <v>159869.70000000001</v>
      </c>
      <c r="S45" s="455">
        <f t="shared" si="44"/>
        <v>169544.52</v>
      </c>
      <c r="T45" s="359"/>
      <c r="U45" s="359">
        <v>179878</v>
      </c>
      <c r="V45" s="359">
        <v>180919</v>
      </c>
      <c r="W45" s="360">
        <v>182860</v>
      </c>
      <c r="X45" s="359">
        <v>186948</v>
      </c>
      <c r="Y45" s="359">
        <v>202060</v>
      </c>
      <c r="Z45" s="359">
        <v>214437</v>
      </c>
      <c r="AA45" s="359">
        <v>228852</v>
      </c>
      <c r="AB45" s="359">
        <v>235362</v>
      </c>
      <c r="AC45" s="1">
        <v>233322</v>
      </c>
      <c r="AD45" s="361">
        <v>246033</v>
      </c>
      <c r="AE45" s="361">
        <v>244715</v>
      </c>
      <c r="AF45" s="402">
        <v>33.440338612260426</v>
      </c>
      <c r="AG45" s="417">
        <v>34</v>
      </c>
      <c r="AH45" s="417">
        <v>36</v>
      </c>
      <c r="AI45" s="417">
        <v>38</v>
      </c>
      <c r="AJ45" s="417">
        <v>38.552693338934404</v>
      </c>
      <c r="AK45" s="417">
        <v>38.80192080435291</v>
      </c>
      <c r="AL45" s="417">
        <v>39.823943585287395</v>
      </c>
      <c r="AM45" s="417">
        <v>39.944958911485557</v>
      </c>
      <c r="AN45" s="417">
        <v>42.955205921806474</v>
      </c>
      <c r="AO45" s="417">
        <v>45.7009321893022</v>
      </c>
      <c r="AP45" s="417">
        <v>47.682168879036077</v>
      </c>
      <c r="AQ45" s="417">
        <v>48.879068115692213</v>
      </c>
      <c r="AR45" s="416">
        <f t="shared" si="45"/>
        <v>47.709915079042133</v>
      </c>
      <c r="AS45" s="416">
        <f t="shared" si="46"/>
        <v>50.052181555193442</v>
      </c>
      <c r="AT45" s="416">
        <f t="shared" si="46"/>
        <v>49.211201045699063</v>
      </c>
    </row>
    <row r="46" spans="1:46">
      <c r="A46" s="367" t="s">
        <v>142</v>
      </c>
      <c r="B46" s="358">
        <v>1703260</v>
      </c>
      <c r="C46" s="359">
        <v>1730669</v>
      </c>
      <c r="D46" s="359">
        <v>1785160</v>
      </c>
      <c r="E46" s="359"/>
      <c r="F46" s="359">
        <v>1625345</v>
      </c>
      <c r="G46" s="359">
        <v>1711532</v>
      </c>
      <c r="H46" s="360">
        <v>1713777</v>
      </c>
      <c r="I46" s="359">
        <v>1665559</v>
      </c>
      <c r="J46" s="359">
        <v>1629880</v>
      </c>
      <c r="K46" s="359">
        <v>1615731</v>
      </c>
      <c r="L46" s="359">
        <v>1551861</v>
      </c>
      <c r="M46" s="359">
        <v>1532809</v>
      </c>
      <c r="N46" s="359">
        <v>1555370</v>
      </c>
      <c r="O46" s="359">
        <v>1506431</v>
      </c>
      <c r="P46" s="359">
        <v>1537922</v>
      </c>
      <c r="Q46" s="358">
        <v>504044</v>
      </c>
      <c r="R46" s="455">
        <f t="shared" si="43"/>
        <v>536507.39</v>
      </c>
      <c r="S46" s="455">
        <f t="shared" si="44"/>
        <v>553399.6</v>
      </c>
      <c r="T46" s="359"/>
      <c r="U46" s="359">
        <v>584773</v>
      </c>
      <c r="V46" s="359">
        <v>609754</v>
      </c>
      <c r="W46" s="360">
        <v>619879</v>
      </c>
      <c r="X46" s="359">
        <v>627239</v>
      </c>
      <c r="Y46" s="359">
        <v>681764</v>
      </c>
      <c r="Z46" s="359">
        <v>741028</v>
      </c>
      <c r="AA46" s="359">
        <v>719800</v>
      </c>
      <c r="AB46" s="359">
        <v>735010</v>
      </c>
      <c r="AC46" s="1">
        <v>724340</v>
      </c>
      <c r="AD46" s="361">
        <v>726974</v>
      </c>
      <c r="AE46" s="361">
        <v>695479</v>
      </c>
      <c r="AF46" s="402">
        <v>29.592898324389701</v>
      </c>
      <c r="AG46" s="417">
        <v>31</v>
      </c>
      <c r="AH46" s="417">
        <v>31</v>
      </c>
      <c r="AI46" s="417">
        <v>33</v>
      </c>
      <c r="AJ46" s="417">
        <v>35.978392279792907</v>
      </c>
      <c r="AK46" s="417">
        <v>35.626210903447905</v>
      </c>
      <c r="AL46" s="417">
        <v>36.170341882286898</v>
      </c>
      <c r="AM46" s="417">
        <v>37.659368416249436</v>
      </c>
      <c r="AN46" s="417">
        <v>41.829091712273296</v>
      </c>
      <c r="AO46" s="417">
        <v>45.863327496965773</v>
      </c>
      <c r="AP46" s="417">
        <v>46.383020128735758</v>
      </c>
      <c r="AQ46" s="417">
        <v>47.951832224367159</v>
      </c>
      <c r="AR46" s="416">
        <f t="shared" si="45"/>
        <v>46.570269453570532</v>
      </c>
      <c r="AS46" s="416">
        <f t="shared" si="46"/>
        <v>48.25803505105776</v>
      </c>
      <c r="AT46" s="416">
        <f t="shared" si="46"/>
        <v>45.221994353419745</v>
      </c>
    </row>
    <row r="47" spans="1:46">
      <c r="A47" s="367" t="s">
        <v>143</v>
      </c>
      <c r="B47" s="358">
        <v>854154</v>
      </c>
      <c r="C47" s="359">
        <v>851384</v>
      </c>
      <c r="D47" s="359">
        <v>846891</v>
      </c>
      <c r="E47" s="359"/>
      <c r="F47" s="359">
        <v>838433</v>
      </c>
      <c r="G47" s="359">
        <v>838998</v>
      </c>
      <c r="H47" s="360">
        <v>838453</v>
      </c>
      <c r="I47" s="359">
        <v>833547</v>
      </c>
      <c r="J47" s="359">
        <v>826121</v>
      </c>
      <c r="K47" s="359">
        <v>836936</v>
      </c>
      <c r="L47" s="359">
        <v>837930</v>
      </c>
      <c r="M47" s="359">
        <v>839645</v>
      </c>
      <c r="N47" s="359">
        <v>845404</v>
      </c>
      <c r="O47" s="359">
        <v>850454</v>
      </c>
      <c r="P47" s="359">
        <v>857235</v>
      </c>
      <c r="Q47" s="358">
        <v>218867</v>
      </c>
      <c r="R47" s="455">
        <f t="shared" si="43"/>
        <v>221359.84</v>
      </c>
      <c r="S47" s="455">
        <f t="shared" si="44"/>
        <v>228660.57</v>
      </c>
      <c r="T47" s="359"/>
      <c r="U47" s="359">
        <v>247520</v>
      </c>
      <c r="V47" s="359">
        <v>253938</v>
      </c>
      <c r="W47" s="360">
        <v>259532</v>
      </c>
      <c r="X47" s="359">
        <v>264646</v>
      </c>
      <c r="Y47" s="359">
        <v>270777</v>
      </c>
      <c r="Z47" s="359">
        <v>296756</v>
      </c>
      <c r="AA47" s="359">
        <v>306136</v>
      </c>
      <c r="AB47" s="359">
        <v>311645</v>
      </c>
      <c r="AC47" s="1">
        <v>323459</v>
      </c>
      <c r="AD47" s="361">
        <v>326864</v>
      </c>
      <c r="AE47" s="361">
        <v>328531</v>
      </c>
      <c r="AF47" s="402">
        <v>25.623833641240338</v>
      </c>
      <c r="AG47" s="417">
        <v>26</v>
      </c>
      <c r="AH47" s="417">
        <v>27</v>
      </c>
      <c r="AI47" s="417">
        <v>28</v>
      </c>
      <c r="AJ47" s="417">
        <v>29.521738767438784</v>
      </c>
      <c r="AK47" s="417">
        <v>30.266818276086475</v>
      </c>
      <c r="AL47" s="417">
        <v>30.953673014468315</v>
      </c>
      <c r="AM47" s="417">
        <v>31.749379459106684</v>
      </c>
      <c r="AN47" s="417">
        <v>32.776917667024563</v>
      </c>
      <c r="AO47" s="417">
        <v>35.457430436735905</v>
      </c>
      <c r="AP47" s="417">
        <v>36.534794075877457</v>
      </c>
      <c r="AQ47" s="417">
        <v>37.116281285543295</v>
      </c>
      <c r="AR47" s="416">
        <f t="shared" si="45"/>
        <v>38.260878822432822</v>
      </c>
      <c r="AS47" s="416">
        <f t="shared" si="46"/>
        <v>38.434059925639716</v>
      </c>
      <c r="AT47" s="416">
        <f t="shared" si="46"/>
        <v>38.324496783262468</v>
      </c>
    </row>
    <row r="48" spans="1:46">
      <c r="A48" s="367" t="s">
        <v>144</v>
      </c>
      <c r="B48" s="358">
        <v>912247</v>
      </c>
      <c r="C48" s="359">
        <v>909792</v>
      </c>
      <c r="D48" s="359">
        <v>924445</v>
      </c>
      <c r="E48" s="359"/>
      <c r="F48" s="359">
        <v>904123</v>
      </c>
      <c r="G48" s="359">
        <v>915844</v>
      </c>
      <c r="H48" s="360">
        <v>919668</v>
      </c>
      <c r="I48" s="359">
        <v>917188</v>
      </c>
      <c r="J48" s="359">
        <v>917871</v>
      </c>
      <c r="K48" s="359">
        <v>907811</v>
      </c>
      <c r="L48" s="359">
        <v>902375</v>
      </c>
      <c r="M48" s="359">
        <v>885138</v>
      </c>
      <c r="N48" s="359">
        <v>917900</v>
      </c>
      <c r="O48" s="359">
        <v>916933</v>
      </c>
      <c r="P48" s="359">
        <v>917785</v>
      </c>
      <c r="Q48" s="358">
        <v>315608</v>
      </c>
      <c r="R48" s="455">
        <f t="shared" si="43"/>
        <v>318427.2</v>
      </c>
      <c r="S48" s="455">
        <f t="shared" si="44"/>
        <v>332800.2</v>
      </c>
      <c r="T48" s="359"/>
      <c r="U48" s="359">
        <v>353559</v>
      </c>
      <c r="V48" s="359">
        <v>358428</v>
      </c>
      <c r="W48" s="360">
        <v>359193</v>
      </c>
      <c r="X48" s="359">
        <v>362385</v>
      </c>
      <c r="Y48" s="359">
        <v>354973</v>
      </c>
      <c r="Z48" s="359">
        <v>401755</v>
      </c>
      <c r="AA48" s="359">
        <v>406358</v>
      </c>
      <c r="AB48" s="359">
        <v>411750</v>
      </c>
      <c r="AC48" s="1">
        <v>408726</v>
      </c>
      <c r="AD48" s="361">
        <v>452824</v>
      </c>
      <c r="AE48" s="361">
        <v>470927</v>
      </c>
      <c r="AF48" s="402">
        <v>34.596770392229296</v>
      </c>
      <c r="AG48" s="417">
        <v>35</v>
      </c>
      <c r="AH48" s="417">
        <v>36</v>
      </c>
      <c r="AI48" s="417">
        <v>38</v>
      </c>
      <c r="AJ48" s="417">
        <v>39.105188121527711</v>
      </c>
      <c r="AK48" s="417">
        <v>39.136359467332866</v>
      </c>
      <c r="AL48" s="417">
        <v>39.056811805999558</v>
      </c>
      <c r="AM48" s="417">
        <v>39.510438427018236</v>
      </c>
      <c r="AN48" s="417">
        <v>38.673517302540333</v>
      </c>
      <c r="AO48" s="417">
        <v>44.255357117285428</v>
      </c>
      <c r="AP48" s="417">
        <v>45.032054301149742</v>
      </c>
      <c r="AQ48" s="417">
        <v>46.518170048060306</v>
      </c>
      <c r="AR48" s="416">
        <f t="shared" si="45"/>
        <v>44.528379997821119</v>
      </c>
      <c r="AS48" s="416">
        <f t="shared" si="46"/>
        <v>49.38463333744123</v>
      </c>
      <c r="AT48" s="416">
        <f t="shared" si="46"/>
        <v>51.311254814580757</v>
      </c>
    </row>
    <row r="49" spans="1:46">
      <c r="A49" s="367" t="s">
        <v>146</v>
      </c>
      <c r="B49" s="358">
        <v>286138</v>
      </c>
      <c r="C49" s="359">
        <v>285095</v>
      </c>
      <c r="D49" s="359">
        <v>285402</v>
      </c>
      <c r="E49" s="359"/>
      <c r="F49" s="359">
        <v>285719</v>
      </c>
      <c r="G49" s="359">
        <v>286610</v>
      </c>
      <c r="H49" s="360">
        <v>286823</v>
      </c>
      <c r="I49" s="359">
        <v>291238</v>
      </c>
      <c r="J49" s="359">
        <v>291805</v>
      </c>
      <c r="K49" s="359">
        <v>295261</v>
      </c>
      <c r="L49" s="359">
        <v>298276</v>
      </c>
      <c r="M49" s="359">
        <v>301296</v>
      </c>
      <c r="N49" s="359">
        <v>303505</v>
      </c>
      <c r="O49" s="359">
        <v>307677</v>
      </c>
      <c r="P49" s="359">
        <v>312635</v>
      </c>
      <c r="Q49" s="358">
        <v>87045</v>
      </c>
      <c r="R49" s="455">
        <f t="shared" si="43"/>
        <v>88379.45</v>
      </c>
      <c r="S49" s="455">
        <f t="shared" si="44"/>
        <v>91328.639999999999</v>
      </c>
      <c r="T49" s="359"/>
      <c r="U49" s="359">
        <v>99325</v>
      </c>
      <c r="V49" s="359">
        <v>99387</v>
      </c>
      <c r="W49" s="360">
        <v>104783</v>
      </c>
      <c r="X49" s="359">
        <v>108986</v>
      </c>
      <c r="Y49" s="359">
        <v>112293</v>
      </c>
      <c r="Z49" s="359">
        <v>121811</v>
      </c>
      <c r="AA49" s="359">
        <v>127114</v>
      </c>
      <c r="AB49" s="359">
        <v>132010</v>
      </c>
      <c r="AC49" s="1">
        <v>133912</v>
      </c>
      <c r="AD49" s="361">
        <v>137948</v>
      </c>
      <c r="AE49" s="361">
        <v>138379</v>
      </c>
      <c r="AF49" s="402">
        <v>30.420636196520562</v>
      </c>
      <c r="AG49" s="417">
        <v>31</v>
      </c>
      <c r="AH49" s="417">
        <v>32</v>
      </c>
      <c r="AI49" s="417">
        <v>34</v>
      </c>
      <c r="AJ49" s="417">
        <v>34.763176407589278</v>
      </c>
      <c r="AK49" s="417">
        <v>34.676738425037506</v>
      </c>
      <c r="AL49" s="417">
        <v>36.532286462382721</v>
      </c>
      <c r="AM49" s="417">
        <v>37.421627672213106</v>
      </c>
      <c r="AN49" s="417">
        <v>38.482205582495162</v>
      </c>
      <c r="AO49" s="417">
        <v>41.255363898381432</v>
      </c>
      <c r="AP49" s="417">
        <v>42.616234628330808</v>
      </c>
      <c r="AQ49" s="417">
        <v>43.814056608783389</v>
      </c>
      <c r="AR49" s="416">
        <f t="shared" si="45"/>
        <v>44.121843132732572</v>
      </c>
      <c r="AS49" s="416">
        <f t="shared" si="46"/>
        <v>44.835330557695244</v>
      </c>
      <c r="AT49" s="416">
        <f t="shared" si="46"/>
        <v>44.262158747421118</v>
      </c>
    </row>
    <row r="50" spans="1:46">
      <c r="A50" s="367" t="s">
        <v>152</v>
      </c>
      <c r="B50" s="358">
        <v>109201</v>
      </c>
      <c r="C50" s="359">
        <v>106047</v>
      </c>
      <c r="D50" s="359">
        <v>104225</v>
      </c>
      <c r="E50" s="359"/>
      <c r="F50" s="359">
        <v>100508</v>
      </c>
      <c r="G50" s="359">
        <v>98284</v>
      </c>
      <c r="H50" s="360">
        <v>96587</v>
      </c>
      <c r="I50" s="359">
        <v>95052</v>
      </c>
      <c r="J50" s="359">
        <v>94728</v>
      </c>
      <c r="K50" s="359">
        <v>93055</v>
      </c>
      <c r="L50" s="359">
        <v>94273</v>
      </c>
      <c r="M50" s="359">
        <v>94018</v>
      </c>
      <c r="N50" s="359">
        <v>101111</v>
      </c>
      <c r="O50" s="359">
        <v>101687</v>
      </c>
      <c r="P50" s="359">
        <v>106586</v>
      </c>
      <c r="Q50" s="358">
        <v>31840</v>
      </c>
      <c r="R50" s="455">
        <f t="shared" si="43"/>
        <v>29693.16</v>
      </c>
      <c r="S50" s="455">
        <f t="shared" si="44"/>
        <v>29183</v>
      </c>
      <c r="T50" s="359"/>
      <c r="U50" s="359">
        <v>29204</v>
      </c>
      <c r="V50" s="359">
        <v>29064</v>
      </c>
      <c r="W50" s="360">
        <v>29246</v>
      </c>
      <c r="X50" s="359">
        <v>29687</v>
      </c>
      <c r="Y50" s="359">
        <v>29963</v>
      </c>
      <c r="Z50" s="359">
        <v>30693</v>
      </c>
      <c r="AA50" s="359">
        <v>29929</v>
      </c>
      <c r="AB50" s="359">
        <v>30870</v>
      </c>
      <c r="AC50" s="1">
        <v>30330</v>
      </c>
      <c r="AD50" s="361">
        <v>30676</v>
      </c>
      <c r="AE50" s="361">
        <v>32395</v>
      </c>
      <c r="AF50" s="402">
        <v>29.157242149797163</v>
      </c>
      <c r="AG50" s="417">
        <v>28</v>
      </c>
      <c r="AH50" s="417">
        <v>28</v>
      </c>
      <c r="AI50" s="417">
        <v>28</v>
      </c>
      <c r="AJ50" s="417">
        <v>29.056393520913758</v>
      </c>
      <c r="AK50" s="417">
        <v>29.57144601359326</v>
      </c>
      <c r="AL50" s="417">
        <v>30.279437191340445</v>
      </c>
      <c r="AM50" s="417">
        <v>31.232378066742417</v>
      </c>
      <c r="AN50" s="417">
        <v>31.630563297018831</v>
      </c>
      <c r="AO50" s="417">
        <v>32.983719305786899</v>
      </c>
      <c r="AP50" s="417">
        <v>31.747159844282031</v>
      </c>
      <c r="AQ50" s="417">
        <v>32.834138143759702</v>
      </c>
      <c r="AR50" s="416">
        <f t="shared" si="45"/>
        <v>29.996736260149738</v>
      </c>
      <c r="AS50" s="416">
        <f t="shared" si="46"/>
        <v>30.167081337830794</v>
      </c>
      <c r="AT50" s="416">
        <f t="shared" si="46"/>
        <v>30.393297431182333</v>
      </c>
    </row>
    <row r="51" spans="1:46">
      <c r="A51" s="367" t="s">
        <v>153</v>
      </c>
      <c r="B51" s="358">
        <v>1745237</v>
      </c>
      <c r="C51" s="359">
        <v>1830985</v>
      </c>
      <c r="D51" s="359">
        <v>1838285</v>
      </c>
      <c r="E51" s="359"/>
      <c r="F51" s="359">
        <v>1836119</v>
      </c>
      <c r="G51" s="359">
        <v>1836982</v>
      </c>
      <c r="H51" s="360">
        <v>1832100</v>
      </c>
      <c r="I51" s="359">
        <v>1822586.0018010347</v>
      </c>
      <c r="J51" s="359">
        <v>1813999</v>
      </c>
      <c r="K51" s="359">
        <v>1761636</v>
      </c>
      <c r="L51" s="359">
        <v>1747851</v>
      </c>
      <c r="M51" s="359">
        <v>1738642</v>
      </c>
      <c r="N51" s="359">
        <v>1729916</v>
      </c>
      <c r="O51" s="359">
        <v>1722183</v>
      </c>
      <c r="P51" s="359">
        <v>1724810</v>
      </c>
      <c r="Q51" s="358">
        <v>494829</v>
      </c>
      <c r="R51" s="455">
        <f t="shared" si="43"/>
        <v>494365.95</v>
      </c>
      <c r="S51" s="455">
        <f t="shared" si="44"/>
        <v>533102.65</v>
      </c>
      <c r="T51" s="359"/>
      <c r="U51" s="359">
        <v>575202</v>
      </c>
      <c r="V51" s="359">
        <v>597517</v>
      </c>
      <c r="W51" s="360">
        <v>619247</v>
      </c>
      <c r="X51" s="359">
        <v>616031</v>
      </c>
      <c r="Y51" s="359">
        <v>661151</v>
      </c>
      <c r="Z51" s="359">
        <v>709928</v>
      </c>
      <c r="AA51" s="359">
        <v>745121</v>
      </c>
      <c r="AB51" s="359">
        <v>758106</v>
      </c>
      <c r="AC51" s="1">
        <v>674438</v>
      </c>
      <c r="AD51" s="361">
        <v>763448</v>
      </c>
      <c r="AE51" s="361">
        <v>776616</v>
      </c>
      <c r="AF51" s="402">
        <v>28.353111926918807</v>
      </c>
      <c r="AG51" s="417">
        <v>27</v>
      </c>
      <c r="AH51" s="417">
        <v>29</v>
      </c>
      <c r="AI51" s="417">
        <v>30</v>
      </c>
      <c r="AJ51" s="417">
        <v>31.327054510083496</v>
      </c>
      <c r="AK51" s="417">
        <v>32.527101517597885</v>
      </c>
      <c r="AL51" s="417">
        <v>33.799847169914301</v>
      </c>
      <c r="AM51" s="417">
        <v>33.799831634351044</v>
      </c>
      <c r="AN51" s="417">
        <v>36.447153498982082</v>
      </c>
      <c r="AO51" s="417">
        <v>40.299358096678318</v>
      </c>
      <c r="AP51" s="417">
        <v>42.630693348574908</v>
      </c>
      <c r="AQ51" s="417">
        <v>43.603340998319382</v>
      </c>
      <c r="AR51" s="416">
        <f t="shared" si="45"/>
        <v>38.986748489522036</v>
      </c>
      <c r="AS51" s="416">
        <f t="shared" si="46"/>
        <v>44.330248295332147</v>
      </c>
      <c r="AT51" s="416">
        <f t="shared" si="46"/>
        <v>45.026176796284808</v>
      </c>
    </row>
    <row r="52" spans="1:46">
      <c r="A52" s="367" t="s">
        <v>157</v>
      </c>
      <c r="B52" s="358">
        <v>128598</v>
      </c>
      <c r="C52" s="359">
        <v>127542</v>
      </c>
      <c r="D52" s="359">
        <v>128039</v>
      </c>
      <c r="E52" s="359"/>
      <c r="F52" s="359">
        <v>122791</v>
      </c>
      <c r="G52" s="359">
        <v>121999</v>
      </c>
      <c r="H52" s="360">
        <v>115450</v>
      </c>
      <c r="I52" s="359">
        <v>118379</v>
      </c>
      <c r="J52" s="359">
        <v>124323</v>
      </c>
      <c r="K52" s="359">
        <v>122263</v>
      </c>
      <c r="L52" s="359">
        <v>125883</v>
      </c>
      <c r="M52" s="359">
        <v>128016</v>
      </c>
      <c r="N52" s="359">
        <v>130471</v>
      </c>
      <c r="O52" s="359">
        <v>130837</v>
      </c>
      <c r="P52" s="359">
        <v>133040</v>
      </c>
      <c r="Q52" s="358">
        <v>37857</v>
      </c>
      <c r="R52" s="455">
        <f t="shared" si="43"/>
        <v>38262.6</v>
      </c>
      <c r="S52" s="455">
        <f t="shared" si="44"/>
        <v>38411.699999999997</v>
      </c>
      <c r="T52" s="359"/>
      <c r="U52" s="359">
        <v>36845</v>
      </c>
      <c r="V52" s="359">
        <v>39059</v>
      </c>
      <c r="W52" s="360">
        <v>34996</v>
      </c>
      <c r="X52" s="359">
        <v>40289</v>
      </c>
      <c r="Y52" s="359">
        <v>43836</v>
      </c>
      <c r="Z52" s="359">
        <v>45956</v>
      </c>
      <c r="AA52" s="359">
        <v>46718</v>
      </c>
      <c r="AB52" s="359">
        <v>49469</v>
      </c>
      <c r="AC52" s="1">
        <v>51678</v>
      </c>
      <c r="AD52" s="361">
        <v>51707</v>
      </c>
      <c r="AE52" s="361">
        <v>52455</v>
      </c>
      <c r="AF52" s="402">
        <v>29.438249428451453</v>
      </c>
      <c r="AG52" s="417">
        <v>30</v>
      </c>
      <c r="AH52" s="417">
        <v>30</v>
      </c>
      <c r="AI52" s="417">
        <v>31</v>
      </c>
      <c r="AJ52" s="417">
        <v>30.006270817893821</v>
      </c>
      <c r="AK52" s="417">
        <v>32.015836195378647</v>
      </c>
      <c r="AL52" s="417">
        <v>30.312689475963623</v>
      </c>
      <c r="AM52" s="417">
        <v>34.03390804112216</v>
      </c>
      <c r="AN52" s="417">
        <v>35.259766897516954</v>
      </c>
      <c r="AO52" s="417">
        <v>37.587822971790317</v>
      </c>
      <c r="AP52" s="417">
        <v>37.112239142695998</v>
      </c>
      <c r="AQ52" s="417">
        <v>38.642825896762908</v>
      </c>
      <c r="AR52" s="416">
        <f t="shared" si="45"/>
        <v>39.608801955990216</v>
      </c>
      <c r="AS52" s="416">
        <f t="shared" si="46"/>
        <v>39.520166313810314</v>
      </c>
      <c r="AT52" s="416">
        <f t="shared" si="46"/>
        <v>39.427991581479255</v>
      </c>
    </row>
    <row r="53" spans="1:46">
      <c r="A53" s="368" t="s">
        <v>161</v>
      </c>
      <c r="B53" s="364">
        <v>859276</v>
      </c>
      <c r="C53" s="365">
        <v>879361</v>
      </c>
      <c r="D53" s="365">
        <v>881231</v>
      </c>
      <c r="E53" s="365"/>
      <c r="F53" s="365">
        <v>849780</v>
      </c>
      <c r="G53" s="365">
        <v>864207</v>
      </c>
      <c r="H53" s="366">
        <v>870647</v>
      </c>
      <c r="I53" s="365">
        <v>874478</v>
      </c>
      <c r="J53" s="365">
        <v>872338</v>
      </c>
      <c r="K53" s="365">
        <v>871156</v>
      </c>
      <c r="L53" s="365">
        <v>872164</v>
      </c>
      <c r="M53" s="365">
        <v>869670</v>
      </c>
      <c r="N53" s="365">
        <v>872436</v>
      </c>
      <c r="O53" s="464">
        <v>873841</v>
      </c>
      <c r="P53" s="14">
        <v>871432</v>
      </c>
      <c r="Q53" s="364">
        <v>219276</v>
      </c>
      <c r="R53" s="458">
        <f t="shared" si="43"/>
        <v>228633.86</v>
      </c>
      <c r="S53" s="458">
        <f t="shared" si="44"/>
        <v>237932.37</v>
      </c>
      <c r="T53" s="365"/>
      <c r="U53" s="365">
        <v>253082</v>
      </c>
      <c r="V53" s="365">
        <v>256645</v>
      </c>
      <c r="W53" s="366">
        <v>271422</v>
      </c>
      <c r="X53" s="365">
        <v>281027</v>
      </c>
      <c r="Y53" s="365">
        <v>292609</v>
      </c>
      <c r="Z53" s="365">
        <v>323510</v>
      </c>
      <c r="AA53" s="365">
        <v>342660</v>
      </c>
      <c r="AB53" s="365">
        <v>354527</v>
      </c>
      <c r="AC53" s="365">
        <v>360803</v>
      </c>
      <c r="AD53" s="489">
        <v>365711</v>
      </c>
      <c r="AE53" s="497">
        <v>361200</v>
      </c>
      <c r="AF53" s="403">
        <v>25.5186924806465</v>
      </c>
      <c r="AG53" s="418">
        <v>26</v>
      </c>
      <c r="AH53" s="418">
        <v>27</v>
      </c>
      <c r="AI53" s="418">
        <v>28</v>
      </c>
      <c r="AJ53" s="418">
        <v>29.782061239379605</v>
      </c>
      <c r="AK53" s="418">
        <v>29.697167461036532</v>
      </c>
      <c r="AL53" s="418">
        <v>31.174747055925078</v>
      </c>
      <c r="AM53" s="418">
        <v>32.136543172040923</v>
      </c>
      <c r="AN53" s="418">
        <v>33.543076192943559</v>
      </c>
      <c r="AO53" s="418">
        <v>37.135713924945705</v>
      </c>
      <c r="AP53" s="418">
        <v>39.288482441375706</v>
      </c>
      <c r="AQ53" s="418">
        <v>40.765692734025549</v>
      </c>
      <c r="AR53" s="465">
        <f t="shared" si="45"/>
        <v>41.355812919228455</v>
      </c>
      <c r="AS53" s="465">
        <f t="shared" si="46"/>
        <v>41.850977466152308</v>
      </c>
      <c r="AT53" s="465">
        <f t="shared" si="46"/>
        <v>41.449017249768197</v>
      </c>
    </row>
    <row r="54" spans="1:46">
      <c r="A54" s="290"/>
      <c r="B54" s="358"/>
      <c r="C54" s="359"/>
      <c r="D54" s="359"/>
      <c r="E54" s="359"/>
      <c r="F54" s="359"/>
      <c r="G54" s="359"/>
      <c r="H54" s="360"/>
      <c r="I54" s="359"/>
      <c r="J54" s="359"/>
      <c r="K54" s="359"/>
      <c r="L54" s="359"/>
      <c r="M54" s="359"/>
      <c r="N54" s="359"/>
      <c r="O54" s="359"/>
      <c r="P54" s="359"/>
      <c r="Q54" s="358"/>
      <c r="R54" s="359"/>
      <c r="S54" s="359"/>
      <c r="T54" s="359"/>
      <c r="U54" s="359"/>
      <c r="V54" s="359"/>
      <c r="W54" s="360"/>
      <c r="X54" s="359"/>
      <c r="Y54" s="359"/>
      <c r="Z54" s="359"/>
      <c r="AA54" s="359"/>
      <c r="AB54" s="359"/>
      <c r="AC54" s="1"/>
      <c r="AD54" s="8"/>
      <c r="AE54" s="8"/>
      <c r="AF54" s="402"/>
      <c r="AG54" s="417"/>
      <c r="AH54" s="417"/>
      <c r="AI54" s="417"/>
      <c r="AJ54" s="417"/>
      <c r="AK54" s="417"/>
      <c r="AL54" s="417"/>
      <c r="AM54" s="417"/>
      <c r="AN54" s="417"/>
      <c r="AO54" s="417"/>
      <c r="AP54" s="417"/>
      <c r="AQ54" s="417"/>
      <c r="AR54" s="416"/>
      <c r="AS54" s="416"/>
      <c r="AT54" s="416"/>
    </row>
    <row r="55" spans="1:46">
      <c r="A55" s="367" t="s">
        <v>133</v>
      </c>
      <c r="B55" s="358">
        <v>562179</v>
      </c>
      <c r="C55" s="359">
        <v>570228</v>
      </c>
      <c r="D55" s="359">
        <v>570023</v>
      </c>
      <c r="E55" s="359"/>
      <c r="F55" s="359">
        <v>577387</v>
      </c>
      <c r="G55" s="359">
        <v>575051</v>
      </c>
      <c r="H55" s="360">
        <v>558532</v>
      </c>
      <c r="I55" s="359">
        <v>568405</v>
      </c>
      <c r="J55" s="359">
        <v>552978</v>
      </c>
      <c r="K55" s="359">
        <v>556498</v>
      </c>
      <c r="L55" s="359">
        <v>552919</v>
      </c>
      <c r="M55" s="359">
        <v>543883</v>
      </c>
      <c r="N55" s="359">
        <v>550954</v>
      </c>
      <c r="O55" s="359">
        <v>546020</v>
      </c>
      <c r="P55" s="359">
        <v>542678</v>
      </c>
      <c r="Q55" s="358">
        <v>143030</v>
      </c>
      <c r="R55" s="456" t="s">
        <v>318</v>
      </c>
      <c r="S55" s="456" t="s">
        <v>318</v>
      </c>
      <c r="T55" s="359"/>
      <c r="U55" s="359">
        <v>151723</v>
      </c>
      <c r="V55" s="359">
        <v>152669</v>
      </c>
      <c r="W55" s="360">
        <v>156735</v>
      </c>
      <c r="X55" s="359">
        <v>168586</v>
      </c>
      <c r="Y55" s="359">
        <v>169742</v>
      </c>
      <c r="Z55" s="359">
        <v>179651</v>
      </c>
      <c r="AA55" s="359">
        <v>190554</v>
      </c>
      <c r="AB55" s="359">
        <v>194339</v>
      </c>
      <c r="AC55" s="1">
        <v>201085</v>
      </c>
      <c r="AD55" s="361">
        <v>202514</v>
      </c>
      <c r="AE55" s="361">
        <v>204521</v>
      </c>
      <c r="AF55" s="402">
        <v>25.442074499403216</v>
      </c>
      <c r="AG55" s="417" t="s">
        <v>318</v>
      </c>
      <c r="AH55" s="417">
        <v>25</v>
      </c>
      <c r="AI55" s="417">
        <v>26</v>
      </c>
      <c r="AJ55" s="417">
        <v>26.277522701411705</v>
      </c>
      <c r="AK55" s="417">
        <v>26.5487756738098</v>
      </c>
      <c r="AL55" s="417">
        <v>28.06195526845373</v>
      </c>
      <c r="AM55" s="417">
        <v>29.659485753995828</v>
      </c>
      <c r="AN55" s="417">
        <v>30.69597705514505</v>
      </c>
      <c r="AO55" s="417">
        <v>32.282416109312159</v>
      </c>
      <c r="AP55" s="417">
        <v>34.46327581435979</v>
      </c>
      <c r="AQ55" s="417">
        <v>35.731765839344128</v>
      </c>
      <c r="AR55" s="416">
        <f t="shared" ref="AR55:AR64" si="47">(AC55/N55)*100</f>
        <v>36.497602340667278</v>
      </c>
      <c r="AS55" s="416">
        <f t="shared" ref="AS55:AT64" si="48">(AD55/O55)*100</f>
        <v>37.089117614739386</v>
      </c>
      <c r="AT55" s="416">
        <f t="shared" si="48"/>
        <v>37.687357880732222</v>
      </c>
    </row>
    <row r="56" spans="1:46">
      <c r="A56" s="367" t="s">
        <v>140</v>
      </c>
      <c r="B56" s="358">
        <v>198532</v>
      </c>
      <c r="C56" s="359">
        <v>205586</v>
      </c>
      <c r="D56" s="359">
        <v>204337</v>
      </c>
      <c r="E56" s="359"/>
      <c r="F56" s="359">
        <v>192145</v>
      </c>
      <c r="G56" s="359">
        <v>189572</v>
      </c>
      <c r="H56" s="360">
        <v>192078</v>
      </c>
      <c r="I56" s="359">
        <v>190737</v>
      </c>
      <c r="J56" s="359">
        <v>187484</v>
      </c>
      <c r="K56" s="359">
        <v>184232</v>
      </c>
      <c r="L56" s="359">
        <v>183477</v>
      </c>
      <c r="M56" s="359">
        <v>178989</v>
      </c>
      <c r="N56" s="359">
        <v>185739</v>
      </c>
      <c r="O56" s="359">
        <v>176881</v>
      </c>
      <c r="P56" s="359">
        <v>182470</v>
      </c>
      <c r="Q56" s="358">
        <v>60162</v>
      </c>
      <c r="R56" s="455">
        <f t="shared" ref="R56:R64" si="49">(C56*AG56)/100</f>
        <v>61675.8</v>
      </c>
      <c r="S56" s="455">
        <f t="shared" ref="S56:S64" si="50">(D56*AH56)/100</f>
        <v>61301.1</v>
      </c>
      <c r="T56" s="359"/>
      <c r="U56" s="359">
        <v>64301</v>
      </c>
      <c r="V56" s="359">
        <v>65877</v>
      </c>
      <c r="W56" s="360">
        <v>67289</v>
      </c>
      <c r="X56" s="359">
        <v>68814</v>
      </c>
      <c r="Y56" s="359">
        <v>71407</v>
      </c>
      <c r="Z56" s="359">
        <v>76715</v>
      </c>
      <c r="AA56" s="359">
        <v>78915</v>
      </c>
      <c r="AB56" s="359">
        <v>76984.673474059426</v>
      </c>
      <c r="AC56" s="1">
        <v>80636</v>
      </c>
      <c r="AD56" s="361">
        <v>80952</v>
      </c>
      <c r="AE56" s="361">
        <v>83544</v>
      </c>
      <c r="AF56" s="402">
        <v>30.303427155320051</v>
      </c>
      <c r="AG56" s="417">
        <v>30</v>
      </c>
      <c r="AH56" s="417">
        <v>30</v>
      </c>
      <c r="AI56" s="417">
        <v>30</v>
      </c>
      <c r="AJ56" s="417">
        <v>33.464831247235161</v>
      </c>
      <c r="AK56" s="417">
        <v>34.750385077965099</v>
      </c>
      <c r="AL56" s="417">
        <v>35.032122366955093</v>
      </c>
      <c r="AM56" s="417">
        <v>36.077950266597462</v>
      </c>
      <c r="AN56" s="417">
        <v>38.086983422585398</v>
      </c>
      <c r="AO56" s="417">
        <v>41.640431629684308</v>
      </c>
      <c r="AP56" s="417">
        <v>43.010840595824</v>
      </c>
      <c r="AQ56" s="417">
        <v>43.010840595824</v>
      </c>
      <c r="AR56" s="416">
        <f t="shared" si="47"/>
        <v>43.41360726610997</v>
      </c>
      <c r="AS56" s="416">
        <f t="shared" si="48"/>
        <v>45.766362695823744</v>
      </c>
      <c r="AT56" s="416">
        <f t="shared" si="48"/>
        <v>45.785060557899932</v>
      </c>
    </row>
    <row r="57" spans="1:46">
      <c r="A57" s="367" t="s">
        <v>141</v>
      </c>
      <c r="B57" s="358">
        <v>979590</v>
      </c>
      <c r="C57" s="359">
        <v>973139</v>
      </c>
      <c r="D57" s="359">
        <v>982989</v>
      </c>
      <c r="E57" s="359"/>
      <c r="F57" s="359">
        <v>975571</v>
      </c>
      <c r="G57" s="359">
        <v>971907</v>
      </c>
      <c r="H57" s="360">
        <v>958858</v>
      </c>
      <c r="I57" s="359">
        <v>962806</v>
      </c>
      <c r="J57" s="359">
        <v>958910</v>
      </c>
      <c r="K57" s="359">
        <v>957053</v>
      </c>
      <c r="L57" s="359">
        <v>955301</v>
      </c>
      <c r="M57" s="359">
        <v>952044</v>
      </c>
      <c r="N57" s="359">
        <v>954773</v>
      </c>
      <c r="O57" s="359">
        <v>955739</v>
      </c>
      <c r="P57" s="359">
        <v>955844</v>
      </c>
      <c r="Q57" s="358">
        <v>237871</v>
      </c>
      <c r="R57" s="455">
        <f t="shared" si="49"/>
        <v>243284.75</v>
      </c>
      <c r="S57" s="455">
        <f t="shared" si="50"/>
        <v>255577.14</v>
      </c>
      <c r="T57" s="359"/>
      <c r="U57" s="359">
        <v>270651</v>
      </c>
      <c r="V57" s="359">
        <v>274515</v>
      </c>
      <c r="W57" s="360">
        <v>280165</v>
      </c>
      <c r="X57" s="359">
        <v>283819</v>
      </c>
      <c r="Y57" s="359">
        <v>294681</v>
      </c>
      <c r="Z57" s="359">
        <v>315153</v>
      </c>
      <c r="AA57" s="359">
        <v>326849</v>
      </c>
      <c r="AB57" s="359">
        <v>334511</v>
      </c>
      <c r="AC57" s="1">
        <v>352988</v>
      </c>
      <c r="AD57" s="361">
        <v>365473</v>
      </c>
      <c r="AE57" s="361">
        <v>381601</v>
      </c>
      <c r="AF57" s="402">
        <v>24.282710113414797</v>
      </c>
      <c r="AG57" s="417">
        <v>25</v>
      </c>
      <c r="AH57" s="417">
        <v>26</v>
      </c>
      <c r="AI57" s="417">
        <v>27</v>
      </c>
      <c r="AJ57" s="417">
        <v>27.74282958390522</v>
      </c>
      <c r="AK57" s="417">
        <v>28.244986403020039</v>
      </c>
      <c r="AL57" s="417">
        <v>29.218612140692361</v>
      </c>
      <c r="AM57" s="417">
        <v>29.478316504051698</v>
      </c>
      <c r="AN57" s="417">
        <v>30.73082979633125</v>
      </c>
      <c r="AO57" s="417">
        <v>32.929524279219649</v>
      </c>
      <c r="AP57" s="417">
        <v>34.214242422021961</v>
      </c>
      <c r="AQ57" s="417">
        <v>35.136086147278903</v>
      </c>
      <c r="AR57" s="416">
        <f t="shared" si="47"/>
        <v>36.970882084013681</v>
      </c>
      <c r="AS57" s="416">
        <f t="shared" si="48"/>
        <v>38.239833259917191</v>
      </c>
      <c r="AT57" s="416">
        <f t="shared" si="48"/>
        <v>39.922937215696287</v>
      </c>
    </row>
    <row r="58" spans="1:46">
      <c r="A58" s="367" t="s">
        <v>148</v>
      </c>
      <c r="B58" s="358">
        <v>206919</v>
      </c>
      <c r="C58" s="359">
        <v>206847</v>
      </c>
      <c r="D58" s="359">
        <v>207671</v>
      </c>
      <c r="E58" s="359"/>
      <c r="F58" s="359">
        <v>205870</v>
      </c>
      <c r="G58" s="359">
        <v>203998</v>
      </c>
      <c r="H58" s="360">
        <v>201108</v>
      </c>
      <c r="I58" s="359">
        <v>200772</v>
      </c>
      <c r="J58" s="359">
        <v>197934</v>
      </c>
      <c r="K58" s="359">
        <v>197140</v>
      </c>
      <c r="L58" s="359">
        <v>194001</v>
      </c>
      <c r="M58" s="359">
        <v>190784</v>
      </c>
      <c r="N58" s="359">
        <v>188974</v>
      </c>
      <c r="O58" s="359">
        <v>185299</v>
      </c>
      <c r="P58" s="359">
        <v>184670</v>
      </c>
      <c r="Q58" s="358">
        <v>31212</v>
      </c>
      <c r="R58" s="455">
        <f t="shared" si="49"/>
        <v>31027.05</v>
      </c>
      <c r="S58" s="455">
        <f t="shared" si="50"/>
        <v>31150.65</v>
      </c>
      <c r="T58" s="359"/>
      <c r="U58" s="359">
        <v>34162</v>
      </c>
      <c r="V58" s="359">
        <v>35087</v>
      </c>
      <c r="W58" s="360">
        <v>35945</v>
      </c>
      <c r="X58" s="359">
        <v>36416</v>
      </c>
      <c r="Y58" s="359">
        <v>40496</v>
      </c>
      <c r="Z58" s="359">
        <v>46246</v>
      </c>
      <c r="AA58" s="359">
        <v>48904</v>
      </c>
      <c r="AB58" s="359">
        <v>50123</v>
      </c>
      <c r="AC58" s="1">
        <v>50596</v>
      </c>
      <c r="AD58" s="361">
        <v>51564</v>
      </c>
      <c r="AE58" s="361">
        <v>53232</v>
      </c>
      <c r="AF58" s="402">
        <v>15.084163368274542</v>
      </c>
      <c r="AG58" s="417">
        <v>15</v>
      </c>
      <c r="AH58" s="417">
        <v>15</v>
      </c>
      <c r="AI58" s="417">
        <v>16</v>
      </c>
      <c r="AJ58" s="417">
        <v>16.593967066595425</v>
      </c>
      <c r="AK58" s="417">
        <v>17.199678428219883</v>
      </c>
      <c r="AL58" s="417">
        <v>17.873480915726873</v>
      </c>
      <c r="AM58" s="417">
        <v>18.137987368756601</v>
      </c>
      <c r="AN58" s="417">
        <v>20.45934503420332</v>
      </c>
      <c r="AO58" s="417">
        <v>23.458455919651009</v>
      </c>
      <c r="AP58" s="417">
        <v>25.208117483930497</v>
      </c>
      <c r="AQ58" s="417">
        <v>26.27211925528346</v>
      </c>
      <c r="AR58" s="416">
        <f t="shared" si="47"/>
        <v>26.774053573507466</v>
      </c>
      <c r="AS58" s="416">
        <f t="shared" si="48"/>
        <v>27.82745724477736</v>
      </c>
      <c r="AT58" s="416">
        <f t="shared" si="48"/>
        <v>28.825472464395951</v>
      </c>
    </row>
    <row r="59" spans="1:46">
      <c r="A59" s="367" t="s">
        <v>149</v>
      </c>
      <c r="B59" s="358">
        <v>1312983</v>
      </c>
      <c r="C59" s="359">
        <v>1341656</v>
      </c>
      <c r="D59" s="359">
        <v>1367438</v>
      </c>
      <c r="E59" s="359"/>
      <c r="F59" s="361" t="s">
        <v>285</v>
      </c>
      <c r="G59" s="359">
        <v>1395600</v>
      </c>
      <c r="H59" s="360">
        <v>1333110</v>
      </c>
      <c r="I59" s="359">
        <v>1341122</v>
      </c>
      <c r="J59" s="359">
        <v>1377573</v>
      </c>
      <c r="K59" s="359">
        <v>1369418</v>
      </c>
      <c r="L59" s="359">
        <v>1356882</v>
      </c>
      <c r="M59" s="359">
        <v>1316792</v>
      </c>
      <c r="N59" s="359">
        <v>1372203</v>
      </c>
      <c r="O59" s="359">
        <v>1369790</v>
      </c>
      <c r="P59" s="359">
        <v>1400579</v>
      </c>
      <c r="Q59" s="358">
        <v>357728</v>
      </c>
      <c r="R59" s="455">
        <f t="shared" si="49"/>
        <v>375663.68</v>
      </c>
      <c r="S59" s="455">
        <f t="shared" si="50"/>
        <v>369208.26</v>
      </c>
      <c r="T59" s="359"/>
      <c r="U59" s="361" t="s">
        <v>285</v>
      </c>
      <c r="V59" s="359">
        <v>373946</v>
      </c>
      <c r="W59" s="360">
        <v>378927</v>
      </c>
      <c r="X59" s="359">
        <v>387965</v>
      </c>
      <c r="Y59" s="359">
        <v>414582</v>
      </c>
      <c r="Z59" s="359">
        <v>445174</v>
      </c>
      <c r="AA59" s="359">
        <v>444735</v>
      </c>
      <c r="AB59" s="359">
        <v>467798</v>
      </c>
      <c r="AC59" s="1">
        <v>501804</v>
      </c>
      <c r="AD59" s="361">
        <v>518636</v>
      </c>
      <c r="AE59" s="361">
        <v>502980</v>
      </c>
      <c r="AF59" s="402">
        <v>27.245440344619848</v>
      </c>
      <c r="AG59" s="417">
        <v>28</v>
      </c>
      <c r="AH59" s="417">
        <v>27</v>
      </c>
      <c r="AI59" s="417">
        <v>27</v>
      </c>
      <c r="AJ59" s="419" t="s">
        <v>318</v>
      </c>
      <c r="AK59" s="417">
        <v>26.794640298079681</v>
      </c>
      <c r="AL59" s="417">
        <v>28.424286067916377</v>
      </c>
      <c r="AM59" s="417">
        <v>28.928389810919512</v>
      </c>
      <c r="AN59" s="417">
        <v>30.095102038149701</v>
      </c>
      <c r="AO59" s="417">
        <v>32.508262634199347</v>
      </c>
      <c r="AP59" s="417">
        <v>32.776247308166809</v>
      </c>
      <c r="AQ59" s="417">
        <v>35.525580349819862</v>
      </c>
      <c r="AR59" s="416">
        <f t="shared" si="47"/>
        <v>36.569224815861794</v>
      </c>
      <c r="AS59" s="416">
        <f t="shared" si="48"/>
        <v>37.862446068375441</v>
      </c>
      <c r="AT59" s="416">
        <f t="shared" si="48"/>
        <v>35.912290559832755</v>
      </c>
    </row>
    <row r="60" spans="1:46">
      <c r="A60" s="367" t="s">
        <v>151</v>
      </c>
      <c r="B60" s="358">
        <v>2859927</v>
      </c>
      <c r="C60" s="359">
        <v>2872132</v>
      </c>
      <c r="D60" s="359">
        <v>2888233</v>
      </c>
      <c r="E60" s="359"/>
      <c r="F60" s="359">
        <v>2836334</v>
      </c>
      <c r="G60" s="359">
        <v>2812964</v>
      </c>
      <c r="H60" s="360">
        <v>2753057</v>
      </c>
      <c r="I60" s="359">
        <v>2765435</v>
      </c>
      <c r="J60" s="359">
        <v>2717371</v>
      </c>
      <c r="K60" s="359">
        <v>2766052</v>
      </c>
      <c r="L60" s="359">
        <v>2722761</v>
      </c>
      <c r="M60" s="359">
        <v>2685751</v>
      </c>
      <c r="N60" s="359">
        <v>2710703</v>
      </c>
      <c r="O60" s="359">
        <v>2719824</v>
      </c>
      <c r="P60" s="359">
        <v>2741185</v>
      </c>
      <c r="Q60" s="358">
        <v>1236945</v>
      </c>
      <c r="R60" s="455">
        <f t="shared" si="49"/>
        <v>1235016.76</v>
      </c>
      <c r="S60" s="455">
        <f t="shared" si="50"/>
        <v>490999.61</v>
      </c>
      <c r="T60" s="359"/>
      <c r="U60" s="359">
        <v>515130</v>
      </c>
      <c r="V60" s="359">
        <v>1260933</v>
      </c>
      <c r="W60" s="360">
        <v>1229063</v>
      </c>
      <c r="X60" s="359">
        <v>1220052</v>
      </c>
      <c r="Y60" s="359">
        <v>1226247</v>
      </c>
      <c r="Z60" s="359">
        <v>1248214.8984603132</v>
      </c>
      <c r="AA60" s="359">
        <v>1315564</v>
      </c>
      <c r="AB60" s="359">
        <v>1334698</v>
      </c>
      <c r="AC60" s="1">
        <v>1297148</v>
      </c>
      <c r="AD60" s="361">
        <v>1292077</v>
      </c>
      <c r="AE60" s="361">
        <v>1384268</v>
      </c>
      <c r="AF60" s="402">
        <v>43.250929132107217</v>
      </c>
      <c r="AG60" s="417">
        <v>43</v>
      </c>
      <c r="AH60" s="417">
        <v>17</v>
      </c>
      <c r="AI60" s="417" t="s">
        <v>318</v>
      </c>
      <c r="AJ60" s="417">
        <v>18.16182438316503</v>
      </c>
      <c r="AK60" s="417">
        <v>44.825778076079182</v>
      </c>
      <c r="AL60" s="417">
        <v>44.643572581315972</v>
      </c>
      <c r="AM60" s="417">
        <v>44.117905501304492</v>
      </c>
      <c r="AN60" s="417">
        <v>45.126226783166523</v>
      </c>
      <c r="AO60" s="417">
        <v>45.126226783166523</v>
      </c>
      <c r="AP60" s="417">
        <v>48.317277939562089</v>
      </c>
      <c r="AQ60" s="417">
        <v>49.695522779289661</v>
      </c>
      <c r="AR60" s="416">
        <f t="shared" si="47"/>
        <v>47.852826370133506</v>
      </c>
      <c r="AS60" s="416">
        <f t="shared" si="48"/>
        <v>47.505904793839605</v>
      </c>
      <c r="AT60" s="416">
        <f t="shared" si="48"/>
        <v>50.498890078560912</v>
      </c>
    </row>
    <row r="61" spans="1:46">
      <c r="A61" s="367" t="s">
        <v>155</v>
      </c>
      <c r="B61" s="358">
        <v>1798977</v>
      </c>
      <c r="C61" s="359">
        <v>1821627</v>
      </c>
      <c r="D61" s="359">
        <v>1816747</v>
      </c>
      <c r="E61" s="359"/>
      <c r="F61" s="359">
        <v>1809674</v>
      </c>
      <c r="G61" s="359">
        <v>1813760</v>
      </c>
      <c r="H61" s="360">
        <v>1757776</v>
      </c>
      <c r="I61" s="359">
        <v>1635217</v>
      </c>
      <c r="J61" s="359">
        <v>1638671</v>
      </c>
      <c r="K61" s="359">
        <v>1734989</v>
      </c>
      <c r="L61" s="359">
        <v>1742608</v>
      </c>
      <c r="M61" s="359">
        <v>1732035</v>
      </c>
      <c r="N61" s="359">
        <v>1763677</v>
      </c>
      <c r="O61" s="359">
        <v>1734286</v>
      </c>
      <c r="P61" s="359">
        <v>1743160</v>
      </c>
      <c r="Q61" s="358">
        <v>510121</v>
      </c>
      <c r="R61" s="455">
        <f t="shared" si="49"/>
        <v>510055.56</v>
      </c>
      <c r="S61" s="455">
        <f t="shared" si="50"/>
        <v>526856.63</v>
      </c>
      <c r="T61" s="359"/>
      <c r="U61" s="359">
        <v>516075</v>
      </c>
      <c r="V61" s="359">
        <v>574951</v>
      </c>
      <c r="W61" s="360">
        <v>556645</v>
      </c>
      <c r="X61" s="359">
        <v>560384</v>
      </c>
      <c r="Y61" s="359">
        <v>591250</v>
      </c>
      <c r="Z61" s="359">
        <v>662900</v>
      </c>
      <c r="AA61" s="359">
        <v>686641</v>
      </c>
      <c r="AB61" s="359">
        <v>696531</v>
      </c>
      <c r="AC61" s="1">
        <v>712584</v>
      </c>
      <c r="AD61" s="361">
        <v>753224</v>
      </c>
      <c r="AE61" s="361">
        <v>786304</v>
      </c>
      <c r="AF61" s="402">
        <v>28.356171312918399</v>
      </c>
      <c r="AG61" s="417">
        <v>28</v>
      </c>
      <c r="AH61" s="417">
        <v>29</v>
      </c>
      <c r="AI61" s="417">
        <v>28</v>
      </c>
      <c r="AJ61" s="417">
        <v>28.517567252444366</v>
      </c>
      <c r="AK61" s="417">
        <v>31.699397935779817</v>
      </c>
      <c r="AL61" s="417">
        <v>31.667573115118199</v>
      </c>
      <c r="AM61" s="417">
        <v>34.26970243093119</v>
      </c>
      <c r="AN61" s="417">
        <v>36.081068133871902</v>
      </c>
      <c r="AO61" s="417">
        <v>38.207735034631348</v>
      </c>
      <c r="AP61" s="417">
        <v>39.403067126972907</v>
      </c>
      <c r="AQ61" s="417">
        <v>40.214603053633439</v>
      </c>
      <c r="AR61" s="416">
        <f t="shared" si="47"/>
        <v>40.40331648028522</v>
      </c>
      <c r="AS61" s="416">
        <f t="shared" si="48"/>
        <v>43.431360225476077</v>
      </c>
      <c r="AT61" s="416">
        <f t="shared" si="48"/>
        <v>45.107964845453083</v>
      </c>
    </row>
    <row r="62" spans="1:46">
      <c r="A62" s="367" t="s">
        <v>156</v>
      </c>
      <c r="B62" s="358">
        <v>157347</v>
      </c>
      <c r="C62" s="359">
        <v>158046</v>
      </c>
      <c r="D62" s="359">
        <v>159205</v>
      </c>
      <c r="E62" s="359"/>
      <c r="F62" s="359">
        <v>154863</v>
      </c>
      <c r="G62" s="359">
        <v>151686</v>
      </c>
      <c r="H62" s="360">
        <v>149441</v>
      </c>
      <c r="I62" s="359">
        <v>146228</v>
      </c>
      <c r="J62" s="359">
        <v>139922</v>
      </c>
      <c r="K62" s="359">
        <v>143674</v>
      </c>
      <c r="L62" s="359">
        <v>142575</v>
      </c>
      <c r="M62" s="359">
        <v>141456</v>
      </c>
      <c r="N62" s="359">
        <v>142481</v>
      </c>
      <c r="O62" s="359">
        <v>140605</v>
      </c>
      <c r="P62" s="359">
        <v>141959</v>
      </c>
      <c r="Q62" s="358">
        <v>52209</v>
      </c>
      <c r="R62" s="455">
        <f t="shared" si="49"/>
        <v>53735.64</v>
      </c>
      <c r="S62" s="455">
        <f t="shared" si="50"/>
        <v>52537.65</v>
      </c>
      <c r="T62" s="359"/>
      <c r="U62" s="359">
        <v>50172</v>
      </c>
      <c r="V62" s="359">
        <v>53521</v>
      </c>
      <c r="W62" s="360">
        <v>49558</v>
      </c>
      <c r="X62" s="359">
        <v>55596</v>
      </c>
      <c r="Y62" s="359">
        <v>57174</v>
      </c>
      <c r="Z62" s="359">
        <v>60179</v>
      </c>
      <c r="AA62" s="359">
        <v>61127</v>
      </c>
      <c r="AB62" s="359">
        <v>62082</v>
      </c>
      <c r="AC62" s="1">
        <v>65184</v>
      </c>
      <c r="AD62" s="361">
        <v>65636</v>
      </c>
      <c r="AE62" s="361">
        <v>65641</v>
      </c>
      <c r="AF62" s="402">
        <v>33.18080420980381</v>
      </c>
      <c r="AG62" s="417">
        <v>34</v>
      </c>
      <c r="AH62" s="417">
        <v>33</v>
      </c>
      <c r="AI62" s="417">
        <v>35</v>
      </c>
      <c r="AJ62" s="417">
        <v>32.397667615892757</v>
      </c>
      <c r="AK62" s="417">
        <v>35.284073678520102</v>
      </c>
      <c r="AL62" s="417">
        <v>33.162251323264705</v>
      </c>
      <c r="AM62" s="417">
        <v>38.020078233990759</v>
      </c>
      <c r="AN62" s="417">
        <v>40.861337030631347</v>
      </c>
      <c r="AO62" s="417">
        <v>41.885797012681486</v>
      </c>
      <c r="AP62" s="417">
        <v>42.873575311239698</v>
      </c>
      <c r="AQ62" s="417">
        <v>43.887852052935187</v>
      </c>
      <c r="AR62" s="416">
        <f t="shared" si="47"/>
        <v>45.749257795776273</v>
      </c>
      <c r="AS62" s="416">
        <f t="shared" si="48"/>
        <v>46.681127982646423</v>
      </c>
      <c r="AT62" s="416">
        <f t="shared" si="48"/>
        <v>46.239407152769459</v>
      </c>
    </row>
    <row r="63" spans="1:46">
      <c r="A63" s="368" t="s">
        <v>159</v>
      </c>
      <c r="B63" s="364">
        <v>102049</v>
      </c>
      <c r="C63" s="365">
        <v>101179</v>
      </c>
      <c r="D63" s="365">
        <v>99978</v>
      </c>
      <c r="E63" s="365"/>
      <c r="F63" s="365">
        <v>97760</v>
      </c>
      <c r="G63" s="365">
        <v>96638</v>
      </c>
      <c r="H63" s="366">
        <v>91238</v>
      </c>
      <c r="I63" s="365">
        <v>87038</v>
      </c>
      <c r="J63" s="365">
        <v>85842</v>
      </c>
      <c r="K63" s="365">
        <v>85339</v>
      </c>
      <c r="L63" s="365">
        <v>85144</v>
      </c>
      <c r="M63" s="365">
        <v>83451</v>
      </c>
      <c r="N63" s="365">
        <v>89624</v>
      </c>
      <c r="O63" s="365">
        <v>85407</v>
      </c>
      <c r="P63" s="365">
        <v>87311</v>
      </c>
      <c r="Q63" s="364">
        <v>23986</v>
      </c>
      <c r="R63" s="458">
        <f t="shared" si="49"/>
        <v>24282.959999999999</v>
      </c>
      <c r="S63" s="458">
        <f t="shared" si="50"/>
        <v>25994.28</v>
      </c>
      <c r="T63" s="365"/>
      <c r="U63" s="365">
        <v>24592</v>
      </c>
      <c r="V63" s="365">
        <v>25487</v>
      </c>
      <c r="W63" s="366">
        <v>24467</v>
      </c>
      <c r="X63" s="365">
        <v>25767</v>
      </c>
      <c r="Y63" s="365">
        <v>27115</v>
      </c>
      <c r="Z63" s="365">
        <v>29529</v>
      </c>
      <c r="AA63" s="365">
        <v>31339</v>
      </c>
      <c r="AB63" s="365">
        <v>32748</v>
      </c>
      <c r="AC63" s="365">
        <v>32581</v>
      </c>
      <c r="AD63" s="365">
        <v>33639</v>
      </c>
      <c r="AE63" s="365">
        <v>32979</v>
      </c>
      <c r="AF63" s="403">
        <v>23.50439494752521</v>
      </c>
      <c r="AG63" s="418">
        <v>24</v>
      </c>
      <c r="AH63" s="418">
        <v>26</v>
      </c>
      <c r="AI63" s="418">
        <v>27</v>
      </c>
      <c r="AJ63" s="418">
        <v>25.155482815057283</v>
      </c>
      <c r="AK63" s="418">
        <v>26.373683230199301</v>
      </c>
      <c r="AL63" s="418">
        <v>26.816677261667287</v>
      </c>
      <c r="AM63" s="418">
        <v>29.604310760817114</v>
      </c>
      <c r="AN63" s="418">
        <v>31.587101884858228</v>
      </c>
      <c r="AO63" s="418">
        <v>34.601999085998195</v>
      </c>
      <c r="AP63" s="418">
        <v>36.807056281123742</v>
      </c>
      <c r="AQ63" s="418">
        <v>39.242190027680913</v>
      </c>
      <c r="AR63" s="465">
        <f t="shared" si="47"/>
        <v>36.352985807373024</v>
      </c>
      <c r="AS63" s="416">
        <f t="shared" si="48"/>
        <v>39.386701324247426</v>
      </c>
      <c r="AT63" s="416">
        <f t="shared" si="48"/>
        <v>37.771872959879055</v>
      </c>
    </row>
    <row r="64" spans="1:46">
      <c r="A64" s="369" t="s">
        <v>171</v>
      </c>
      <c r="B64" s="364">
        <v>68380</v>
      </c>
      <c r="C64" s="365">
        <v>75392</v>
      </c>
      <c r="D64" s="365">
        <v>76166</v>
      </c>
      <c r="E64" s="365"/>
      <c r="F64" s="365">
        <v>76470</v>
      </c>
      <c r="G64" s="365">
        <v>66498</v>
      </c>
      <c r="H64" s="366">
        <v>61922</v>
      </c>
      <c r="I64" s="365">
        <v>61184</v>
      </c>
      <c r="J64" s="365">
        <v>66511</v>
      </c>
      <c r="K64" s="365">
        <v>66849</v>
      </c>
      <c r="L64" s="365">
        <v>71263</v>
      </c>
      <c r="M64" s="365">
        <v>72329</v>
      </c>
      <c r="N64" s="365">
        <v>76140</v>
      </c>
      <c r="O64" s="365">
        <v>78153</v>
      </c>
      <c r="P64" s="365">
        <v>80958</v>
      </c>
      <c r="Q64" s="364">
        <v>47839</v>
      </c>
      <c r="R64" s="458">
        <f t="shared" si="49"/>
        <v>41465.599999999999</v>
      </c>
      <c r="S64" s="458">
        <f t="shared" si="50"/>
        <v>47222.92</v>
      </c>
      <c r="T64" s="365"/>
      <c r="U64" s="365">
        <v>50455</v>
      </c>
      <c r="V64" s="365">
        <v>41050</v>
      </c>
      <c r="W64" s="366">
        <v>38425</v>
      </c>
      <c r="X64" s="365">
        <v>38309</v>
      </c>
      <c r="Y64" s="365">
        <v>46102</v>
      </c>
      <c r="Z64" s="365">
        <v>48330</v>
      </c>
      <c r="AA64" s="365">
        <v>52027</v>
      </c>
      <c r="AB64" s="365">
        <v>45199</v>
      </c>
      <c r="AC64" s="464">
        <v>46416</v>
      </c>
      <c r="AD64" s="489">
        <v>77505</v>
      </c>
      <c r="AE64" s="497">
        <v>74859</v>
      </c>
      <c r="AF64" s="403">
        <v>69.960514770400707</v>
      </c>
      <c r="AG64" s="418">
        <v>55</v>
      </c>
      <c r="AH64" s="418">
        <v>62</v>
      </c>
      <c r="AI64" s="418">
        <v>51</v>
      </c>
      <c r="AJ64" s="418">
        <v>65.980122924022481</v>
      </c>
      <c r="AK64" s="418">
        <v>61.73117988510932</v>
      </c>
      <c r="AL64" s="418">
        <v>62.05387422886858</v>
      </c>
      <c r="AM64" s="418">
        <v>62.61277458158996</v>
      </c>
      <c r="AN64" s="418">
        <v>69.314850175158995</v>
      </c>
      <c r="AO64" s="418">
        <v>72.297266974823856</v>
      </c>
      <c r="AP64" s="418">
        <v>73.007030296226645</v>
      </c>
      <c r="AQ64" s="418">
        <v>62.490840465096987</v>
      </c>
      <c r="AR64" s="465">
        <f t="shared" si="47"/>
        <v>60.961386918833725</v>
      </c>
      <c r="AS64" s="415">
        <f t="shared" si="48"/>
        <v>99.170857164792139</v>
      </c>
      <c r="AT64" s="415">
        <f t="shared" si="48"/>
        <v>92.466464092492402</v>
      </c>
    </row>
    <row r="66" spans="1:43">
      <c r="B66" s="370" t="s">
        <v>286</v>
      </c>
      <c r="C66" s="370"/>
      <c r="D66" s="370"/>
      <c r="E66" s="370"/>
      <c r="F66" s="370" t="s">
        <v>287</v>
      </c>
      <c r="G66" s="371"/>
      <c r="H66" s="370" t="s">
        <v>288</v>
      </c>
      <c r="I66" s="1" t="s">
        <v>294</v>
      </c>
      <c r="K66" s="11" t="s">
        <v>307</v>
      </c>
      <c r="M66" s="70" t="s">
        <v>308</v>
      </c>
      <c r="N66" s="70"/>
      <c r="O66" s="70"/>
      <c r="P66" s="70"/>
      <c r="AB66" s="11" t="s">
        <v>314</v>
      </c>
    </row>
    <row r="67" spans="1:43">
      <c r="B67" s="376" t="s">
        <v>289</v>
      </c>
      <c r="C67" s="376"/>
      <c r="D67" s="376"/>
      <c r="E67" s="376"/>
      <c r="F67" s="372"/>
      <c r="G67" s="373"/>
      <c r="H67" s="370"/>
      <c r="P67" t="s">
        <v>345</v>
      </c>
      <c r="AF67" s="11" t="s">
        <v>327</v>
      </c>
    </row>
    <row r="68" spans="1:43">
      <c r="A68" s="1" t="s">
        <v>304</v>
      </c>
      <c r="B68" s="376"/>
      <c r="C68" s="376"/>
      <c r="D68" s="376"/>
      <c r="E68" s="376"/>
      <c r="F68" s="372"/>
      <c r="G68" s="373"/>
      <c r="H68" s="374"/>
    </row>
    <row r="69" spans="1:43">
      <c r="F69" s="370"/>
      <c r="G69" s="374"/>
      <c r="H69" s="374"/>
    </row>
    <row r="70" spans="1:43">
      <c r="B70" s="376"/>
      <c r="C70" s="376"/>
      <c r="D70" s="376"/>
      <c r="E70" s="376"/>
      <c r="F70" s="374"/>
      <c r="G70" s="374"/>
      <c r="H70" s="375"/>
      <c r="AG70" s="441" t="s">
        <v>319</v>
      </c>
    </row>
    <row r="71" spans="1:43" ht="13.5">
      <c r="B71" s="376"/>
      <c r="C71" s="453" t="s">
        <v>324</v>
      </c>
      <c r="D71" s="454"/>
      <c r="E71" s="454"/>
      <c r="F71" s="454"/>
      <c r="G71" s="454"/>
      <c r="H71" s="454"/>
      <c r="I71" s="454"/>
      <c r="J71" s="454"/>
      <c r="K71" s="454"/>
      <c r="L71" s="454"/>
      <c r="M71" s="454"/>
      <c r="N71" s="454"/>
      <c r="O71" s="454"/>
      <c r="P71" s="454"/>
      <c r="Q71" s="454"/>
      <c r="R71" s="454"/>
      <c r="S71" s="454"/>
      <c r="T71" s="454"/>
      <c r="U71" s="454"/>
      <c r="V71" s="454"/>
      <c r="W71" s="454"/>
      <c r="X71" s="454"/>
      <c r="Y71" s="454"/>
      <c r="Z71" s="454"/>
      <c r="AA71" s="454"/>
      <c r="AB71" s="454"/>
      <c r="AC71" s="454"/>
      <c r="AD71" s="490"/>
      <c r="AE71" s="490"/>
      <c r="AF71" s="454"/>
      <c r="AG71" s="454"/>
      <c r="AH71" s="454"/>
      <c r="AI71" s="454"/>
      <c r="AJ71" s="454"/>
      <c r="AK71" s="454"/>
      <c r="AL71" s="454"/>
      <c r="AM71" s="454"/>
    </row>
    <row r="72" spans="1:43" ht="13.5">
      <c r="C72" s="453" t="s">
        <v>323</v>
      </c>
      <c r="D72" s="454"/>
      <c r="E72" s="454"/>
      <c r="F72" s="454"/>
      <c r="G72" s="454"/>
      <c r="H72" s="454"/>
      <c r="I72" s="454"/>
      <c r="J72" s="454"/>
      <c r="K72" s="454"/>
      <c r="L72" s="454"/>
      <c r="M72" s="454"/>
      <c r="N72" s="454"/>
      <c r="O72" s="454"/>
      <c r="P72" s="454"/>
      <c r="Q72" s="454"/>
      <c r="R72" s="454"/>
      <c r="S72" s="454"/>
      <c r="T72" s="454"/>
      <c r="U72" s="454"/>
      <c r="V72" s="454"/>
      <c r="W72" s="454"/>
      <c r="X72" s="454"/>
      <c r="Y72" s="454"/>
      <c r="Z72" s="454"/>
      <c r="AA72" s="454"/>
      <c r="AB72" s="454"/>
      <c r="AC72" s="454"/>
      <c r="AD72" s="490"/>
      <c r="AE72" s="490"/>
      <c r="AF72" s="454"/>
      <c r="AG72" s="454"/>
      <c r="AH72" s="454"/>
      <c r="AI72" s="454"/>
      <c r="AJ72" s="454"/>
      <c r="AK72" s="454"/>
      <c r="AL72" s="454"/>
      <c r="AM72" s="454"/>
      <c r="AQ72" s="442">
        <v>41760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TABLE 8</vt:lpstr>
      <vt:lpstr>Public Minority Rep</vt:lpstr>
      <vt:lpstr>Public PreK-12 Enrollment</vt:lpstr>
      <vt:lpstr>Private Enrollment</vt:lpstr>
      <vt:lpstr>Enrollment Totals-calculated</vt:lpstr>
      <vt:lpstr>NCES Public Free-Reduced Lunch </vt:lpstr>
      <vt:lpstr>'TABLE 8'!Print_Area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Samantha Durrance</cp:lastModifiedBy>
  <cp:lastPrinted>2014-06-16T15:44:09Z</cp:lastPrinted>
  <dcterms:created xsi:type="dcterms:W3CDTF">1999-01-25T18:45:07Z</dcterms:created>
  <dcterms:modified xsi:type="dcterms:W3CDTF">2018-01-10T14:43:22Z</dcterms:modified>
</cp:coreProperties>
</file>