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4_Affordability\"/>
    </mc:Choice>
  </mc:AlternateContent>
  <bookViews>
    <workbookView xWindow="705" yWindow="150" windowWidth="9000" windowHeight="12555" tabRatio="694" xr2:uid="{00000000-000D-0000-FFFF-FFFF00000000}"/>
  </bookViews>
  <sheets>
    <sheet name="TABLE 66" sheetId="2" r:id="rId1"/>
    <sheet name="College Work-Study" sheetId="1" r:id="rId2"/>
    <sheet name="CWS per-recipient" sheetId="5" r:id="rId3"/>
    <sheet name="Perkins Loans" sheetId="3" r:id="rId4"/>
    <sheet name="Perkins per-recipient" sheetId="6" r:id="rId5"/>
    <sheet name="SEOG" sheetId="4" r:id="rId6"/>
    <sheet name="SEOG per-recipient" sheetId="7" r:id="rId7"/>
  </sheets>
  <definedNames>
    <definedName name="\R">'College Work-Study'!#REF!</definedName>
    <definedName name="DATA">'College Work-Study'!$A$3</definedName>
    <definedName name="MACRO">'College Work-Study'!#REF!</definedName>
    <definedName name="NOTE">'TABLE 66'!$A$72</definedName>
    <definedName name="_xlnm.Print_Area" localSheetId="0">'TABLE 66'!$A$1:$N$76</definedName>
    <definedName name="SOURCES">'College Work-Study:SEOG per-recipient'!$A$41:$IN$8168</definedName>
    <definedName name="TABLE">'TABLE 66'!$A$1:$N$77</definedName>
  </definedNames>
  <calcPr calcId="171027"/>
</workbook>
</file>

<file path=xl/calcChain.xml><?xml version="1.0" encoding="utf-8"?>
<calcChain xmlns="http://schemas.openxmlformats.org/spreadsheetml/2006/main">
  <c r="E32" i="2" l="1"/>
  <c r="N70" i="2"/>
  <c r="N69" i="2"/>
  <c r="N68" i="2"/>
  <c r="N67" i="2"/>
  <c r="N66" i="2"/>
  <c r="N65" i="2"/>
  <c r="N64" i="2"/>
  <c r="N63" i="2"/>
  <c r="N62" i="2"/>
  <c r="N61" i="2"/>
  <c r="N59" i="2"/>
  <c r="N58" i="2"/>
  <c r="N57" i="2"/>
  <c r="N56" i="2"/>
  <c r="N55" i="2"/>
  <c r="N54" i="2"/>
  <c r="N53" i="2"/>
  <c r="N52" i="2"/>
  <c r="N51" i="2"/>
  <c r="N50" i="2"/>
  <c r="N49" i="2"/>
  <c r="N48" i="2"/>
  <c r="N47" i="2"/>
  <c r="N45" i="2"/>
  <c r="N44" i="2"/>
  <c r="N43" i="2"/>
  <c r="N42" i="2"/>
  <c r="N41" i="2"/>
  <c r="N40" i="2"/>
  <c r="N39" i="2"/>
  <c r="N38" i="2"/>
  <c r="N37" i="2"/>
  <c r="N36" i="2"/>
  <c r="N35" i="2"/>
  <c r="N34" i="2"/>
  <c r="N33" i="2"/>
  <c r="N32" i="2"/>
  <c r="N30" i="2"/>
  <c r="N29" i="2"/>
  <c r="N28" i="2"/>
  <c r="N27" i="2"/>
  <c r="N26" i="2"/>
  <c r="N25" i="2"/>
  <c r="N24" i="2"/>
  <c r="N23" i="2"/>
  <c r="N22" i="2"/>
  <c r="N21" i="2"/>
  <c r="N20" i="2"/>
  <c r="N19" i="2"/>
  <c r="N18" i="2"/>
  <c r="N17" i="2"/>
  <c r="N16" i="2"/>
  <c r="N15" i="2"/>
  <c r="N14" i="2"/>
  <c r="N12" i="2"/>
  <c r="N11" i="2"/>
  <c r="M70" i="2"/>
  <c r="M69" i="2"/>
  <c r="M68" i="2"/>
  <c r="M67" i="2"/>
  <c r="M66" i="2"/>
  <c r="M65" i="2"/>
  <c r="M64" i="2"/>
  <c r="M63" i="2"/>
  <c r="M62" i="2"/>
  <c r="M61" i="2"/>
  <c r="M59" i="2"/>
  <c r="M58" i="2"/>
  <c r="M57" i="2"/>
  <c r="M56" i="2"/>
  <c r="M55" i="2"/>
  <c r="M54" i="2"/>
  <c r="M53" i="2"/>
  <c r="M52" i="2"/>
  <c r="M51" i="2"/>
  <c r="M50" i="2"/>
  <c r="M49" i="2"/>
  <c r="M48" i="2"/>
  <c r="M47" i="2"/>
  <c r="M45" i="2"/>
  <c r="M44" i="2"/>
  <c r="M43" i="2"/>
  <c r="M42" i="2"/>
  <c r="M41" i="2"/>
  <c r="M40" i="2"/>
  <c r="M39" i="2"/>
  <c r="M38" i="2"/>
  <c r="M37" i="2"/>
  <c r="M36" i="2"/>
  <c r="M35" i="2"/>
  <c r="M34" i="2"/>
  <c r="M33" i="2"/>
  <c r="M32" i="2"/>
  <c r="M30" i="2"/>
  <c r="M29" i="2"/>
  <c r="M28" i="2"/>
  <c r="M27" i="2"/>
  <c r="M26" i="2"/>
  <c r="M25" i="2"/>
  <c r="M24" i="2"/>
  <c r="M23" i="2"/>
  <c r="M22" i="2"/>
  <c r="M21" i="2"/>
  <c r="M20" i="2"/>
  <c r="M19" i="2"/>
  <c r="M18" i="2"/>
  <c r="M17" i="2"/>
  <c r="M16" i="2"/>
  <c r="M15" i="2"/>
  <c r="M14" i="2"/>
  <c r="M12" i="2"/>
  <c r="M11" i="2"/>
  <c r="L70" i="2"/>
  <c r="L69" i="2"/>
  <c r="L68" i="2"/>
  <c r="L67" i="2"/>
  <c r="L66" i="2"/>
  <c r="L65" i="2"/>
  <c r="L64" i="2"/>
  <c r="L63" i="2"/>
  <c r="L62" i="2"/>
  <c r="L61" i="2"/>
  <c r="L59" i="2"/>
  <c r="L58" i="2"/>
  <c r="L57" i="2"/>
  <c r="L56" i="2"/>
  <c r="L55" i="2"/>
  <c r="L54" i="2"/>
  <c r="L53" i="2"/>
  <c r="L52" i="2"/>
  <c r="L51" i="2"/>
  <c r="L50" i="2"/>
  <c r="L49" i="2"/>
  <c r="L48" i="2"/>
  <c r="L47" i="2"/>
  <c r="L45" i="2"/>
  <c r="L44" i="2"/>
  <c r="L43" i="2"/>
  <c r="L42" i="2"/>
  <c r="L41" i="2"/>
  <c r="L40" i="2"/>
  <c r="L39" i="2"/>
  <c r="L38" i="2"/>
  <c r="L37" i="2"/>
  <c r="L36" i="2"/>
  <c r="L35" i="2"/>
  <c r="L34" i="2"/>
  <c r="L33" i="2"/>
  <c r="L30" i="2"/>
  <c r="L29" i="2"/>
  <c r="L28" i="2"/>
  <c r="L27" i="2"/>
  <c r="L26" i="2"/>
  <c r="L25" i="2"/>
  <c r="L24" i="2"/>
  <c r="L23" i="2"/>
  <c r="L22" i="2"/>
  <c r="L21" i="2"/>
  <c r="L20" i="2"/>
  <c r="L19" i="2"/>
  <c r="L18" i="2"/>
  <c r="L17" i="2"/>
  <c r="L16" i="2"/>
  <c r="L15" i="2"/>
  <c r="L14" i="2"/>
  <c r="L12" i="2"/>
  <c r="L11" i="2"/>
  <c r="K70" i="2"/>
  <c r="K69" i="2"/>
  <c r="K68" i="2"/>
  <c r="K67" i="2"/>
  <c r="K66" i="2"/>
  <c r="K65" i="2"/>
  <c r="K64" i="2"/>
  <c r="K63" i="2"/>
  <c r="K62" i="2"/>
  <c r="K61" i="2"/>
  <c r="K59" i="2"/>
  <c r="K58" i="2"/>
  <c r="K57" i="2"/>
  <c r="K56" i="2"/>
  <c r="K55" i="2"/>
  <c r="K54" i="2"/>
  <c r="K53" i="2"/>
  <c r="K52" i="2"/>
  <c r="K51" i="2"/>
  <c r="K50" i="2"/>
  <c r="K49" i="2"/>
  <c r="K48" i="2"/>
  <c r="K47" i="2"/>
  <c r="K45" i="2"/>
  <c r="K44" i="2"/>
  <c r="K43" i="2"/>
  <c r="K42" i="2"/>
  <c r="K41" i="2"/>
  <c r="K40" i="2"/>
  <c r="K39" i="2"/>
  <c r="K38" i="2"/>
  <c r="K37" i="2"/>
  <c r="K36" i="2"/>
  <c r="K35" i="2"/>
  <c r="K34" i="2"/>
  <c r="K33" i="2"/>
  <c r="K30" i="2"/>
  <c r="K29" i="2"/>
  <c r="K28" i="2"/>
  <c r="K27" i="2"/>
  <c r="K26" i="2"/>
  <c r="K25" i="2"/>
  <c r="K24" i="2"/>
  <c r="K23" i="2"/>
  <c r="K22" i="2"/>
  <c r="K21" i="2"/>
  <c r="K20" i="2"/>
  <c r="K19" i="2"/>
  <c r="K18" i="2"/>
  <c r="K17" i="2"/>
  <c r="K16" i="2"/>
  <c r="K15" i="2"/>
  <c r="K14" i="2"/>
  <c r="K12" i="2"/>
  <c r="K11" i="2"/>
  <c r="I70" i="2"/>
  <c r="I69" i="2"/>
  <c r="I68" i="2"/>
  <c r="I67" i="2"/>
  <c r="I66" i="2"/>
  <c r="I65" i="2"/>
  <c r="I64" i="2"/>
  <c r="I63" i="2"/>
  <c r="I62" i="2"/>
  <c r="I61" i="2"/>
  <c r="I59" i="2"/>
  <c r="I58" i="2"/>
  <c r="I57" i="2"/>
  <c r="I56" i="2"/>
  <c r="I55" i="2"/>
  <c r="I54" i="2"/>
  <c r="I53" i="2"/>
  <c r="I52" i="2"/>
  <c r="I51" i="2"/>
  <c r="I50" i="2"/>
  <c r="I49" i="2"/>
  <c r="I48" i="2"/>
  <c r="I47" i="2"/>
  <c r="I45" i="2"/>
  <c r="I44" i="2"/>
  <c r="I43" i="2"/>
  <c r="I42" i="2"/>
  <c r="I41" i="2"/>
  <c r="I40" i="2"/>
  <c r="I39" i="2"/>
  <c r="I38" i="2"/>
  <c r="I37" i="2"/>
  <c r="I36" i="2"/>
  <c r="I35" i="2"/>
  <c r="I34" i="2"/>
  <c r="I33" i="2"/>
  <c r="I32" i="2"/>
  <c r="I30" i="2"/>
  <c r="I29" i="2"/>
  <c r="I28" i="2"/>
  <c r="I27" i="2"/>
  <c r="I26" i="2"/>
  <c r="I25" i="2"/>
  <c r="I24" i="2"/>
  <c r="I23" i="2"/>
  <c r="I22" i="2"/>
  <c r="I21" i="2"/>
  <c r="I20" i="2"/>
  <c r="I19" i="2"/>
  <c r="I18" i="2"/>
  <c r="I17" i="2"/>
  <c r="I16" i="2"/>
  <c r="I15" i="2"/>
  <c r="I14" i="2"/>
  <c r="I12" i="2"/>
  <c r="I11" i="2"/>
  <c r="J70" i="2"/>
  <c r="J69" i="2"/>
  <c r="J68" i="2"/>
  <c r="J67" i="2"/>
  <c r="J66" i="2"/>
  <c r="J65" i="2"/>
  <c r="J64" i="2"/>
  <c r="J63" i="2"/>
  <c r="J62" i="2"/>
  <c r="J61" i="2"/>
  <c r="J59" i="2"/>
  <c r="J58" i="2"/>
  <c r="J57" i="2"/>
  <c r="J56" i="2"/>
  <c r="J55" i="2"/>
  <c r="J54" i="2"/>
  <c r="J53" i="2"/>
  <c r="J52" i="2"/>
  <c r="J51" i="2"/>
  <c r="J50" i="2"/>
  <c r="J49" i="2"/>
  <c r="J48" i="2"/>
  <c r="J47" i="2"/>
  <c r="J45" i="2"/>
  <c r="J44" i="2"/>
  <c r="J43" i="2"/>
  <c r="J42" i="2"/>
  <c r="J41" i="2"/>
  <c r="J40" i="2"/>
  <c r="J39" i="2"/>
  <c r="J38" i="2"/>
  <c r="J37" i="2"/>
  <c r="J36" i="2"/>
  <c r="J35" i="2"/>
  <c r="J34" i="2"/>
  <c r="J33" i="2"/>
  <c r="J32" i="2"/>
  <c r="J30" i="2"/>
  <c r="J29" i="2"/>
  <c r="J28" i="2"/>
  <c r="J27" i="2"/>
  <c r="J26" i="2"/>
  <c r="J25" i="2"/>
  <c r="J24" i="2"/>
  <c r="J23" i="2"/>
  <c r="J22" i="2"/>
  <c r="J21" i="2"/>
  <c r="J20" i="2"/>
  <c r="J19" i="2"/>
  <c r="J18" i="2"/>
  <c r="J17" i="2"/>
  <c r="J16" i="2"/>
  <c r="J15" i="2"/>
  <c r="J14" i="2"/>
  <c r="J12" i="2"/>
  <c r="J11" i="2"/>
  <c r="H70" i="2"/>
  <c r="H69" i="2"/>
  <c r="H68" i="2"/>
  <c r="H67" i="2"/>
  <c r="H66" i="2"/>
  <c r="H65" i="2"/>
  <c r="H64" i="2"/>
  <c r="H63" i="2"/>
  <c r="H62" i="2"/>
  <c r="H61" i="2"/>
  <c r="H59" i="2"/>
  <c r="H58" i="2"/>
  <c r="H57" i="2"/>
  <c r="H56" i="2"/>
  <c r="H55" i="2"/>
  <c r="H54" i="2"/>
  <c r="H53" i="2"/>
  <c r="H52" i="2"/>
  <c r="H51" i="2"/>
  <c r="H50" i="2"/>
  <c r="H49" i="2"/>
  <c r="H48" i="2"/>
  <c r="H47" i="2"/>
  <c r="H45" i="2"/>
  <c r="H44" i="2"/>
  <c r="H43" i="2"/>
  <c r="H42" i="2"/>
  <c r="H41" i="2"/>
  <c r="H40" i="2"/>
  <c r="H39" i="2"/>
  <c r="H38" i="2"/>
  <c r="H37" i="2"/>
  <c r="H36" i="2"/>
  <c r="H35" i="2"/>
  <c r="H34" i="2"/>
  <c r="H33" i="2"/>
  <c r="H32" i="2"/>
  <c r="H30" i="2"/>
  <c r="H29" i="2"/>
  <c r="H28" i="2"/>
  <c r="H27" i="2"/>
  <c r="H26" i="2"/>
  <c r="H25" i="2"/>
  <c r="H24" i="2"/>
  <c r="H23" i="2"/>
  <c r="H22" i="2"/>
  <c r="H21" i="2"/>
  <c r="H20" i="2"/>
  <c r="H19" i="2"/>
  <c r="H18" i="2"/>
  <c r="H17" i="2"/>
  <c r="H16" i="2"/>
  <c r="H15" i="2"/>
  <c r="H14" i="2"/>
  <c r="H12" i="2"/>
  <c r="H11" i="2"/>
  <c r="G70" i="2"/>
  <c r="G69" i="2"/>
  <c r="G68" i="2"/>
  <c r="G67" i="2"/>
  <c r="G66" i="2"/>
  <c r="G65" i="2"/>
  <c r="G64" i="2"/>
  <c r="G63" i="2"/>
  <c r="G62" i="2"/>
  <c r="G61" i="2"/>
  <c r="G59" i="2"/>
  <c r="G58" i="2"/>
  <c r="G57" i="2"/>
  <c r="G56" i="2"/>
  <c r="G55" i="2"/>
  <c r="G54" i="2"/>
  <c r="G53" i="2"/>
  <c r="G52" i="2"/>
  <c r="G51" i="2"/>
  <c r="G50" i="2"/>
  <c r="G49" i="2"/>
  <c r="G48" i="2"/>
  <c r="G47" i="2"/>
  <c r="G45" i="2"/>
  <c r="G44" i="2"/>
  <c r="G43" i="2"/>
  <c r="G42" i="2"/>
  <c r="G41" i="2"/>
  <c r="G40" i="2"/>
  <c r="G39" i="2"/>
  <c r="G38" i="2"/>
  <c r="G37" i="2"/>
  <c r="G36" i="2"/>
  <c r="G35" i="2"/>
  <c r="G34" i="2"/>
  <c r="G33" i="2"/>
  <c r="G32" i="2"/>
  <c r="G30" i="2"/>
  <c r="G29" i="2"/>
  <c r="G28" i="2"/>
  <c r="G27" i="2"/>
  <c r="G26" i="2"/>
  <c r="G25" i="2"/>
  <c r="G24" i="2"/>
  <c r="G23" i="2"/>
  <c r="G22" i="2"/>
  <c r="G21" i="2"/>
  <c r="G20" i="2"/>
  <c r="G19" i="2"/>
  <c r="G18" i="2"/>
  <c r="G17" i="2"/>
  <c r="G16" i="2"/>
  <c r="G15" i="2"/>
  <c r="G14" i="2"/>
  <c r="G12" i="2"/>
  <c r="G11" i="2"/>
  <c r="F70" i="2"/>
  <c r="F69" i="2"/>
  <c r="F68" i="2"/>
  <c r="F67" i="2"/>
  <c r="F66" i="2"/>
  <c r="F65" i="2"/>
  <c r="F64" i="2"/>
  <c r="F63" i="2"/>
  <c r="F62" i="2"/>
  <c r="F61" i="2"/>
  <c r="F59" i="2"/>
  <c r="F58" i="2"/>
  <c r="F57" i="2"/>
  <c r="F56" i="2"/>
  <c r="F55" i="2"/>
  <c r="F54" i="2"/>
  <c r="F53" i="2"/>
  <c r="F52" i="2"/>
  <c r="F51" i="2"/>
  <c r="F50" i="2"/>
  <c r="F49" i="2"/>
  <c r="F48" i="2"/>
  <c r="F47" i="2"/>
  <c r="F45" i="2"/>
  <c r="F44" i="2"/>
  <c r="F43" i="2"/>
  <c r="F42" i="2"/>
  <c r="F41" i="2"/>
  <c r="F40" i="2"/>
  <c r="F39" i="2"/>
  <c r="F38" i="2"/>
  <c r="F37" i="2"/>
  <c r="F36" i="2"/>
  <c r="F35" i="2"/>
  <c r="F34" i="2"/>
  <c r="F33" i="2"/>
  <c r="F30" i="2"/>
  <c r="F29" i="2"/>
  <c r="F28" i="2"/>
  <c r="F27" i="2"/>
  <c r="F26" i="2"/>
  <c r="F25" i="2"/>
  <c r="F24" i="2"/>
  <c r="F23" i="2"/>
  <c r="F22" i="2"/>
  <c r="F21" i="2"/>
  <c r="F20" i="2"/>
  <c r="F19" i="2"/>
  <c r="F18" i="2"/>
  <c r="F17" i="2"/>
  <c r="F16" i="2"/>
  <c r="F15" i="2"/>
  <c r="F14" i="2"/>
  <c r="F12" i="2"/>
  <c r="F11" i="2"/>
  <c r="E70" i="2"/>
  <c r="E69" i="2"/>
  <c r="E68" i="2"/>
  <c r="E67" i="2"/>
  <c r="E66" i="2"/>
  <c r="E65" i="2"/>
  <c r="E64" i="2"/>
  <c r="E63" i="2"/>
  <c r="E62" i="2"/>
  <c r="E61" i="2"/>
  <c r="E59" i="2"/>
  <c r="E58" i="2"/>
  <c r="E57" i="2"/>
  <c r="E56" i="2"/>
  <c r="E55" i="2"/>
  <c r="E54" i="2"/>
  <c r="E53" i="2"/>
  <c r="E52" i="2"/>
  <c r="E51" i="2"/>
  <c r="E50" i="2"/>
  <c r="E49" i="2"/>
  <c r="E48" i="2"/>
  <c r="E47" i="2"/>
  <c r="E45" i="2"/>
  <c r="E44" i="2"/>
  <c r="E43" i="2"/>
  <c r="E42" i="2"/>
  <c r="E41" i="2"/>
  <c r="E40" i="2"/>
  <c r="E39" i="2"/>
  <c r="E38" i="2"/>
  <c r="E37" i="2"/>
  <c r="E36" i="2"/>
  <c r="E35" i="2"/>
  <c r="E34" i="2"/>
  <c r="E33" i="2"/>
  <c r="E30" i="2"/>
  <c r="E29" i="2"/>
  <c r="E28" i="2"/>
  <c r="E27" i="2"/>
  <c r="E26" i="2"/>
  <c r="E25" i="2"/>
  <c r="E24" i="2"/>
  <c r="E23" i="2"/>
  <c r="E22" i="2"/>
  <c r="E21" i="2"/>
  <c r="E20" i="2"/>
  <c r="E19" i="2"/>
  <c r="E18" i="2"/>
  <c r="E17" i="2"/>
  <c r="E16" i="2"/>
  <c r="E15" i="2"/>
  <c r="E14" i="2"/>
  <c r="E12" i="2"/>
  <c r="E11" i="2"/>
  <c r="D70" i="2"/>
  <c r="D69" i="2"/>
  <c r="D68" i="2"/>
  <c r="D67" i="2"/>
  <c r="D66" i="2"/>
  <c r="D65" i="2"/>
  <c r="D64" i="2"/>
  <c r="D63" i="2"/>
  <c r="D62" i="2"/>
  <c r="D61" i="2"/>
  <c r="D59" i="2"/>
  <c r="D58" i="2"/>
  <c r="D57" i="2"/>
  <c r="D56" i="2"/>
  <c r="D55" i="2"/>
  <c r="D54" i="2"/>
  <c r="D53" i="2"/>
  <c r="D52" i="2"/>
  <c r="D51" i="2"/>
  <c r="D50" i="2"/>
  <c r="D49" i="2"/>
  <c r="D48" i="2"/>
  <c r="D47" i="2"/>
  <c r="D45" i="2"/>
  <c r="D44" i="2"/>
  <c r="D43" i="2"/>
  <c r="D42" i="2"/>
  <c r="D41" i="2"/>
  <c r="D40" i="2"/>
  <c r="D39" i="2"/>
  <c r="D38" i="2"/>
  <c r="D37" i="2"/>
  <c r="D36" i="2"/>
  <c r="D35" i="2"/>
  <c r="D34" i="2"/>
  <c r="D33" i="2"/>
  <c r="D32" i="2"/>
  <c r="D30" i="2"/>
  <c r="D29" i="2"/>
  <c r="D28" i="2"/>
  <c r="D27" i="2"/>
  <c r="D26" i="2"/>
  <c r="D25" i="2"/>
  <c r="D24" i="2"/>
  <c r="D23" i="2"/>
  <c r="D22" i="2"/>
  <c r="D21" i="2"/>
  <c r="D20" i="2"/>
  <c r="D19" i="2"/>
  <c r="D18" i="2"/>
  <c r="D17" i="2"/>
  <c r="D16" i="2"/>
  <c r="D14" i="2"/>
  <c r="D12" i="2"/>
  <c r="D11" i="2"/>
  <c r="C70" i="2"/>
  <c r="C69" i="2"/>
  <c r="C68" i="2"/>
  <c r="C67" i="2"/>
  <c r="C66" i="2"/>
  <c r="C65" i="2"/>
  <c r="C64" i="2"/>
  <c r="C63" i="2"/>
  <c r="C62" i="2"/>
  <c r="C61" i="2"/>
  <c r="C59" i="2"/>
  <c r="C58" i="2"/>
  <c r="C57" i="2"/>
  <c r="C56" i="2"/>
  <c r="C55" i="2"/>
  <c r="C54" i="2"/>
  <c r="C53" i="2"/>
  <c r="C52" i="2"/>
  <c r="C51" i="2"/>
  <c r="C50" i="2"/>
  <c r="C49" i="2"/>
  <c r="C48" i="2"/>
  <c r="C47" i="2"/>
  <c r="C45" i="2"/>
  <c r="C44" i="2"/>
  <c r="C43" i="2"/>
  <c r="C42" i="2"/>
  <c r="C41" i="2"/>
  <c r="C40" i="2"/>
  <c r="C39" i="2"/>
  <c r="C38" i="2"/>
  <c r="C37" i="2"/>
  <c r="C36" i="2"/>
  <c r="C35" i="2"/>
  <c r="C34" i="2"/>
  <c r="C33" i="2"/>
  <c r="C32" i="2"/>
  <c r="C30" i="2"/>
  <c r="C29" i="2"/>
  <c r="C28" i="2"/>
  <c r="C27" i="2"/>
  <c r="C26" i="2"/>
  <c r="C25" i="2"/>
  <c r="C24" i="2"/>
  <c r="C23" i="2"/>
  <c r="C22" i="2"/>
  <c r="C21" i="2"/>
  <c r="C20" i="2"/>
  <c r="C19" i="2"/>
  <c r="C18" i="2"/>
  <c r="C17" i="2"/>
  <c r="C16" i="2"/>
  <c r="C15" i="2"/>
  <c r="C14" i="2"/>
  <c r="C12" i="2"/>
  <c r="C11" i="2"/>
  <c r="AG4" i="7"/>
  <c r="AG5" i="7"/>
  <c r="AG6" i="7"/>
  <c r="AG7" i="7"/>
  <c r="AG8" i="7"/>
  <c r="AG9" i="7"/>
  <c r="AG10" i="7"/>
  <c r="AG11" i="7"/>
  <c r="AG12" i="7"/>
  <c r="AG13" i="7"/>
  <c r="AG14" i="7"/>
  <c r="AG15" i="7"/>
  <c r="AG16" i="7"/>
  <c r="AG17" i="7"/>
  <c r="AG18" i="7"/>
  <c r="AG19" i="7"/>
  <c r="AG20" i="7"/>
  <c r="AG21" i="7"/>
  <c r="AG22" i="7"/>
  <c r="AG23" i="7"/>
  <c r="AG24" i="7" s="1"/>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s="1"/>
  <c r="AG54" i="7"/>
  <c r="AG55" i="7"/>
  <c r="AG56" i="7"/>
  <c r="AG57" i="7"/>
  <c r="AG58" i="7"/>
  <c r="AG59" i="7"/>
  <c r="AG60" i="7"/>
  <c r="AG61" i="7"/>
  <c r="AG62" i="7"/>
  <c r="AG63" i="7"/>
  <c r="BM52" i="4"/>
  <c r="BM38" i="4"/>
  <c r="BM23" i="4"/>
  <c r="BM5" i="4"/>
  <c r="AG52" i="4"/>
  <c r="AG38" i="4"/>
  <c r="AG23" i="4"/>
  <c r="AG5" i="4"/>
  <c r="AG4" i="6"/>
  <c r="AG5" i="6"/>
  <c r="AG6" i="6"/>
  <c r="AG7" i="6"/>
  <c r="AG8" i="6"/>
  <c r="AG9" i="6"/>
  <c r="AG10" i="6"/>
  <c r="AG11" i="6"/>
  <c r="AG12" i="6"/>
  <c r="AG13" i="6"/>
  <c r="AG14" i="6"/>
  <c r="AG15" i="6"/>
  <c r="AG16" i="6"/>
  <c r="AG17" i="6"/>
  <c r="AG18" i="6"/>
  <c r="AG19" i="6"/>
  <c r="AG20" i="6"/>
  <c r="AG21" i="6"/>
  <c r="AG22" i="6"/>
  <c r="AG23" i="6"/>
  <c r="AG24"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BM52" i="3"/>
  <c r="BM38" i="3"/>
  <c r="BM23" i="3"/>
  <c r="BM5" i="3"/>
  <c r="AG5" i="3"/>
  <c r="AG4" i="3" s="1"/>
  <c r="AG23" i="3"/>
  <c r="AG38" i="3"/>
  <c r="AG52" i="3"/>
  <c r="AG4" i="5"/>
  <c r="AG5" i="5"/>
  <c r="AG6" i="5" s="1"/>
  <c r="AG7" i="5"/>
  <c r="AG8" i="5"/>
  <c r="AG9" i="5"/>
  <c r="AG10" i="5"/>
  <c r="AG11" i="5"/>
  <c r="AG12" i="5"/>
  <c r="AG13" i="5"/>
  <c r="AG14" i="5"/>
  <c r="AG15" i="5"/>
  <c r="AG16" i="5"/>
  <c r="AG17" i="5"/>
  <c r="AG18" i="5"/>
  <c r="AG19" i="5"/>
  <c r="AG20" i="5"/>
  <c r="AG21" i="5"/>
  <c r="AG22" i="5"/>
  <c r="AG23" i="5"/>
  <c r="AG24" i="5" s="1"/>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BM53" i="1"/>
  <c r="BM5" i="1"/>
  <c r="BM4" i="1" s="1"/>
  <c r="BM23" i="1"/>
  <c r="BM38" i="1"/>
  <c r="BM52" i="1"/>
  <c r="AG23" i="1"/>
  <c r="AG38" i="1"/>
  <c r="AG52" i="1"/>
  <c r="AG5" i="1"/>
  <c r="BM4" i="4" l="1"/>
  <c r="BM53" i="4" s="1"/>
  <c r="BM24" i="4"/>
  <c r="AG4" i="4"/>
  <c r="AG53" i="4" s="1"/>
  <c r="AG6" i="4"/>
  <c r="BM4" i="3"/>
  <c r="BM53" i="3" s="1"/>
  <c r="BM24" i="3"/>
  <c r="AG24" i="3"/>
  <c r="AG6" i="3"/>
  <c r="AG39" i="3"/>
  <c r="AG53" i="3"/>
  <c r="BM24" i="1"/>
  <c r="BM6" i="1"/>
  <c r="BM39" i="1"/>
  <c r="AG4" i="1"/>
  <c r="AG6" i="1"/>
  <c r="AG53" i="1"/>
  <c r="L32" i="2"/>
  <c r="D15" i="2"/>
  <c r="BM6" i="4" l="1"/>
  <c r="BM39" i="4"/>
  <c r="AG39" i="4"/>
  <c r="AG24" i="4"/>
  <c r="BM6" i="3"/>
  <c r="BM39" i="3"/>
  <c r="AG39" i="1"/>
  <c r="AG24" i="1"/>
  <c r="AF4" i="7"/>
  <c r="AF5" i="7"/>
  <c r="AF6" i="7"/>
  <c r="AF7" i="7"/>
  <c r="AF8" i="7"/>
  <c r="AF9" i="7"/>
  <c r="AF10" i="7"/>
  <c r="AF11" i="7"/>
  <c r="AF12" i="7"/>
  <c r="AF13" i="7"/>
  <c r="AF14" i="7"/>
  <c r="AF15" i="7"/>
  <c r="AF16" i="7"/>
  <c r="AF17" i="7"/>
  <c r="AF18" i="7"/>
  <c r="AF19" i="7"/>
  <c r="AF20" i="7"/>
  <c r="AF21" i="7"/>
  <c r="AF22" i="7"/>
  <c r="AF23"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BL5" i="4"/>
  <c r="BL4" i="4" s="1"/>
  <c r="BL23" i="4"/>
  <c r="BL38" i="4"/>
  <c r="BL52" i="4"/>
  <c r="AF5" i="4"/>
  <c r="AF4" i="4" s="1"/>
  <c r="AF23" i="4"/>
  <c r="AF38" i="4"/>
  <c r="AF52" i="4"/>
  <c r="AF55" i="6"/>
  <c r="AF56" i="6"/>
  <c r="AF57" i="6"/>
  <c r="AF58" i="6"/>
  <c r="AF59" i="6"/>
  <c r="AF60" i="6"/>
  <c r="AF61" i="6"/>
  <c r="AF62" i="6"/>
  <c r="AF63" i="6"/>
  <c r="AF54" i="6"/>
  <c r="AF52" i="6"/>
  <c r="AF41" i="6"/>
  <c r="AF42" i="6"/>
  <c r="AF43" i="6"/>
  <c r="AF44" i="6"/>
  <c r="AF45" i="6"/>
  <c r="AF46" i="6"/>
  <c r="AF47" i="6"/>
  <c r="AF48" i="6"/>
  <c r="AF49" i="6"/>
  <c r="AF50" i="6"/>
  <c r="AF51" i="6"/>
  <c r="AF40" i="6"/>
  <c r="AF38" i="6"/>
  <c r="AF27" i="6"/>
  <c r="AF28" i="6"/>
  <c r="AF29" i="6"/>
  <c r="AF30" i="6"/>
  <c r="AF31" i="6"/>
  <c r="AF32" i="6"/>
  <c r="AF33" i="6"/>
  <c r="AF34" i="6"/>
  <c r="AF35" i="6"/>
  <c r="AF36" i="6"/>
  <c r="AF37" i="6"/>
  <c r="AF26" i="6"/>
  <c r="AF23" i="6"/>
  <c r="AF8" i="6"/>
  <c r="AF9" i="6"/>
  <c r="AF10" i="6"/>
  <c r="AF11" i="6"/>
  <c r="AF12" i="6"/>
  <c r="AF13" i="6"/>
  <c r="AF14" i="6"/>
  <c r="AF15" i="6"/>
  <c r="AF16" i="6"/>
  <c r="AF17" i="6"/>
  <c r="AF18" i="6"/>
  <c r="AF19" i="6"/>
  <c r="AF20" i="6"/>
  <c r="AF21" i="6"/>
  <c r="AF22" i="6"/>
  <c r="AF7" i="6"/>
  <c r="AF5" i="6"/>
  <c r="AF4" i="6"/>
  <c r="BL4" i="3"/>
  <c r="BL5" i="3"/>
  <c r="BL6" i="3"/>
  <c r="BL23" i="3"/>
  <c r="BL38" i="3"/>
  <c r="BL52" i="3"/>
  <c r="AF5" i="3"/>
  <c r="AF4" i="3" s="1"/>
  <c r="AF53" i="3" s="1"/>
  <c r="AF23" i="3"/>
  <c r="AF38" i="3"/>
  <c r="AF52" i="3"/>
  <c r="AF4" i="5"/>
  <c r="AF5" i="5"/>
  <c r="AF7" i="5"/>
  <c r="AF8" i="5"/>
  <c r="AF9" i="5"/>
  <c r="AF10" i="5"/>
  <c r="AF11" i="5"/>
  <c r="AF12" i="5"/>
  <c r="AF13" i="5"/>
  <c r="AF14" i="5"/>
  <c r="AF15" i="5"/>
  <c r="AF16" i="5"/>
  <c r="AF17" i="5"/>
  <c r="AF18" i="5"/>
  <c r="AF19" i="5"/>
  <c r="AF20" i="5"/>
  <c r="AF21" i="5"/>
  <c r="AF22" i="5"/>
  <c r="AF23" i="5"/>
  <c r="AF25" i="5"/>
  <c r="AF26" i="5"/>
  <c r="AF27" i="5"/>
  <c r="AF28" i="5"/>
  <c r="AF29" i="5"/>
  <c r="AF30" i="5"/>
  <c r="AF31" i="5"/>
  <c r="AF32" i="5"/>
  <c r="AF33" i="5"/>
  <c r="AF34" i="5"/>
  <c r="AF35" i="5"/>
  <c r="AF36" i="5"/>
  <c r="AF37" i="5"/>
  <c r="AF38" i="5"/>
  <c r="AF40" i="5"/>
  <c r="AF41" i="5"/>
  <c r="AF42" i="5"/>
  <c r="AF43" i="5"/>
  <c r="AF44" i="5"/>
  <c r="AF45" i="5"/>
  <c r="AF46" i="5"/>
  <c r="AF47" i="5"/>
  <c r="AF48" i="5"/>
  <c r="AF49" i="5"/>
  <c r="AF50" i="5"/>
  <c r="AF51" i="5"/>
  <c r="AF52" i="5"/>
  <c r="AF54" i="5"/>
  <c r="AF55" i="5"/>
  <c r="AF56" i="5"/>
  <c r="AF57" i="5"/>
  <c r="AF58" i="5"/>
  <c r="AF59" i="5"/>
  <c r="AF60" i="5"/>
  <c r="AF61" i="5"/>
  <c r="AF62" i="5"/>
  <c r="AF63" i="5"/>
  <c r="AF5" i="1"/>
  <c r="AF4" i="1" s="1"/>
  <c r="AF23" i="1"/>
  <c r="AF38" i="1"/>
  <c r="AF52" i="1"/>
  <c r="BL5" i="1"/>
  <c r="BL23" i="1"/>
  <c r="BL38" i="1"/>
  <c r="BL52" i="1"/>
  <c r="AF24" i="7" l="1"/>
  <c r="AF53" i="5"/>
  <c r="AF6" i="5"/>
  <c r="AF39" i="5"/>
  <c r="BL53" i="4"/>
  <c r="BL24" i="4"/>
  <c r="BL39" i="4"/>
  <c r="BL6" i="4"/>
  <c r="AF53" i="4"/>
  <c r="AF24" i="4"/>
  <c r="AF39" i="4"/>
  <c r="AF6" i="4"/>
  <c r="AF39" i="3"/>
  <c r="AF24" i="3"/>
  <c r="AF6" i="3"/>
  <c r="AF24" i="5"/>
  <c r="AF24" i="1"/>
  <c r="AF53" i="1"/>
  <c r="AF39" i="1"/>
  <c r="AF6" i="1"/>
  <c r="BL4" i="1"/>
  <c r="BL24" i="1" s="1"/>
  <c r="AE7" i="7"/>
  <c r="AE8" i="7"/>
  <c r="AE9" i="7"/>
  <c r="AE10" i="7"/>
  <c r="AE11" i="7"/>
  <c r="AE12" i="7"/>
  <c r="AE13" i="7"/>
  <c r="AE14" i="7"/>
  <c r="AE15" i="7"/>
  <c r="AE16" i="7"/>
  <c r="AE17" i="7"/>
  <c r="AE18" i="7"/>
  <c r="AE19" i="7"/>
  <c r="AE20" i="7"/>
  <c r="AE21" i="7"/>
  <c r="AE22" i="7"/>
  <c r="AE23" i="7"/>
  <c r="AE25" i="7"/>
  <c r="AE26" i="7"/>
  <c r="AE27" i="7"/>
  <c r="AE28" i="7"/>
  <c r="AE29" i="7"/>
  <c r="AE30" i="7"/>
  <c r="AE31" i="7"/>
  <c r="AE32" i="7"/>
  <c r="AE33" i="7"/>
  <c r="AE34" i="7"/>
  <c r="AE35" i="7"/>
  <c r="AE36" i="7"/>
  <c r="AE37" i="7"/>
  <c r="AE40" i="7"/>
  <c r="AE41" i="7"/>
  <c r="AE42" i="7"/>
  <c r="AE43" i="7"/>
  <c r="AE44" i="7"/>
  <c r="AE45" i="7"/>
  <c r="AE46" i="7"/>
  <c r="AE47" i="7"/>
  <c r="AE48" i="7"/>
  <c r="AE49" i="7"/>
  <c r="AE50" i="7"/>
  <c r="AE51" i="7"/>
  <c r="AE54" i="7"/>
  <c r="AE55" i="7"/>
  <c r="AE56" i="7"/>
  <c r="AE57" i="7"/>
  <c r="AE58" i="7"/>
  <c r="AE59" i="7"/>
  <c r="AE60" i="7"/>
  <c r="AE61" i="7"/>
  <c r="AE62" i="7"/>
  <c r="AE63" i="7"/>
  <c r="BK52" i="4"/>
  <c r="BK38" i="4"/>
  <c r="AE38" i="7" s="1"/>
  <c r="BK23" i="4"/>
  <c r="BK5" i="4"/>
  <c r="AE52" i="4"/>
  <c r="AE38" i="4"/>
  <c r="AE23" i="4"/>
  <c r="AE5" i="4"/>
  <c r="AE5" i="7" s="1"/>
  <c r="AE5" i="6"/>
  <c r="AE7" i="6"/>
  <c r="AE8" i="6"/>
  <c r="AE9" i="6"/>
  <c r="AE10" i="6"/>
  <c r="AE11" i="6"/>
  <c r="AE12" i="6"/>
  <c r="AE13" i="6"/>
  <c r="AE14" i="6"/>
  <c r="AE15" i="6"/>
  <c r="AE16" i="6"/>
  <c r="AE17" i="6"/>
  <c r="AE18" i="6"/>
  <c r="AE19" i="6"/>
  <c r="AE20" i="6"/>
  <c r="AE21" i="6"/>
  <c r="AE22" i="6"/>
  <c r="AE23" i="6"/>
  <c r="AE26" i="6"/>
  <c r="AE27" i="6"/>
  <c r="AE28" i="6"/>
  <c r="AE29" i="6"/>
  <c r="AE30" i="6"/>
  <c r="AE31" i="6"/>
  <c r="AE32" i="6"/>
  <c r="AE33" i="6"/>
  <c r="AE34" i="6"/>
  <c r="AE35" i="6"/>
  <c r="AE36" i="6"/>
  <c r="AE37" i="6"/>
  <c r="AE40" i="6"/>
  <c r="AE41" i="6"/>
  <c r="AE42" i="6"/>
  <c r="AE43" i="6"/>
  <c r="AE44" i="6"/>
  <c r="AE45" i="6"/>
  <c r="AE46" i="6"/>
  <c r="AE47" i="6"/>
  <c r="AE48" i="6"/>
  <c r="AE49" i="6"/>
  <c r="AE50" i="6"/>
  <c r="AE51" i="6"/>
  <c r="AE54" i="6"/>
  <c r="AE55" i="6"/>
  <c r="AE56" i="6"/>
  <c r="AE57" i="6"/>
  <c r="AE58" i="6"/>
  <c r="AE59" i="6"/>
  <c r="AE60" i="6"/>
  <c r="AE61" i="6"/>
  <c r="AE62" i="6"/>
  <c r="AE63" i="6"/>
  <c r="BK52" i="3"/>
  <c r="BK38" i="3"/>
  <c r="BK23" i="3"/>
  <c r="BK5" i="3"/>
  <c r="AE52" i="3"/>
  <c r="AE38" i="3"/>
  <c r="AE23" i="3"/>
  <c r="AE5" i="3"/>
  <c r="AE7" i="5"/>
  <c r="AE8" i="5"/>
  <c r="AE9" i="5"/>
  <c r="AE10" i="5"/>
  <c r="AE11" i="5"/>
  <c r="AE12" i="5"/>
  <c r="AE13" i="5"/>
  <c r="AE14" i="5"/>
  <c r="AE15" i="5"/>
  <c r="AE16" i="5"/>
  <c r="AE17" i="5"/>
  <c r="AE18" i="5"/>
  <c r="AE19" i="5"/>
  <c r="AE20" i="5"/>
  <c r="AE21" i="5"/>
  <c r="AE22" i="5"/>
  <c r="AE25" i="5"/>
  <c r="AE26" i="5"/>
  <c r="AE27" i="5"/>
  <c r="AE28" i="5"/>
  <c r="AE29" i="5"/>
  <c r="AE30" i="5"/>
  <c r="AE31" i="5"/>
  <c r="AE32" i="5"/>
  <c r="AE33" i="5"/>
  <c r="AE34" i="5"/>
  <c r="AE35" i="5"/>
  <c r="AE36" i="5"/>
  <c r="AE37" i="5"/>
  <c r="AE40" i="5"/>
  <c r="AE41" i="5"/>
  <c r="AE42" i="5"/>
  <c r="AE43" i="5"/>
  <c r="AE44" i="5"/>
  <c r="AE45" i="5"/>
  <c r="AE46" i="5"/>
  <c r="AE47" i="5"/>
  <c r="AE48" i="5"/>
  <c r="AE49" i="5"/>
  <c r="AE50" i="5"/>
  <c r="AE51" i="5"/>
  <c r="AE54" i="5"/>
  <c r="AE55" i="5"/>
  <c r="AE56" i="5"/>
  <c r="AE57" i="5"/>
  <c r="AE58" i="5"/>
  <c r="AE59" i="5"/>
  <c r="AE60" i="5"/>
  <c r="AE61" i="5"/>
  <c r="AE62" i="5"/>
  <c r="AE63" i="5"/>
  <c r="BK52" i="1"/>
  <c r="BK38" i="1"/>
  <c r="BK23" i="1"/>
  <c r="BK5" i="1"/>
  <c r="AE5" i="5" s="1"/>
  <c r="AE52" i="1"/>
  <c r="AE38" i="1"/>
  <c r="AE23" i="1"/>
  <c r="AE5" i="1"/>
  <c r="AF53" i="6" l="1"/>
  <c r="BL24" i="3"/>
  <c r="BL39" i="3"/>
  <c r="BL53" i="3"/>
  <c r="AF39" i="6"/>
  <c r="BL39" i="1"/>
  <c r="BL53" i="1"/>
  <c r="BL6" i="1"/>
  <c r="AE38" i="5"/>
  <c r="AE23" i="5"/>
  <c r="AE38" i="6"/>
  <c r="AE52" i="7"/>
  <c r="AE52" i="6"/>
  <c r="AE52" i="5"/>
  <c r="BK4" i="4"/>
  <c r="AE4" i="4"/>
  <c r="BK4" i="3"/>
  <c r="BK53" i="3" s="1"/>
  <c r="AE4" i="3"/>
  <c r="BK4" i="1"/>
  <c r="BK6" i="1" s="1"/>
  <c r="AE4" i="1"/>
  <c r="AF6" i="6" l="1"/>
  <c r="AF24" i="6"/>
  <c r="AE6" i="4"/>
  <c r="AE4" i="7"/>
  <c r="G60" i="2"/>
  <c r="AE53" i="3"/>
  <c r="AE4" i="6"/>
  <c r="AE39" i="1"/>
  <c r="AE4" i="5"/>
  <c r="C60" i="2"/>
  <c r="BK39" i="4"/>
  <c r="BK53" i="4"/>
  <c r="BK6" i="4"/>
  <c r="BK24" i="4"/>
  <c r="AE24" i="4"/>
  <c r="AE53" i="4"/>
  <c r="AE39" i="4"/>
  <c r="BK6" i="3"/>
  <c r="BK39" i="3"/>
  <c r="BK24" i="3"/>
  <c r="AE6" i="3"/>
  <c r="AE39" i="3"/>
  <c r="AE24" i="3"/>
  <c r="BK53" i="1"/>
  <c r="BK39" i="1"/>
  <c r="BK24" i="1"/>
  <c r="AE24" i="1"/>
  <c r="AE53" i="1"/>
  <c r="AE6" i="1"/>
  <c r="AD7" i="7"/>
  <c r="AD8" i="7"/>
  <c r="AD9" i="7"/>
  <c r="AD10" i="7"/>
  <c r="AD11" i="7"/>
  <c r="AD12" i="7"/>
  <c r="AD13" i="7"/>
  <c r="AD14" i="7"/>
  <c r="AD15" i="7"/>
  <c r="AD16" i="7"/>
  <c r="AD17" i="7"/>
  <c r="AD18" i="7"/>
  <c r="AD19" i="7"/>
  <c r="AD20" i="7"/>
  <c r="AD21" i="7"/>
  <c r="AD22" i="7"/>
  <c r="AD25" i="7"/>
  <c r="AD26" i="7"/>
  <c r="AD27" i="7"/>
  <c r="AD28" i="7"/>
  <c r="AD29" i="7"/>
  <c r="AD30" i="7"/>
  <c r="AD31" i="7"/>
  <c r="AD32" i="7"/>
  <c r="AD33" i="7"/>
  <c r="AD34" i="7"/>
  <c r="AD35" i="7"/>
  <c r="AD36" i="7"/>
  <c r="AD37" i="7"/>
  <c r="AD40" i="7"/>
  <c r="AD41" i="7"/>
  <c r="AD42" i="7"/>
  <c r="AD43" i="7"/>
  <c r="AD44" i="7"/>
  <c r="AD45" i="7"/>
  <c r="AD46" i="7"/>
  <c r="AD47" i="7"/>
  <c r="AD48" i="7"/>
  <c r="AD49" i="7"/>
  <c r="AD50" i="7"/>
  <c r="AD51" i="7"/>
  <c r="AD54" i="7"/>
  <c r="AD55" i="7"/>
  <c r="AD56" i="7"/>
  <c r="AD57" i="7"/>
  <c r="AD58" i="7"/>
  <c r="AD59" i="7"/>
  <c r="AD60" i="7"/>
  <c r="AD61" i="7"/>
  <c r="AD62" i="7"/>
  <c r="AD63" i="7"/>
  <c r="BJ5" i="4"/>
  <c r="BJ23" i="4"/>
  <c r="BJ38" i="4"/>
  <c r="BJ52" i="4"/>
  <c r="AD5" i="4"/>
  <c r="AD23" i="4"/>
  <c r="AD38" i="4"/>
  <c r="AD52" i="4"/>
  <c r="AD52" i="7" s="1"/>
  <c r="AD5" i="3"/>
  <c r="AD52" i="3"/>
  <c r="AD38" i="3"/>
  <c r="AD23" i="3"/>
  <c r="AD23" i="6" s="1"/>
  <c r="AD7" i="6"/>
  <c r="AD8" i="6"/>
  <c r="AD9" i="6"/>
  <c r="AD10" i="6"/>
  <c r="AD11" i="6"/>
  <c r="AD12" i="6"/>
  <c r="AD13" i="6"/>
  <c r="AD14" i="6"/>
  <c r="AD15" i="6"/>
  <c r="AD16" i="6"/>
  <c r="AD17" i="6"/>
  <c r="AD18" i="6"/>
  <c r="AD19" i="6"/>
  <c r="AD20" i="6"/>
  <c r="AD21" i="6"/>
  <c r="AD22" i="6"/>
  <c r="AD26" i="6"/>
  <c r="AD27" i="6"/>
  <c r="AD28" i="6"/>
  <c r="AD29" i="6"/>
  <c r="AD30" i="6"/>
  <c r="AD31" i="6"/>
  <c r="AD32" i="6"/>
  <c r="AD33" i="6"/>
  <c r="AD34" i="6"/>
  <c r="AD35" i="6"/>
  <c r="AD36" i="6"/>
  <c r="AD37" i="6"/>
  <c r="AD40" i="6"/>
  <c r="AD41" i="6"/>
  <c r="AD42" i="6"/>
  <c r="AD43" i="6"/>
  <c r="AD44" i="6"/>
  <c r="AD45" i="6"/>
  <c r="AD46" i="6"/>
  <c r="AD47" i="6"/>
  <c r="AD48" i="6"/>
  <c r="AD49" i="6"/>
  <c r="AD50" i="6"/>
  <c r="AD51" i="6"/>
  <c r="AD54" i="6"/>
  <c r="AD55" i="6"/>
  <c r="AD56" i="6"/>
  <c r="AD57" i="6"/>
  <c r="AD58" i="6"/>
  <c r="AD59" i="6"/>
  <c r="AD60" i="6"/>
  <c r="AD61" i="6"/>
  <c r="AD62" i="6"/>
  <c r="AD63" i="6"/>
  <c r="BJ5" i="3"/>
  <c r="BJ23" i="3"/>
  <c r="BJ38" i="3"/>
  <c r="BJ52" i="3"/>
  <c r="AD52" i="6" s="1"/>
  <c r="AD7" i="5"/>
  <c r="AD8" i="5"/>
  <c r="AD9" i="5"/>
  <c r="AD10" i="5"/>
  <c r="AD11" i="5"/>
  <c r="AD12" i="5"/>
  <c r="AD13" i="5"/>
  <c r="AD14" i="5"/>
  <c r="AD15" i="5"/>
  <c r="AD16" i="5"/>
  <c r="AD17" i="5"/>
  <c r="AD18" i="5"/>
  <c r="AD19" i="5"/>
  <c r="AD20" i="5"/>
  <c r="AD21" i="5"/>
  <c r="AD22" i="5"/>
  <c r="AD25" i="5"/>
  <c r="AD26" i="5"/>
  <c r="AD27" i="5"/>
  <c r="AD28" i="5"/>
  <c r="AD29" i="5"/>
  <c r="AD30" i="5"/>
  <c r="AD31" i="5"/>
  <c r="AD32" i="5"/>
  <c r="AD33" i="5"/>
  <c r="AD34" i="5"/>
  <c r="AD35" i="5"/>
  <c r="AD36" i="5"/>
  <c r="AD37" i="5"/>
  <c r="AD40" i="5"/>
  <c r="AD41" i="5"/>
  <c r="AD42" i="5"/>
  <c r="AD43" i="5"/>
  <c r="AD44" i="5"/>
  <c r="AD45" i="5"/>
  <c r="AD46" i="5"/>
  <c r="AD47" i="5"/>
  <c r="AD48" i="5"/>
  <c r="AD49" i="5"/>
  <c r="AD50" i="5"/>
  <c r="AD51" i="5"/>
  <c r="AD54" i="5"/>
  <c r="AD55" i="5"/>
  <c r="AD56" i="5"/>
  <c r="AD57" i="5"/>
  <c r="AD58" i="5"/>
  <c r="AD59" i="5"/>
  <c r="AD60" i="5"/>
  <c r="AD61" i="5"/>
  <c r="AD62" i="5"/>
  <c r="AD63" i="5"/>
  <c r="BJ5" i="1"/>
  <c r="BJ23" i="1"/>
  <c r="BJ38" i="1"/>
  <c r="BJ52" i="1"/>
  <c r="AD5" i="1"/>
  <c r="AD23" i="1"/>
  <c r="AD38" i="1"/>
  <c r="AH38" i="1"/>
  <c r="AD52" i="1"/>
  <c r="AD23" i="5" l="1"/>
  <c r="BJ4" i="4"/>
  <c r="AD23" i="7"/>
  <c r="AE39" i="7"/>
  <c r="AE24" i="7"/>
  <c r="AE6" i="7"/>
  <c r="AE53" i="7"/>
  <c r="G31" i="2"/>
  <c r="G46" i="2"/>
  <c r="G13" i="2"/>
  <c r="E46" i="2"/>
  <c r="E31" i="2"/>
  <c r="E13" i="2"/>
  <c r="E60" i="2"/>
  <c r="AE39" i="6"/>
  <c r="AE24" i="6"/>
  <c r="AE53" i="6"/>
  <c r="AE6" i="6"/>
  <c r="AD52" i="5"/>
  <c r="AE24" i="5"/>
  <c r="AE6" i="5"/>
  <c r="AE39" i="5"/>
  <c r="AE53" i="5"/>
  <c r="C46" i="2"/>
  <c r="C13" i="2"/>
  <c r="C31" i="2"/>
  <c r="AD5" i="6"/>
  <c r="AD4" i="3"/>
  <c r="AD39" i="3" s="1"/>
  <c r="AD4" i="1"/>
  <c r="AD39" i="1" s="1"/>
  <c r="BJ4" i="1"/>
  <c r="BJ53" i="1" s="1"/>
  <c r="AD5" i="5"/>
  <c r="AD38" i="7"/>
  <c r="AD38" i="5"/>
  <c r="BJ4" i="3"/>
  <c r="AD38" i="6"/>
  <c r="AD5" i="7"/>
  <c r="BJ6" i="4"/>
  <c r="BJ24" i="4"/>
  <c r="BJ39" i="4"/>
  <c r="BJ53" i="4"/>
  <c r="AD4" i="4"/>
  <c r="BJ39" i="3"/>
  <c r="BJ24" i="3"/>
  <c r="BJ6" i="3"/>
  <c r="BJ53" i="3"/>
  <c r="AD53" i="3" l="1"/>
  <c r="AD24" i="1"/>
  <c r="AD6" i="1"/>
  <c r="M31" i="2"/>
  <c r="M13" i="2"/>
  <c r="M46" i="2"/>
  <c r="M60" i="2"/>
  <c r="K46" i="2"/>
  <c r="K13" i="2"/>
  <c r="K31" i="2"/>
  <c r="K60" i="2"/>
  <c r="BJ24" i="1"/>
  <c r="BJ6" i="1"/>
  <c r="AD53" i="1"/>
  <c r="BJ39" i="1"/>
  <c r="I46" i="2"/>
  <c r="I13" i="2"/>
  <c r="I31" i="2"/>
  <c r="I60" i="2"/>
  <c r="AD4" i="6"/>
  <c r="AD4" i="5"/>
  <c r="AD4" i="7"/>
  <c r="AD6" i="3"/>
  <c r="AD24" i="3"/>
  <c r="AD39" i="4"/>
  <c r="AD24" i="4"/>
  <c r="AD6" i="4"/>
  <c r="AD53" i="4"/>
  <c r="AD39" i="7" l="1"/>
  <c r="AD39" i="5"/>
  <c r="AD24" i="7"/>
  <c r="AD53" i="7"/>
  <c r="AD6" i="5"/>
  <c r="AD24" i="5"/>
  <c r="AD53" i="5"/>
  <c r="AD6" i="7"/>
  <c r="AD6" i="6"/>
  <c r="AD24" i="6"/>
  <c r="AD53" i="6"/>
  <c r="AD39" i="6"/>
  <c r="BI52" i="4"/>
  <c r="BI38" i="4"/>
  <c r="BI23" i="4"/>
  <c r="BI5" i="4"/>
  <c r="Q7" i="7"/>
  <c r="R7" i="7"/>
  <c r="S7" i="7"/>
  <c r="T7" i="7"/>
  <c r="U7" i="7"/>
  <c r="V7" i="7"/>
  <c r="W7" i="7"/>
  <c r="X7" i="7"/>
  <c r="Y7" i="7"/>
  <c r="Z7" i="7"/>
  <c r="AA7" i="7"/>
  <c r="AB7" i="7"/>
  <c r="AC7" i="7"/>
  <c r="Q8" i="7"/>
  <c r="R8" i="7"/>
  <c r="S8" i="7"/>
  <c r="T8" i="7"/>
  <c r="U8" i="7"/>
  <c r="V8" i="7"/>
  <c r="W8" i="7"/>
  <c r="X8" i="7"/>
  <c r="Y8" i="7"/>
  <c r="Z8" i="7"/>
  <c r="AA8" i="7"/>
  <c r="AB8" i="7"/>
  <c r="AC8" i="7"/>
  <c r="Q9" i="7"/>
  <c r="R9" i="7"/>
  <c r="S9" i="7"/>
  <c r="T9" i="7"/>
  <c r="U9" i="7"/>
  <c r="V9" i="7"/>
  <c r="W9" i="7"/>
  <c r="X9" i="7"/>
  <c r="Y9" i="7"/>
  <c r="Z9" i="7"/>
  <c r="AA9" i="7"/>
  <c r="AB9" i="7"/>
  <c r="AC9" i="7"/>
  <c r="Q10" i="7"/>
  <c r="R10" i="7"/>
  <c r="S10" i="7"/>
  <c r="T10" i="7"/>
  <c r="U10" i="7"/>
  <c r="V10" i="7"/>
  <c r="W10" i="7"/>
  <c r="X10" i="7"/>
  <c r="Y10" i="7"/>
  <c r="Z10" i="7"/>
  <c r="AA10" i="7"/>
  <c r="AB10" i="7"/>
  <c r="AC10" i="7"/>
  <c r="Q11" i="7"/>
  <c r="R11" i="7"/>
  <c r="S11" i="7"/>
  <c r="T11" i="7"/>
  <c r="U11" i="7"/>
  <c r="V11" i="7"/>
  <c r="W11" i="7"/>
  <c r="X11" i="7"/>
  <c r="Y11" i="7"/>
  <c r="Z11" i="7"/>
  <c r="AA11" i="7"/>
  <c r="AB11" i="7"/>
  <c r="AC11" i="7"/>
  <c r="Q12" i="7"/>
  <c r="R12" i="7"/>
  <c r="S12" i="7"/>
  <c r="T12" i="7"/>
  <c r="U12" i="7"/>
  <c r="V12" i="7"/>
  <c r="W12" i="7"/>
  <c r="X12" i="7"/>
  <c r="Y12" i="7"/>
  <c r="Z12" i="7"/>
  <c r="AA12" i="7"/>
  <c r="AB12" i="7"/>
  <c r="AC12" i="7"/>
  <c r="Q13" i="7"/>
  <c r="R13" i="7"/>
  <c r="S13" i="7"/>
  <c r="T13" i="7"/>
  <c r="U13" i="7"/>
  <c r="V13" i="7"/>
  <c r="W13" i="7"/>
  <c r="X13" i="7"/>
  <c r="Y13" i="7"/>
  <c r="Z13" i="7"/>
  <c r="AA13" i="7"/>
  <c r="AB13" i="7"/>
  <c r="AC13" i="7"/>
  <c r="Q14" i="7"/>
  <c r="R14" i="7"/>
  <c r="S14" i="7"/>
  <c r="T14" i="7"/>
  <c r="U14" i="7"/>
  <c r="V14" i="7"/>
  <c r="W14" i="7"/>
  <c r="X14" i="7"/>
  <c r="Y14" i="7"/>
  <c r="Z14" i="7"/>
  <c r="AA14" i="7"/>
  <c r="AB14" i="7"/>
  <c r="AC14" i="7"/>
  <c r="Q15" i="7"/>
  <c r="R15" i="7"/>
  <c r="S15" i="7"/>
  <c r="T15" i="7"/>
  <c r="U15" i="7"/>
  <c r="V15" i="7"/>
  <c r="W15" i="7"/>
  <c r="X15" i="7"/>
  <c r="Y15" i="7"/>
  <c r="Z15" i="7"/>
  <c r="AA15" i="7"/>
  <c r="AB15" i="7"/>
  <c r="AC15" i="7"/>
  <c r="Q16" i="7"/>
  <c r="R16" i="7"/>
  <c r="S16" i="7"/>
  <c r="T16" i="7"/>
  <c r="U16" i="7"/>
  <c r="V16" i="7"/>
  <c r="W16" i="7"/>
  <c r="X16" i="7"/>
  <c r="Y16" i="7"/>
  <c r="Z16" i="7"/>
  <c r="AA16" i="7"/>
  <c r="AB16" i="7"/>
  <c r="AC16" i="7"/>
  <c r="Q17" i="7"/>
  <c r="R17" i="7"/>
  <c r="S17" i="7"/>
  <c r="T17" i="7"/>
  <c r="U17" i="7"/>
  <c r="V17" i="7"/>
  <c r="W17" i="7"/>
  <c r="X17" i="7"/>
  <c r="Y17" i="7"/>
  <c r="Z17" i="7"/>
  <c r="AA17" i="7"/>
  <c r="AB17" i="7"/>
  <c r="AC17" i="7"/>
  <c r="Q18" i="7"/>
  <c r="R18" i="7"/>
  <c r="S18" i="7"/>
  <c r="T18" i="7"/>
  <c r="U18" i="7"/>
  <c r="V18" i="7"/>
  <c r="W18" i="7"/>
  <c r="X18" i="7"/>
  <c r="Y18" i="7"/>
  <c r="Z18" i="7"/>
  <c r="AA18" i="7"/>
  <c r="AB18" i="7"/>
  <c r="AC18" i="7"/>
  <c r="Q19" i="7"/>
  <c r="R19" i="7"/>
  <c r="S19" i="7"/>
  <c r="T19" i="7"/>
  <c r="U19" i="7"/>
  <c r="V19" i="7"/>
  <c r="W19" i="7"/>
  <c r="X19" i="7"/>
  <c r="Y19" i="7"/>
  <c r="Z19" i="7"/>
  <c r="AA19" i="7"/>
  <c r="AB19" i="7"/>
  <c r="AC19" i="7"/>
  <c r="Q20" i="7"/>
  <c r="R20" i="7"/>
  <c r="S20" i="7"/>
  <c r="T20" i="7"/>
  <c r="U20" i="7"/>
  <c r="V20" i="7"/>
  <c r="W20" i="7"/>
  <c r="X20" i="7"/>
  <c r="Y20" i="7"/>
  <c r="Z20" i="7"/>
  <c r="AA20" i="7"/>
  <c r="AB20" i="7"/>
  <c r="AC20" i="7"/>
  <c r="Q21" i="7"/>
  <c r="R21" i="7"/>
  <c r="S21" i="7"/>
  <c r="T21" i="7"/>
  <c r="U21" i="7"/>
  <c r="V21" i="7"/>
  <c r="W21" i="7"/>
  <c r="X21" i="7"/>
  <c r="Y21" i="7"/>
  <c r="Z21" i="7"/>
  <c r="AA21" i="7"/>
  <c r="AB21" i="7"/>
  <c r="AC21" i="7"/>
  <c r="Q22" i="7"/>
  <c r="R22" i="7"/>
  <c r="S22" i="7"/>
  <c r="T22" i="7"/>
  <c r="U22" i="7"/>
  <c r="V22" i="7"/>
  <c r="W22" i="7"/>
  <c r="X22" i="7"/>
  <c r="Y22" i="7"/>
  <c r="Z22" i="7"/>
  <c r="AA22" i="7"/>
  <c r="AB22" i="7"/>
  <c r="AC22" i="7"/>
  <c r="Q25" i="7"/>
  <c r="R25" i="7"/>
  <c r="S25" i="7"/>
  <c r="T25" i="7"/>
  <c r="U25" i="7"/>
  <c r="V25" i="7"/>
  <c r="W25" i="7"/>
  <c r="X25" i="7"/>
  <c r="Y25" i="7"/>
  <c r="Z25" i="7"/>
  <c r="AA25" i="7"/>
  <c r="AB25" i="7"/>
  <c r="AC25" i="7"/>
  <c r="Q26" i="7"/>
  <c r="R26" i="7"/>
  <c r="S26" i="7"/>
  <c r="T26" i="7"/>
  <c r="U26" i="7"/>
  <c r="V26" i="7"/>
  <c r="W26" i="7"/>
  <c r="X26" i="7"/>
  <c r="Y26" i="7"/>
  <c r="Z26" i="7"/>
  <c r="AA26" i="7"/>
  <c r="AB26" i="7"/>
  <c r="AC26" i="7"/>
  <c r="Q27" i="7"/>
  <c r="R27" i="7"/>
  <c r="S27" i="7"/>
  <c r="T27" i="7"/>
  <c r="U27" i="7"/>
  <c r="V27" i="7"/>
  <c r="W27" i="7"/>
  <c r="X27" i="7"/>
  <c r="Y27" i="7"/>
  <c r="Z27" i="7"/>
  <c r="AA27" i="7"/>
  <c r="AB27" i="7"/>
  <c r="AC27" i="7"/>
  <c r="Q28" i="7"/>
  <c r="R28" i="7"/>
  <c r="S28" i="7"/>
  <c r="T28" i="7"/>
  <c r="U28" i="7"/>
  <c r="V28" i="7"/>
  <c r="W28" i="7"/>
  <c r="X28" i="7"/>
  <c r="Y28" i="7"/>
  <c r="Z28" i="7"/>
  <c r="AA28" i="7"/>
  <c r="AB28" i="7"/>
  <c r="AC28" i="7"/>
  <c r="Q29" i="7"/>
  <c r="R29" i="7"/>
  <c r="S29" i="7"/>
  <c r="T29" i="7"/>
  <c r="U29" i="7"/>
  <c r="V29" i="7"/>
  <c r="W29" i="7"/>
  <c r="X29" i="7"/>
  <c r="Y29" i="7"/>
  <c r="Z29" i="7"/>
  <c r="AA29" i="7"/>
  <c r="AB29" i="7"/>
  <c r="AC29" i="7"/>
  <c r="Q30" i="7"/>
  <c r="R30" i="7"/>
  <c r="S30" i="7"/>
  <c r="T30" i="7"/>
  <c r="U30" i="7"/>
  <c r="V30" i="7"/>
  <c r="W30" i="7"/>
  <c r="X30" i="7"/>
  <c r="Y30" i="7"/>
  <c r="Z30" i="7"/>
  <c r="AA30" i="7"/>
  <c r="AB30" i="7"/>
  <c r="AC30" i="7"/>
  <c r="Q31" i="7"/>
  <c r="R31" i="7"/>
  <c r="S31" i="7"/>
  <c r="T31" i="7"/>
  <c r="U31" i="7"/>
  <c r="V31" i="7"/>
  <c r="W31" i="7"/>
  <c r="X31" i="7"/>
  <c r="Y31" i="7"/>
  <c r="Z31" i="7"/>
  <c r="AA31" i="7"/>
  <c r="AB31" i="7"/>
  <c r="AC31" i="7"/>
  <c r="Q32" i="7"/>
  <c r="R32" i="7"/>
  <c r="S32" i="7"/>
  <c r="T32" i="7"/>
  <c r="U32" i="7"/>
  <c r="V32" i="7"/>
  <c r="W32" i="7"/>
  <c r="X32" i="7"/>
  <c r="Y32" i="7"/>
  <c r="Z32" i="7"/>
  <c r="AA32" i="7"/>
  <c r="AB32" i="7"/>
  <c r="AC32" i="7"/>
  <c r="Q33" i="7"/>
  <c r="R33" i="7"/>
  <c r="S33" i="7"/>
  <c r="T33" i="7"/>
  <c r="U33" i="7"/>
  <c r="V33" i="7"/>
  <c r="W33" i="7"/>
  <c r="X33" i="7"/>
  <c r="Y33" i="7"/>
  <c r="Z33" i="7"/>
  <c r="AA33" i="7"/>
  <c r="AB33" i="7"/>
  <c r="AC33" i="7"/>
  <c r="Q34" i="7"/>
  <c r="R34" i="7"/>
  <c r="S34" i="7"/>
  <c r="T34" i="7"/>
  <c r="U34" i="7"/>
  <c r="V34" i="7"/>
  <c r="W34" i="7"/>
  <c r="X34" i="7"/>
  <c r="Y34" i="7"/>
  <c r="Z34" i="7"/>
  <c r="AA34" i="7"/>
  <c r="AB34" i="7"/>
  <c r="AC34" i="7"/>
  <c r="Q35" i="7"/>
  <c r="R35" i="7"/>
  <c r="S35" i="7"/>
  <c r="T35" i="7"/>
  <c r="U35" i="7"/>
  <c r="V35" i="7"/>
  <c r="W35" i="7"/>
  <c r="X35" i="7"/>
  <c r="Y35" i="7"/>
  <c r="Z35" i="7"/>
  <c r="AA35" i="7"/>
  <c r="AB35" i="7"/>
  <c r="AC35" i="7"/>
  <c r="Q36" i="7"/>
  <c r="R36" i="7"/>
  <c r="S36" i="7"/>
  <c r="T36" i="7"/>
  <c r="U36" i="7"/>
  <c r="V36" i="7"/>
  <c r="W36" i="7"/>
  <c r="X36" i="7"/>
  <c r="Y36" i="7"/>
  <c r="Z36" i="7"/>
  <c r="AA36" i="7"/>
  <c r="AB36" i="7"/>
  <c r="AC36" i="7"/>
  <c r="Q37" i="7"/>
  <c r="R37" i="7"/>
  <c r="S37" i="7"/>
  <c r="T37" i="7"/>
  <c r="U37" i="7"/>
  <c r="V37" i="7"/>
  <c r="W37" i="7"/>
  <c r="X37" i="7"/>
  <c r="Y37" i="7"/>
  <c r="Z37" i="7"/>
  <c r="AA37" i="7"/>
  <c r="AB37" i="7"/>
  <c r="AC37" i="7"/>
  <c r="Q40" i="7"/>
  <c r="R40" i="7"/>
  <c r="S40" i="7"/>
  <c r="T40" i="7"/>
  <c r="U40" i="7"/>
  <c r="V40" i="7"/>
  <c r="W40" i="7"/>
  <c r="X40" i="7"/>
  <c r="Y40" i="7"/>
  <c r="Z40" i="7"/>
  <c r="AA40" i="7"/>
  <c r="AB40" i="7"/>
  <c r="AC40" i="7"/>
  <c r="Q41" i="7"/>
  <c r="R41" i="7"/>
  <c r="S41" i="7"/>
  <c r="T41" i="7"/>
  <c r="U41" i="7"/>
  <c r="V41" i="7"/>
  <c r="W41" i="7"/>
  <c r="X41" i="7"/>
  <c r="Y41" i="7"/>
  <c r="Z41" i="7"/>
  <c r="AA41" i="7"/>
  <c r="AB41" i="7"/>
  <c r="AC41" i="7"/>
  <c r="Q42" i="7"/>
  <c r="R42" i="7"/>
  <c r="S42" i="7"/>
  <c r="T42" i="7"/>
  <c r="U42" i="7"/>
  <c r="V42" i="7"/>
  <c r="W42" i="7"/>
  <c r="X42" i="7"/>
  <c r="Y42" i="7"/>
  <c r="Z42" i="7"/>
  <c r="AA42" i="7"/>
  <c r="AB42" i="7"/>
  <c r="AC42" i="7"/>
  <c r="Q43" i="7"/>
  <c r="R43" i="7"/>
  <c r="S43" i="7"/>
  <c r="T43" i="7"/>
  <c r="U43" i="7"/>
  <c r="V43" i="7"/>
  <c r="W43" i="7"/>
  <c r="X43" i="7"/>
  <c r="Y43" i="7"/>
  <c r="Z43" i="7"/>
  <c r="AA43" i="7"/>
  <c r="AB43" i="7"/>
  <c r="AC43" i="7"/>
  <c r="Q44" i="7"/>
  <c r="R44" i="7"/>
  <c r="S44" i="7"/>
  <c r="T44" i="7"/>
  <c r="U44" i="7"/>
  <c r="V44" i="7"/>
  <c r="W44" i="7"/>
  <c r="X44" i="7"/>
  <c r="Y44" i="7"/>
  <c r="Z44" i="7"/>
  <c r="AA44" i="7"/>
  <c r="AB44" i="7"/>
  <c r="AC44" i="7"/>
  <c r="Q45" i="7"/>
  <c r="R45" i="7"/>
  <c r="S45" i="7"/>
  <c r="T45" i="7"/>
  <c r="U45" i="7"/>
  <c r="V45" i="7"/>
  <c r="W45" i="7"/>
  <c r="X45" i="7"/>
  <c r="Y45" i="7"/>
  <c r="Z45" i="7"/>
  <c r="AA45" i="7"/>
  <c r="AB45" i="7"/>
  <c r="AC45" i="7"/>
  <c r="Q46" i="7"/>
  <c r="R46" i="7"/>
  <c r="S46" i="7"/>
  <c r="T46" i="7"/>
  <c r="U46" i="7"/>
  <c r="V46" i="7"/>
  <c r="W46" i="7"/>
  <c r="X46" i="7"/>
  <c r="Y46" i="7"/>
  <c r="Z46" i="7"/>
  <c r="AA46" i="7"/>
  <c r="AB46" i="7"/>
  <c r="AC46" i="7"/>
  <c r="Q47" i="7"/>
  <c r="R47" i="7"/>
  <c r="S47" i="7"/>
  <c r="T47" i="7"/>
  <c r="U47" i="7"/>
  <c r="V47" i="7"/>
  <c r="W47" i="7"/>
  <c r="X47" i="7"/>
  <c r="Y47" i="7"/>
  <c r="Z47" i="7"/>
  <c r="AA47" i="7"/>
  <c r="AB47" i="7"/>
  <c r="AC47" i="7"/>
  <c r="Q48" i="7"/>
  <c r="R48" i="7"/>
  <c r="S48" i="7"/>
  <c r="T48" i="7"/>
  <c r="U48" i="7"/>
  <c r="V48" i="7"/>
  <c r="W48" i="7"/>
  <c r="X48" i="7"/>
  <c r="Y48" i="7"/>
  <c r="Z48" i="7"/>
  <c r="AA48" i="7"/>
  <c r="AB48" i="7"/>
  <c r="AC48" i="7"/>
  <c r="Q49" i="7"/>
  <c r="R49" i="7"/>
  <c r="S49" i="7"/>
  <c r="T49" i="7"/>
  <c r="U49" i="7"/>
  <c r="V49" i="7"/>
  <c r="W49" i="7"/>
  <c r="X49" i="7"/>
  <c r="Y49" i="7"/>
  <c r="Z49" i="7"/>
  <c r="AA49" i="7"/>
  <c r="AB49" i="7"/>
  <c r="AC49" i="7"/>
  <c r="Q50" i="7"/>
  <c r="R50" i="7"/>
  <c r="S50" i="7"/>
  <c r="T50" i="7"/>
  <c r="U50" i="7"/>
  <c r="V50" i="7"/>
  <c r="W50" i="7"/>
  <c r="X50" i="7"/>
  <c r="Y50" i="7"/>
  <c r="Z50" i="7"/>
  <c r="AA50" i="7"/>
  <c r="AB50" i="7"/>
  <c r="AC50" i="7"/>
  <c r="Q51" i="7"/>
  <c r="R51" i="7"/>
  <c r="S51" i="7"/>
  <c r="T51" i="7"/>
  <c r="U51" i="7"/>
  <c r="V51" i="7"/>
  <c r="W51" i="7"/>
  <c r="X51" i="7"/>
  <c r="Y51" i="7"/>
  <c r="Z51" i="7"/>
  <c r="AA51" i="7"/>
  <c r="AB51" i="7"/>
  <c r="AC51" i="7"/>
  <c r="Q54" i="7"/>
  <c r="R54" i="7"/>
  <c r="S54" i="7"/>
  <c r="T54" i="7"/>
  <c r="U54" i="7"/>
  <c r="V54" i="7"/>
  <c r="W54" i="7"/>
  <c r="X54" i="7"/>
  <c r="Y54" i="7"/>
  <c r="Z54" i="7"/>
  <c r="AA54" i="7"/>
  <c r="AB54" i="7"/>
  <c r="AC54" i="7"/>
  <c r="Q55" i="7"/>
  <c r="R55" i="7"/>
  <c r="S55" i="7"/>
  <c r="T55" i="7"/>
  <c r="U55" i="7"/>
  <c r="V55" i="7"/>
  <c r="W55" i="7"/>
  <c r="X55" i="7"/>
  <c r="Y55" i="7"/>
  <c r="Z55" i="7"/>
  <c r="AA55" i="7"/>
  <c r="AB55" i="7"/>
  <c r="AC55" i="7"/>
  <c r="Q56" i="7"/>
  <c r="R56" i="7"/>
  <c r="S56" i="7"/>
  <c r="T56" i="7"/>
  <c r="U56" i="7"/>
  <c r="V56" i="7"/>
  <c r="W56" i="7"/>
  <c r="X56" i="7"/>
  <c r="Y56" i="7"/>
  <c r="Z56" i="7"/>
  <c r="AA56" i="7"/>
  <c r="AB56" i="7"/>
  <c r="AC56" i="7"/>
  <c r="Q57" i="7"/>
  <c r="R57" i="7"/>
  <c r="S57" i="7"/>
  <c r="T57" i="7"/>
  <c r="U57" i="7"/>
  <c r="V57" i="7"/>
  <c r="W57" i="7"/>
  <c r="X57" i="7"/>
  <c r="Y57" i="7"/>
  <c r="Z57" i="7"/>
  <c r="AA57" i="7"/>
  <c r="AB57" i="7"/>
  <c r="AC57" i="7"/>
  <c r="Q58" i="7"/>
  <c r="R58" i="7"/>
  <c r="S58" i="7"/>
  <c r="T58" i="7"/>
  <c r="U58" i="7"/>
  <c r="V58" i="7"/>
  <c r="W58" i="7"/>
  <c r="X58" i="7"/>
  <c r="Y58" i="7"/>
  <c r="Z58" i="7"/>
  <c r="AA58" i="7"/>
  <c r="AB58" i="7"/>
  <c r="AC58" i="7"/>
  <c r="Q59" i="7"/>
  <c r="R59" i="7"/>
  <c r="S59" i="7"/>
  <c r="T59" i="7"/>
  <c r="U59" i="7"/>
  <c r="V59" i="7"/>
  <c r="W59" i="7"/>
  <c r="X59" i="7"/>
  <c r="Y59" i="7"/>
  <c r="Z59" i="7"/>
  <c r="AA59" i="7"/>
  <c r="AB59" i="7"/>
  <c r="AC59" i="7"/>
  <c r="Q60" i="7"/>
  <c r="R60" i="7"/>
  <c r="S60" i="7"/>
  <c r="T60" i="7"/>
  <c r="U60" i="7"/>
  <c r="V60" i="7"/>
  <c r="W60" i="7"/>
  <c r="X60" i="7"/>
  <c r="Y60" i="7"/>
  <c r="Z60" i="7"/>
  <c r="AA60" i="7"/>
  <c r="AB60" i="7"/>
  <c r="AC60" i="7"/>
  <c r="Q61" i="7"/>
  <c r="R61" i="7"/>
  <c r="S61" i="7"/>
  <c r="T61" i="7"/>
  <c r="U61" i="7"/>
  <c r="V61" i="7"/>
  <c r="W61" i="7"/>
  <c r="X61" i="7"/>
  <c r="Y61" i="7"/>
  <c r="Z61" i="7"/>
  <c r="AA61" i="7"/>
  <c r="AB61" i="7"/>
  <c r="AC61" i="7"/>
  <c r="Q62" i="7"/>
  <c r="R62" i="7"/>
  <c r="S62" i="7"/>
  <c r="T62" i="7"/>
  <c r="U62" i="7"/>
  <c r="V62" i="7"/>
  <c r="W62" i="7"/>
  <c r="X62" i="7"/>
  <c r="Y62" i="7"/>
  <c r="Z62" i="7"/>
  <c r="AA62" i="7"/>
  <c r="AB62" i="7"/>
  <c r="AC62" i="7"/>
  <c r="Q63" i="7"/>
  <c r="R63" i="7"/>
  <c r="S63" i="7"/>
  <c r="T63" i="7"/>
  <c r="U63" i="7"/>
  <c r="V63" i="7"/>
  <c r="W63" i="7"/>
  <c r="X63" i="7"/>
  <c r="Y63" i="7"/>
  <c r="Z63" i="7"/>
  <c r="AA63" i="7"/>
  <c r="AB63" i="7"/>
  <c r="AC63" i="7"/>
  <c r="C4" i="7"/>
  <c r="K7" i="7"/>
  <c r="L7" i="7"/>
  <c r="N7" i="7"/>
  <c r="O7" i="7"/>
  <c r="K8" i="7"/>
  <c r="L8" i="7"/>
  <c r="N8" i="7"/>
  <c r="O8" i="7"/>
  <c r="D9" i="7"/>
  <c r="E9" i="7"/>
  <c r="F9" i="7"/>
  <c r="G9" i="7"/>
  <c r="H9" i="7"/>
  <c r="I9" i="7"/>
  <c r="J9" i="7"/>
  <c r="K9" i="7"/>
  <c r="L9" i="7"/>
  <c r="N9" i="7"/>
  <c r="O9" i="7"/>
  <c r="K10" i="7"/>
  <c r="L10" i="7"/>
  <c r="N10" i="7"/>
  <c r="O10" i="7"/>
  <c r="K11" i="7"/>
  <c r="L11" i="7"/>
  <c r="N11" i="7"/>
  <c r="O11" i="7"/>
  <c r="K12" i="7"/>
  <c r="L12" i="7"/>
  <c r="N12" i="7"/>
  <c r="O12" i="7"/>
  <c r="K13" i="7"/>
  <c r="L13" i="7"/>
  <c r="N13" i="7"/>
  <c r="O13" i="7"/>
  <c r="K14" i="7"/>
  <c r="L14" i="7"/>
  <c r="N14" i="7"/>
  <c r="O14" i="7"/>
  <c r="K15" i="7"/>
  <c r="L15" i="7"/>
  <c r="N15" i="7"/>
  <c r="O15" i="7"/>
  <c r="K16" i="7"/>
  <c r="L16" i="7"/>
  <c r="N16" i="7"/>
  <c r="O16" i="7"/>
  <c r="K17" i="7"/>
  <c r="L17" i="7"/>
  <c r="N17" i="7"/>
  <c r="O17" i="7"/>
  <c r="K18" i="7"/>
  <c r="L18" i="7"/>
  <c r="N18" i="7"/>
  <c r="O18" i="7"/>
  <c r="K19" i="7"/>
  <c r="L19" i="7"/>
  <c r="N19" i="7"/>
  <c r="O19" i="7"/>
  <c r="K20" i="7"/>
  <c r="L20" i="7"/>
  <c r="N20" i="7"/>
  <c r="O20" i="7"/>
  <c r="K21" i="7"/>
  <c r="L21" i="7"/>
  <c r="N21" i="7"/>
  <c r="O21" i="7"/>
  <c r="K22" i="7"/>
  <c r="L22" i="7"/>
  <c r="N22" i="7"/>
  <c r="O22" i="7"/>
  <c r="AC7" i="6"/>
  <c r="AC8" i="6"/>
  <c r="AC9" i="6"/>
  <c r="AC10" i="6"/>
  <c r="AC11" i="6"/>
  <c r="AC12" i="6"/>
  <c r="AC13" i="6"/>
  <c r="AC14" i="6"/>
  <c r="AC15" i="6"/>
  <c r="AC16" i="6"/>
  <c r="AC17" i="6"/>
  <c r="AC18" i="6"/>
  <c r="AC19" i="6"/>
  <c r="AC20" i="6"/>
  <c r="AC21" i="6"/>
  <c r="AC22" i="6"/>
  <c r="AC26" i="6"/>
  <c r="AC27" i="6"/>
  <c r="AC28" i="6"/>
  <c r="AC29" i="6"/>
  <c r="AC30" i="6"/>
  <c r="AC31" i="6"/>
  <c r="AC32" i="6"/>
  <c r="AC33" i="6"/>
  <c r="AC34" i="6"/>
  <c r="AC35" i="6"/>
  <c r="AC36" i="6"/>
  <c r="AC37" i="6"/>
  <c r="AC40" i="6"/>
  <c r="AC41" i="6"/>
  <c r="AC42" i="6"/>
  <c r="AC43" i="6"/>
  <c r="AC44" i="6"/>
  <c r="AC45" i="6"/>
  <c r="AC46" i="6"/>
  <c r="AC47" i="6"/>
  <c r="AC48" i="6"/>
  <c r="AC49" i="6"/>
  <c r="AC50" i="6"/>
  <c r="AC51" i="6"/>
  <c r="AC54" i="6"/>
  <c r="AC55" i="6"/>
  <c r="AC56" i="6"/>
  <c r="AC57" i="6"/>
  <c r="AC58" i="6"/>
  <c r="AC59" i="6"/>
  <c r="AC60" i="6"/>
  <c r="AC61" i="6"/>
  <c r="AC62" i="6"/>
  <c r="AC63" i="6"/>
  <c r="AC7" i="5"/>
  <c r="AC8" i="5"/>
  <c r="AC9" i="5"/>
  <c r="AC10" i="5"/>
  <c r="AC11" i="5"/>
  <c r="AC12" i="5"/>
  <c r="AC13" i="5"/>
  <c r="AC14" i="5"/>
  <c r="AC15" i="5"/>
  <c r="AC16" i="5"/>
  <c r="AC17" i="5"/>
  <c r="AC18" i="5"/>
  <c r="AC19" i="5"/>
  <c r="AC20" i="5"/>
  <c r="AC21" i="5"/>
  <c r="AC22" i="5"/>
  <c r="AC25" i="5"/>
  <c r="AC26" i="5"/>
  <c r="AC27" i="5"/>
  <c r="AC28" i="5"/>
  <c r="AC29" i="5"/>
  <c r="AC30" i="5"/>
  <c r="AC31" i="5"/>
  <c r="AC32" i="5"/>
  <c r="AC33" i="5"/>
  <c r="AC34" i="5"/>
  <c r="AC35" i="5"/>
  <c r="AC36" i="5"/>
  <c r="AC37" i="5"/>
  <c r="AC40" i="5"/>
  <c r="AC41" i="5"/>
  <c r="AC42" i="5"/>
  <c r="AC43" i="5"/>
  <c r="AC44" i="5"/>
  <c r="AC45" i="5"/>
  <c r="AC46" i="5"/>
  <c r="AC47" i="5"/>
  <c r="AC48" i="5"/>
  <c r="AC49" i="5"/>
  <c r="AC50" i="5"/>
  <c r="AC51" i="5"/>
  <c r="AC54" i="5"/>
  <c r="AC55" i="5"/>
  <c r="AC56" i="5"/>
  <c r="AC57" i="5"/>
  <c r="AC58" i="5"/>
  <c r="AC59" i="5"/>
  <c r="AC60" i="5"/>
  <c r="AC61" i="5"/>
  <c r="AC62" i="5"/>
  <c r="AC63" i="5"/>
  <c r="AC5" i="4"/>
  <c r="AC23" i="4"/>
  <c r="AC23" i="7" s="1"/>
  <c r="AC38" i="4"/>
  <c r="AC52" i="4"/>
  <c r="AC52" i="7" s="1"/>
  <c r="AH4" i="4"/>
  <c r="AH7" i="4"/>
  <c r="AH8" i="4"/>
  <c r="AH10" i="4"/>
  <c r="AH11" i="4"/>
  <c r="BI38" i="3"/>
  <c r="BI52" i="3"/>
  <c r="BI23" i="3"/>
  <c r="BI5" i="3"/>
  <c r="AC5" i="3"/>
  <c r="AC23" i="3"/>
  <c r="AC23" i="6" s="1"/>
  <c r="AC38" i="3"/>
  <c r="AC52" i="3"/>
  <c r="AC52" i="6" s="1"/>
  <c r="AH4" i="3"/>
  <c r="AH7" i="3"/>
  <c r="AH8" i="3"/>
  <c r="AH10" i="3"/>
  <c r="BI52" i="1"/>
  <c r="BI38" i="1"/>
  <c r="BI23" i="1"/>
  <c r="BI5" i="1"/>
  <c r="AC52" i="1"/>
  <c r="AC38" i="1"/>
  <c r="AC23" i="1"/>
  <c r="AC5" i="1"/>
  <c r="AC5" i="5" s="1"/>
  <c r="AC23" i="5" l="1"/>
  <c r="AC5" i="6"/>
  <c r="AC38" i="5"/>
  <c r="AC52" i="5"/>
  <c r="AC38" i="6"/>
  <c r="AC4" i="1"/>
  <c r="AC53" i="1" s="1"/>
  <c r="BI4" i="1"/>
  <c r="BI6" i="1" s="1"/>
  <c r="AC38" i="7"/>
  <c r="BI4" i="4"/>
  <c r="BI53" i="4" s="1"/>
  <c r="AC5" i="7"/>
  <c r="AC4" i="4"/>
  <c r="AC53" i="4" s="1"/>
  <c r="BI4" i="3"/>
  <c r="BI6" i="3" s="1"/>
  <c r="AC4" i="3"/>
  <c r="AC6" i="3" s="1"/>
  <c r="BI39" i="1" l="1"/>
  <c r="BI24" i="1"/>
  <c r="BI53" i="1"/>
  <c r="AC24" i="1"/>
  <c r="AC39" i="1"/>
  <c r="AC6" i="1"/>
  <c r="AC4" i="5"/>
  <c r="AC39" i="4"/>
  <c r="AC6" i="4"/>
  <c r="AC24" i="4"/>
  <c r="AC39" i="3"/>
  <c r="AC24" i="3"/>
  <c r="AC4" i="6"/>
  <c r="AC4" i="7"/>
  <c r="AC53" i="7" s="1"/>
  <c r="BI6" i="4"/>
  <c r="BI24" i="4"/>
  <c r="BI39" i="4"/>
  <c r="BI53" i="3"/>
  <c r="BI39" i="3"/>
  <c r="BI24" i="3"/>
  <c r="AC53" i="3"/>
  <c r="BH52" i="4"/>
  <c r="BH38" i="4"/>
  <c r="BH23" i="4"/>
  <c r="BH5" i="4"/>
  <c r="AB52" i="4"/>
  <c r="AB38" i="4"/>
  <c r="AB23" i="4"/>
  <c r="AB23" i="7" s="1"/>
  <c r="AB5" i="4"/>
  <c r="AB5" i="7" s="1"/>
  <c r="AB7" i="6"/>
  <c r="AB8" i="6"/>
  <c r="AB9" i="6"/>
  <c r="AB10" i="6"/>
  <c r="AB11" i="6"/>
  <c r="AB12" i="6"/>
  <c r="AB13" i="6"/>
  <c r="AB14" i="6"/>
  <c r="AB15" i="6"/>
  <c r="AB16" i="6"/>
  <c r="AB17" i="6"/>
  <c r="AB18" i="6"/>
  <c r="AB19" i="6"/>
  <c r="AB20" i="6"/>
  <c r="AB21" i="6"/>
  <c r="AB22" i="6"/>
  <c r="AB26" i="6"/>
  <c r="AB27" i="6"/>
  <c r="AB28" i="6"/>
  <c r="AB29" i="6"/>
  <c r="AB30" i="6"/>
  <c r="AB31" i="6"/>
  <c r="AB32" i="6"/>
  <c r="AB33" i="6"/>
  <c r="AB34" i="6"/>
  <c r="AB35" i="6"/>
  <c r="AB36" i="6"/>
  <c r="AB37" i="6"/>
  <c r="AB40" i="6"/>
  <c r="AB41" i="6"/>
  <c r="AB42" i="6"/>
  <c r="AB43" i="6"/>
  <c r="AB44" i="6"/>
  <c r="AB45" i="6"/>
  <c r="AB46" i="6"/>
  <c r="AB47" i="6"/>
  <c r="AB48" i="6"/>
  <c r="AB49" i="6"/>
  <c r="AB50" i="6"/>
  <c r="AB51" i="6"/>
  <c r="AB54" i="6"/>
  <c r="AB55" i="6"/>
  <c r="AB56" i="6"/>
  <c r="AB57" i="6"/>
  <c r="AB58" i="6"/>
  <c r="AB59" i="6"/>
  <c r="AB60" i="6"/>
  <c r="AB61" i="6"/>
  <c r="AB62" i="6"/>
  <c r="AB63" i="6"/>
  <c r="BH52" i="3"/>
  <c r="BH38" i="3"/>
  <c r="BH23" i="3"/>
  <c r="BH5" i="3"/>
  <c r="AB52" i="3"/>
  <c r="AB52" i="6" s="1"/>
  <c r="AB38" i="3"/>
  <c r="AB23" i="3"/>
  <c r="AB23" i="6" s="1"/>
  <c r="AB5" i="3"/>
  <c r="AB25" i="5"/>
  <c r="AB26" i="5"/>
  <c r="AB27" i="5"/>
  <c r="AB28" i="5"/>
  <c r="AB29" i="5"/>
  <c r="AB30" i="5"/>
  <c r="AB31" i="5"/>
  <c r="AB32" i="5"/>
  <c r="AB33" i="5"/>
  <c r="AB34" i="5"/>
  <c r="AB35" i="5"/>
  <c r="AB36" i="5"/>
  <c r="AB37" i="5"/>
  <c r="AB40" i="5"/>
  <c r="AB41" i="5"/>
  <c r="AB42" i="5"/>
  <c r="AB43" i="5"/>
  <c r="AB44" i="5"/>
  <c r="AB45" i="5"/>
  <c r="AB46" i="5"/>
  <c r="AB47" i="5"/>
  <c r="AB48" i="5"/>
  <c r="AB49" i="5"/>
  <c r="AB50" i="5"/>
  <c r="AB51" i="5"/>
  <c r="AB54" i="5"/>
  <c r="AB55" i="5"/>
  <c r="AB56" i="5"/>
  <c r="AB57" i="5"/>
  <c r="AB58" i="5"/>
  <c r="AB59" i="5"/>
  <c r="AB60" i="5"/>
  <c r="AB61" i="5"/>
  <c r="AB62" i="5"/>
  <c r="AB63" i="5"/>
  <c r="AB7" i="5"/>
  <c r="AB8" i="5"/>
  <c r="AB9" i="5"/>
  <c r="AB10" i="5"/>
  <c r="AB11" i="5"/>
  <c r="AB12" i="5"/>
  <c r="AB13" i="5"/>
  <c r="AB14" i="5"/>
  <c r="AB15" i="5"/>
  <c r="AB16" i="5"/>
  <c r="AB17" i="5"/>
  <c r="AB18" i="5"/>
  <c r="AB19" i="5"/>
  <c r="AB20" i="5"/>
  <c r="AB21" i="5"/>
  <c r="AB22" i="5"/>
  <c r="BH52" i="1"/>
  <c r="BH38" i="1"/>
  <c r="BH23" i="1"/>
  <c r="BH5" i="1"/>
  <c r="AB52" i="1"/>
  <c r="AB38" i="1"/>
  <c r="AB23" i="1"/>
  <c r="AB5" i="1"/>
  <c r="P7" i="7"/>
  <c r="P8" i="7"/>
  <c r="P9" i="7"/>
  <c r="P10" i="7"/>
  <c r="P11" i="7"/>
  <c r="P12" i="7"/>
  <c r="P13" i="7"/>
  <c r="P14" i="7"/>
  <c r="P15" i="7"/>
  <c r="P16" i="7"/>
  <c r="P17" i="7"/>
  <c r="P18" i="7"/>
  <c r="P19" i="7"/>
  <c r="P20" i="7"/>
  <c r="P21" i="7"/>
  <c r="P22" i="7"/>
  <c r="P25" i="7"/>
  <c r="P26" i="7"/>
  <c r="P27" i="7"/>
  <c r="P28" i="7"/>
  <c r="P29" i="7"/>
  <c r="P30" i="7"/>
  <c r="P31" i="7"/>
  <c r="P32" i="7"/>
  <c r="P33" i="7"/>
  <c r="P34" i="7"/>
  <c r="P35" i="7"/>
  <c r="P36" i="7"/>
  <c r="P37" i="7"/>
  <c r="P40" i="7"/>
  <c r="P41" i="7"/>
  <c r="P42" i="7"/>
  <c r="P43" i="7"/>
  <c r="P44" i="7"/>
  <c r="P45" i="7"/>
  <c r="P46" i="7"/>
  <c r="P47" i="7"/>
  <c r="P48" i="7"/>
  <c r="P49" i="7"/>
  <c r="P50" i="7"/>
  <c r="P51" i="7"/>
  <c r="P54" i="7"/>
  <c r="P55" i="7"/>
  <c r="P56" i="7"/>
  <c r="P57" i="7"/>
  <c r="P58" i="7"/>
  <c r="P59" i="7"/>
  <c r="P60" i="7"/>
  <c r="P61" i="7"/>
  <c r="P62" i="7"/>
  <c r="P63" i="7"/>
  <c r="BG52" i="4"/>
  <c r="BG38" i="4"/>
  <c r="BG23" i="4"/>
  <c r="AA52" i="4"/>
  <c r="AA38" i="4"/>
  <c r="AA23" i="4"/>
  <c r="B52" i="4"/>
  <c r="C52" i="4"/>
  <c r="C53" i="4" s="1"/>
  <c r="D52" i="4"/>
  <c r="E52" i="4"/>
  <c r="F52" i="4"/>
  <c r="G52" i="4"/>
  <c r="H52" i="4"/>
  <c r="I52" i="4"/>
  <c r="J52" i="4"/>
  <c r="K52" i="4"/>
  <c r="L52" i="4"/>
  <c r="M52" i="4"/>
  <c r="N52" i="4"/>
  <c r="O52" i="4"/>
  <c r="P52" i="4"/>
  <c r="Q52" i="4"/>
  <c r="R52" i="4"/>
  <c r="R52" i="7" s="1"/>
  <c r="S52" i="4"/>
  <c r="T52" i="4"/>
  <c r="U52" i="4"/>
  <c r="V52" i="4"/>
  <c r="V52" i="7" s="1"/>
  <c r="W52" i="4"/>
  <c r="X52" i="4"/>
  <c r="Y52" i="4"/>
  <c r="Z52" i="4"/>
  <c r="AH52" i="4"/>
  <c r="AI52" i="4"/>
  <c r="AJ52" i="4"/>
  <c r="AK52" i="4"/>
  <c r="AL52" i="4"/>
  <c r="AM52" i="4"/>
  <c r="AN52" i="4"/>
  <c r="AO52" i="4"/>
  <c r="AP52" i="4"/>
  <c r="AQ52" i="4"/>
  <c r="AR52" i="4"/>
  <c r="AS52" i="4"/>
  <c r="AT52" i="4"/>
  <c r="AU52" i="4"/>
  <c r="AV52" i="4"/>
  <c r="P52" i="7" s="1"/>
  <c r="AW52" i="4"/>
  <c r="AX52" i="4"/>
  <c r="AY52" i="4"/>
  <c r="AZ52" i="4"/>
  <c r="BA52" i="4"/>
  <c r="BB52" i="4"/>
  <c r="BC52" i="4"/>
  <c r="BD52" i="4"/>
  <c r="BE52" i="4"/>
  <c r="BF52" i="4"/>
  <c r="AI53" i="4"/>
  <c r="B38" i="4"/>
  <c r="C38" i="4"/>
  <c r="C39" i="4" s="1"/>
  <c r="D38" i="4"/>
  <c r="E38" i="4"/>
  <c r="F38" i="4"/>
  <c r="G38" i="4"/>
  <c r="H38" i="4"/>
  <c r="I38" i="4"/>
  <c r="J38" i="4"/>
  <c r="K38" i="4"/>
  <c r="L38" i="4"/>
  <c r="M38" i="4"/>
  <c r="N38" i="4"/>
  <c r="O38" i="4"/>
  <c r="P38" i="4"/>
  <c r="Q38" i="4"/>
  <c r="R38" i="4"/>
  <c r="S38" i="4"/>
  <c r="S38" i="7" s="1"/>
  <c r="T38" i="4"/>
  <c r="U38" i="4"/>
  <c r="V38" i="4"/>
  <c r="W38" i="4"/>
  <c r="W38" i="7" s="1"/>
  <c r="X38" i="4"/>
  <c r="Y38" i="4"/>
  <c r="Z38" i="4"/>
  <c r="AH38" i="4"/>
  <c r="AI38" i="4"/>
  <c r="AJ38" i="4"/>
  <c r="AK38" i="4"/>
  <c r="AL38" i="4"/>
  <c r="AM38" i="4"/>
  <c r="AN38" i="4"/>
  <c r="AO38" i="4"/>
  <c r="AP38" i="4"/>
  <c r="AQ38" i="4"/>
  <c r="AR38" i="4"/>
  <c r="AS38" i="4"/>
  <c r="AT38" i="4"/>
  <c r="AU38" i="4"/>
  <c r="AV38" i="4"/>
  <c r="P38" i="7" s="1"/>
  <c r="AW38" i="4"/>
  <c r="AX38" i="4"/>
  <c r="AY38" i="4"/>
  <c r="AZ38" i="4"/>
  <c r="BA38" i="4"/>
  <c r="BB38" i="4"/>
  <c r="BC38" i="4"/>
  <c r="BD38" i="4"/>
  <c r="BD4" i="4" s="1"/>
  <c r="BD24" i="4" s="1"/>
  <c r="BE38" i="4"/>
  <c r="BF38" i="4"/>
  <c r="AI39" i="4"/>
  <c r="B23" i="4"/>
  <c r="C23" i="4"/>
  <c r="C24" i="4" s="1"/>
  <c r="D23" i="4"/>
  <c r="E23" i="4"/>
  <c r="F23" i="4"/>
  <c r="G23" i="4"/>
  <c r="H23" i="4"/>
  <c r="I23" i="4"/>
  <c r="J23" i="4"/>
  <c r="K23" i="4"/>
  <c r="L23" i="4"/>
  <c r="M23" i="4"/>
  <c r="N23" i="4"/>
  <c r="O23" i="4"/>
  <c r="P23" i="4"/>
  <c r="Q23" i="4"/>
  <c r="R23" i="4"/>
  <c r="S23" i="4"/>
  <c r="T23" i="4"/>
  <c r="T23" i="7" s="1"/>
  <c r="U23" i="4"/>
  <c r="V23" i="4"/>
  <c r="W23" i="4"/>
  <c r="X23" i="4"/>
  <c r="X23" i="7" s="1"/>
  <c r="Y23" i="4"/>
  <c r="Z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AI24" i="4"/>
  <c r="AA5" i="4"/>
  <c r="BG5" i="4"/>
  <c r="BF5" i="4"/>
  <c r="BF4" i="4" s="1"/>
  <c r="BF24" i="4" s="1"/>
  <c r="BE5" i="4"/>
  <c r="BD5" i="4"/>
  <c r="BC5" i="4"/>
  <c r="BB5" i="4"/>
  <c r="BA5" i="4"/>
  <c r="BA4" i="4" s="1"/>
  <c r="BA24" i="4" s="1"/>
  <c r="AZ5" i="4"/>
  <c r="AY5" i="4"/>
  <c r="AX5" i="4"/>
  <c r="AX4" i="4" s="1"/>
  <c r="AX24" i="4" s="1"/>
  <c r="AW5" i="4"/>
  <c r="AV5" i="4"/>
  <c r="BC4" i="4"/>
  <c r="BC24" i="4" s="1"/>
  <c r="AV4" i="4"/>
  <c r="AV24" i="4" s="1"/>
  <c r="Z5" i="4"/>
  <c r="Y5" i="4"/>
  <c r="X5" i="4"/>
  <c r="X5" i="7" s="1"/>
  <c r="W5" i="4"/>
  <c r="V5" i="4"/>
  <c r="U5" i="4"/>
  <c r="T5" i="4"/>
  <c r="T5" i="7" s="1"/>
  <c r="S5" i="4"/>
  <c r="S5" i="7" s="1"/>
  <c r="R5" i="4"/>
  <c r="Q5" i="4"/>
  <c r="Q5" i="7" s="1"/>
  <c r="P5" i="4"/>
  <c r="P5" i="7" s="1"/>
  <c r="AB52" i="5" l="1"/>
  <c r="Z52" i="7"/>
  <c r="AB38" i="7"/>
  <c r="AW4" i="4"/>
  <c r="AW24" i="4" s="1"/>
  <c r="BE4" i="4"/>
  <c r="BE24" i="4" s="1"/>
  <c r="AB38" i="5"/>
  <c r="Z5" i="7"/>
  <c r="U5" i="7"/>
  <c r="AB52" i="7"/>
  <c r="AA38" i="7"/>
  <c r="V5" i="7"/>
  <c r="BB4" i="4"/>
  <c r="BB24" i="4" s="1"/>
  <c r="Q4" i="4"/>
  <c r="Q53" i="4" s="1"/>
  <c r="AA5" i="7"/>
  <c r="P23" i="7"/>
  <c r="Y23" i="7"/>
  <c r="U4" i="4"/>
  <c r="U4" i="7" s="1"/>
  <c r="U23" i="7"/>
  <c r="Q23" i="7"/>
  <c r="X38" i="7"/>
  <c r="T38" i="7"/>
  <c r="W52" i="7"/>
  <c r="S52" i="7"/>
  <c r="AA52" i="7"/>
  <c r="W23" i="7"/>
  <c r="S23" i="7"/>
  <c r="Z38" i="7"/>
  <c r="V38" i="7"/>
  <c r="R38" i="7"/>
  <c r="Y52" i="7"/>
  <c r="U52" i="7"/>
  <c r="Q52" i="7"/>
  <c r="AA23" i="7"/>
  <c r="Y5" i="7"/>
  <c r="R4" i="4"/>
  <c r="R24" i="4" s="1"/>
  <c r="R5" i="7"/>
  <c r="W4" i="4"/>
  <c r="W4" i="7" s="1"/>
  <c r="W5" i="7"/>
  <c r="AY4" i="4"/>
  <c r="AY24" i="4" s="1"/>
  <c r="Z23" i="7"/>
  <c r="V23" i="7"/>
  <c r="R23" i="7"/>
  <c r="Y38" i="7"/>
  <c r="U38" i="7"/>
  <c r="Q38" i="7"/>
  <c r="X52" i="7"/>
  <c r="T52" i="7"/>
  <c r="AC6" i="5"/>
  <c r="AC24" i="5"/>
  <c r="AC39" i="5"/>
  <c r="AC53" i="5"/>
  <c r="AC24" i="7"/>
  <c r="AC39" i="7"/>
  <c r="AC53" i="6"/>
  <c r="AC24" i="6"/>
  <c r="AC6" i="6"/>
  <c r="AC39" i="6"/>
  <c r="AC6" i="7"/>
  <c r="AB5" i="5"/>
  <c r="Y4" i="4"/>
  <c r="AZ4" i="4"/>
  <c r="AZ24" i="4" s="1"/>
  <c r="AB5" i="6"/>
  <c r="X4" i="4"/>
  <c r="X53" i="4" s="1"/>
  <c r="BG4" i="4"/>
  <c r="BG39" i="4" s="1"/>
  <c r="AB23" i="5"/>
  <c r="AB38" i="6"/>
  <c r="S4" i="4"/>
  <c r="S39" i="4" s="1"/>
  <c r="BG53" i="4"/>
  <c r="BH4" i="4"/>
  <c r="AB4" i="4"/>
  <c r="BH4" i="3"/>
  <c r="BH39" i="3" s="1"/>
  <c r="AB4" i="3"/>
  <c r="BH4" i="1"/>
  <c r="BH53" i="1" s="1"/>
  <c r="AB4" i="1"/>
  <c r="BG24" i="4"/>
  <c r="P4" i="4"/>
  <c r="P24" i="4" s="1"/>
  <c r="T4" i="4"/>
  <c r="V4" i="4"/>
  <c r="Z4" i="4"/>
  <c r="BF53" i="4"/>
  <c r="BD53" i="4"/>
  <c r="AZ53" i="4"/>
  <c r="AX53" i="4"/>
  <c r="AV53" i="4"/>
  <c r="BC53" i="4"/>
  <c r="BA53" i="4"/>
  <c r="AY53" i="4"/>
  <c r="AW53" i="4"/>
  <c r="BF39" i="4"/>
  <c r="BD39" i="4"/>
  <c r="AZ39" i="4"/>
  <c r="AX39" i="4"/>
  <c r="AV39" i="4"/>
  <c r="R39" i="4"/>
  <c r="BE39" i="4"/>
  <c r="BC39" i="4"/>
  <c r="BA39" i="4"/>
  <c r="AY39" i="4"/>
  <c r="AW39" i="4"/>
  <c r="Q39" i="4"/>
  <c r="AV6" i="4"/>
  <c r="AX6" i="4"/>
  <c r="AZ6" i="4"/>
  <c r="BB6" i="4"/>
  <c r="BD6" i="4"/>
  <c r="BF6" i="4"/>
  <c r="AW6" i="4"/>
  <c r="AY6" i="4"/>
  <c r="BA6" i="4"/>
  <c r="BC6" i="4"/>
  <c r="BG6" i="4"/>
  <c r="AA4" i="4"/>
  <c r="X39" i="4" l="1"/>
  <c r="W53" i="4"/>
  <c r="W6" i="4"/>
  <c r="Q24" i="4"/>
  <c r="W24" i="4"/>
  <c r="W39" i="4"/>
  <c r="X6" i="4"/>
  <c r="BE6" i="4"/>
  <c r="BE53" i="4"/>
  <c r="Q4" i="7"/>
  <c r="Q53" i="7" s="1"/>
  <c r="R53" i="4"/>
  <c r="U24" i="4"/>
  <c r="Q6" i="4"/>
  <c r="R4" i="7"/>
  <c r="R53" i="7" s="1"/>
  <c r="AA4" i="7"/>
  <c r="AA6" i="7" s="1"/>
  <c r="U6" i="4"/>
  <c r="U39" i="4"/>
  <c r="BB39" i="4"/>
  <c r="U53" i="4"/>
  <c r="BB53" i="4"/>
  <c r="R6" i="4"/>
  <c r="T24" i="4"/>
  <c r="T4" i="7"/>
  <c r="AB4" i="7"/>
  <c r="AB53" i="7" s="1"/>
  <c r="Y24" i="4"/>
  <c r="Y4" i="7"/>
  <c r="W39" i="7"/>
  <c r="W53" i="7"/>
  <c r="W6" i="7"/>
  <c r="W24" i="7"/>
  <c r="S24" i="4"/>
  <c r="S4" i="7"/>
  <c r="S53" i="4"/>
  <c r="U39" i="7"/>
  <c r="U53" i="7"/>
  <c r="U24" i="7"/>
  <c r="U6" i="7"/>
  <c r="Y6" i="4"/>
  <c r="Z24" i="4"/>
  <c r="Z4" i="7"/>
  <c r="V24" i="4"/>
  <c r="V4" i="7"/>
  <c r="X24" i="4"/>
  <c r="X4" i="7"/>
  <c r="R6" i="7"/>
  <c r="R24" i="7"/>
  <c r="S6" i="4"/>
  <c r="Y39" i="4"/>
  <c r="AB53" i="3"/>
  <c r="AB4" i="6"/>
  <c r="AB6" i="6" s="1"/>
  <c r="T39" i="4"/>
  <c r="AB53" i="1"/>
  <c r="AB4" i="5"/>
  <c r="AB24" i="5" s="1"/>
  <c r="AB39" i="4"/>
  <c r="V53" i="4"/>
  <c r="V39" i="4"/>
  <c r="Z53" i="4"/>
  <c r="AA24" i="4"/>
  <c r="Z39" i="4"/>
  <c r="P53" i="4"/>
  <c r="P39" i="4"/>
  <c r="Y53" i="4"/>
  <c r="T53" i="4"/>
  <c r="BH6" i="4"/>
  <c r="BH53" i="4"/>
  <c r="BH39" i="4"/>
  <c r="BH24" i="4"/>
  <c r="AB6" i="4"/>
  <c r="AB24" i="4"/>
  <c r="AB53" i="4"/>
  <c r="BH6" i="3"/>
  <c r="BH24" i="3"/>
  <c r="BH53" i="3"/>
  <c r="AB6" i="3"/>
  <c r="AB24" i="3"/>
  <c r="AB39" i="3"/>
  <c r="BH6" i="1"/>
  <c r="BH24" i="1"/>
  <c r="BH39" i="1"/>
  <c r="AB24" i="1"/>
  <c r="AB6" i="1"/>
  <c r="AB39" i="1"/>
  <c r="AA53" i="4"/>
  <c r="AA39" i="4"/>
  <c r="V6" i="4"/>
  <c r="P6" i="4"/>
  <c r="Z6" i="4"/>
  <c r="T6" i="4"/>
  <c r="AA6" i="4"/>
  <c r="P7" i="6"/>
  <c r="Q7" i="6"/>
  <c r="R7" i="6"/>
  <c r="S7" i="6"/>
  <c r="T7" i="6"/>
  <c r="U7" i="6"/>
  <c r="V7" i="6"/>
  <c r="W7" i="6"/>
  <c r="X7" i="6"/>
  <c r="Y7" i="6"/>
  <c r="Z7" i="6"/>
  <c r="AA7" i="6"/>
  <c r="P8" i="6"/>
  <c r="Q8" i="6"/>
  <c r="R8" i="6"/>
  <c r="S8" i="6"/>
  <c r="T8" i="6"/>
  <c r="U8" i="6"/>
  <c r="V8" i="6"/>
  <c r="W8" i="6"/>
  <c r="X8" i="6"/>
  <c r="Y8" i="6"/>
  <c r="Z8" i="6"/>
  <c r="AA8" i="6"/>
  <c r="P9" i="6"/>
  <c r="Q9" i="6"/>
  <c r="R9" i="6"/>
  <c r="S9" i="6"/>
  <c r="T9" i="6"/>
  <c r="U9" i="6"/>
  <c r="V9" i="6"/>
  <c r="W9" i="6"/>
  <c r="X9" i="6"/>
  <c r="Y9" i="6"/>
  <c r="Z9" i="6"/>
  <c r="AA9" i="6"/>
  <c r="P10" i="6"/>
  <c r="Q10" i="6"/>
  <c r="R10" i="6"/>
  <c r="S10" i="6"/>
  <c r="T10" i="6"/>
  <c r="U10" i="6"/>
  <c r="V10" i="6"/>
  <c r="W10" i="6"/>
  <c r="X10" i="6"/>
  <c r="Y10" i="6"/>
  <c r="Z10" i="6"/>
  <c r="AA10" i="6"/>
  <c r="P11" i="6"/>
  <c r="Q11" i="6"/>
  <c r="R11" i="6"/>
  <c r="S11" i="6"/>
  <c r="T11" i="6"/>
  <c r="U11" i="6"/>
  <c r="V11" i="6"/>
  <c r="W11" i="6"/>
  <c r="X11" i="6"/>
  <c r="Y11" i="6"/>
  <c r="Z11" i="6"/>
  <c r="AA11" i="6"/>
  <c r="P12" i="6"/>
  <c r="Q12" i="6"/>
  <c r="R12" i="6"/>
  <c r="S12" i="6"/>
  <c r="T12" i="6"/>
  <c r="U12" i="6"/>
  <c r="V12" i="6"/>
  <c r="W12" i="6"/>
  <c r="X12" i="6"/>
  <c r="Y12" i="6"/>
  <c r="Z12" i="6"/>
  <c r="AA12" i="6"/>
  <c r="P13" i="6"/>
  <c r="Q13" i="6"/>
  <c r="R13" i="6"/>
  <c r="S13" i="6"/>
  <c r="T13" i="6"/>
  <c r="U13" i="6"/>
  <c r="V13" i="6"/>
  <c r="W13" i="6"/>
  <c r="X13" i="6"/>
  <c r="Y13" i="6"/>
  <c r="Z13" i="6"/>
  <c r="AA13" i="6"/>
  <c r="P14" i="6"/>
  <c r="Q14" i="6"/>
  <c r="R14" i="6"/>
  <c r="S14" i="6"/>
  <c r="T14" i="6"/>
  <c r="U14" i="6"/>
  <c r="V14" i="6"/>
  <c r="W14" i="6"/>
  <c r="X14" i="6"/>
  <c r="Y14" i="6"/>
  <c r="Z14" i="6"/>
  <c r="AA14" i="6"/>
  <c r="P15" i="6"/>
  <c r="Q15" i="6"/>
  <c r="R15" i="6"/>
  <c r="S15" i="6"/>
  <c r="T15" i="6"/>
  <c r="U15" i="6"/>
  <c r="V15" i="6"/>
  <c r="W15" i="6"/>
  <c r="X15" i="6"/>
  <c r="Y15" i="6"/>
  <c r="Z15" i="6"/>
  <c r="AA15" i="6"/>
  <c r="P16" i="6"/>
  <c r="Q16" i="6"/>
  <c r="R16" i="6"/>
  <c r="S16" i="6"/>
  <c r="T16" i="6"/>
  <c r="U16" i="6"/>
  <c r="V16" i="6"/>
  <c r="W16" i="6"/>
  <c r="X16" i="6"/>
  <c r="Y16" i="6"/>
  <c r="Z16" i="6"/>
  <c r="AA16" i="6"/>
  <c r="P17" i="6"/>
  <c r="Q17" i="6"/>
  <c r="R17" i="6"/>
  <c r="S17" i="6"/>
  <c r="T17" i="6"/>
  <c r="U17" i="6"/>
  <c r="V17" i="6"/>
  <c r="W17" i="6"/>
  <c r="X17" i="6"/>
  <c r="Y17" i="6"/>
  <c r="Z17" i="6"/>
  <c r="AA17" i="6"/>
  <c r="P18" i="6"/>
  <c r="Q18" i="6"/>
  <c r="R18" i="6"/>
  <c r="S18" i="6"/>
  <c r="T18" i="6"/>
  <c r="U18" i="6"/>
  <c r="V18" i="6"/>
  <c r="W18" i="6"/>
  <c r="X18" i="6"/>
  <c r="Y18" i="6"/>
  <c r="Z18" i="6"/>
  <c r="AA18" i="6"/>
  <c r="P19" i="6"/>
  <c r="Q19" i="6"/>
  <c r="R19" i="6"/>
  <c r="S19" i="6"/>
  <c r="T19" i="6"/>
  <c r="U19" i="6"/>
  <c r="V19" i="6"/>
  <c r="W19" i="6"/>
  <c r="X19" i="6"/>
  <c r="Y19" i="6"/>
  <c r="Z19" i="6"/>
  <c r="AA19" i="6"/>
  <c r="P20" i="6"/>
  <c r="Q20" i="6"/>
  <c r="R20" i="6"/>
  <c r="S20" i="6"/>
  <c r="T20" i="6"/>
  <c r="U20" i="6"/>
  <c r="V20" i="6"/>
  <c r="W20" i="6"/>
  <c r="X20" i="6"/>
  <c r="Y20" i="6"/>
  <c r="Z20" i="6"/>
  <c r="AA20" i="6"/>
  <c r="P21" i="6"/>
  <c r="Q21" i="6"/>
  <c r="R21" i="6"/>
  <c r="S21" i="6"/>
  <c r="T21" i="6"/>
  <c r="U21" i="6"/>
  <c r="V21" i="6"/>
  <c r="W21" i="6"/>
  <c r="X21" i="6"/>
  <c r="Y21" i="6"/>
  <c r="Z21" i="6"/>
  <c r="AA21" i="6"/>
  <c r="P22" i="6"/>
  <c r="Q22" i="6"/>
  <c r="R22" i="6"/>
  <c r="S22" i="6"/>
  <c r="T22" i="6"/>
  <c r="U22" i="6"/>
  <c r="V22" i="6"/>
  <c r="W22" i="6"/>
  <c r="X22" i="6"/>
  <c r="Y22" i="6"/>
  <c r="Z22" i="6"/>
  <c r="AA22" i="6"/>
  <c r="P25" i="6"/>
  <c r="Q25" i="6"/>
  <c r="R25" i="6"/>
  <c r="S25" i="6"/>
  <c r="T25" i="6"/>
  <c r="U25" i="6"/>
  <c r="V25" i="6"/>
  <c r="W25" i="6"/>
  <c r="P26" i="6"/>
  <c r="Q26" i="6"/>
  <c r="R26" i="6"/>
  <c r="S26" i="6"/>
  <c r="T26" i="6"/>
  <c r="U26" i="6"/>
  <c r="V26" i="6"/>
  <c r="W26" i="6"/>
  <c r="X26" i="6"/>
  <c r="Y26" i="6"/>
  <c r="Z26" i="6"/>
  <c r="AA26" i="6"/>
  <c r="P27" i="6"/>
  <c r="Q27" i="6"/>
  <c r="R27" i="6"/>
  <c r="S27" i="6"/>
  <c r="T27" i="6"/>
  <c r="U27" i="6"/>
  <c r="V27" i="6"/>
  <c r="W27" i="6"/>
  <c r="X27" i="6"/>
  <c r="Y27" i="6"/>
  <c r="Z27" i="6"/>
  <c r="AA27" i="6"/>
  <c r="P28" i="6"/>
  <c r="Q28" i="6"/>
  <c r="R28" i="6"/>
  <c r="S28" i="6"/>
  <c r="T28" i="6"/>
  <c r="U28" i="6"/>
  <c r="V28" i="6"/>
  <c r="W28" i="6"/>
  <c r="X28" i="6"/>
  <c r="Y28" i="6"/>
  <c r="Z28" i="6"/>
  <c r="AA28" i="6"/>
  <c r="P29" i="6"/>
  <c r="Q29" i="6"/>
  <c r="R29" i="6"/>
  <c r="S29" i="6"/>
  <c r="T29" i="6"/>
  <c r="U29" i="6"/>
  <c r="V29" i="6"/>
  <c r="W29" i="6"/>
  <c r="X29" i="6"/>
  <c r="Y29" i="6"/>
  <c r="Z29" i="6"/>
  <c r="AA29" i="6"/>
  <c r="P30" i="6"/>
  <c r="Q30" i="6"/>
  <c r="R30" i="6"/>
  <c r="S30" i="6"/>
  <c r="T30" i="6"/>
  <c r="U30" i="6"/>
  <c r="V30" i="6"/>
  <c r="W30" i="6"/>
  <c r="X30" i="6"/>
  <c r="Y30" i="6"/>
  <c r="Z30" i="6"/>
  <c r="AA30" i="6"/>
  <c r="P31" i="6"/>
  <c r="Q31" i="6"/>
  <c r="R31" i="6"/>
  <c r="S31" i="6"/>
  <c r="T31" i="6"/>
  <c r="U31" i="6"/>
  <c r="V31" i="6"/>
  <c r="W31" i="6"/>
  <c r="X31" i="6"/>
  <c r="Y31" i="6"/>
  <c r="Z31" i="6"/>
  <c r="AA31" i="6"/>
  <c r="P32" i="6"/>
  <c r="Q32" i="6"/>
  <c r="R32" i="6"/>
  <c r="S32" i="6"/>
  <c r="T32" i="6"/>
  <c r="U32" i="6"/>
  <c r="V32" i="6"/>
  <c r="W32" i="6"/>
  <c r="X32" i="6"/>
  <c r="Y32" i="6"/>
  <c r="Z32" i="6"/>
  <c r="AA32" i="6"/>
  <c r="P33" i="6"/>
  <c r="Q33" i="6"/>
  <c r="R33" i="6"/>
  <c r="S33" i="6"/>
  <c r="T33" i="6"/>
  <c r="U33" i="6"/>
  <c r="V33" i="6"/>
  <c r="W33" i="6"/>
  <c r="X33" i="6"/>
  <c r="Y33" i="6"/>
  <c r="Z33" i="6"/>
  <c r="AA33" i="6"/>
  <c r="P34" i="6"/>
  <c r="Q34" i="6"/>
  <c r="R34" i="6"/>
  <c r="S34" i="6"/>
  <c r="T34" i="6"/>
  <c r="U34" i="6"/>
  <c r="V34" i="6"/>
  <c r="W34" i="6"/>
  <c r="X34" i="6"/>
  <c r="Y34" i="6"/>
  <c r="Z34" i="6"/>
  <c r="AA34" i="6"/>
  <c r="P35" i="6"/>
  <c r="Q35" i="6"/>
  <c r="R35" i="6"/>
  <c r="S35" i="6"/>
  <c r="T35" i="6"/>
  <c r="U35" i="6"/>
  <c r="V35" i="6"/>
  <c r="W35" i="6"/>
  <c r="X35" i="6"/>
  <c r="Y35" i="6"/>
  <c r="Z35" i="6"/>
  <c r="AA35" i="6"/>
  <c r="P36" i="6"/>
  <c r="Q36" i="6"/>
  <c r="R36" i="6"/>
  <c r="S36" i="6"/>
  <c r="T36" i="6"/>
  <c r="U36" i="6"/>
  <c r="V36" i="6"/>
  <c r="W36" i="6"/>
  <c r="X36" i="6"/>
  <c r="Y36" i="6"/>
  <c r="Z36" i="6"/>
  <c r="AA36" i="6"/>
  <c r="P37" i="6"/>
  <c r="Q37" i="6"/>
  <c r="R37" i="6"/>
  <c r="S37" i="6"/>
  <c r="T37" i="6"/>
  <c r="U37" i="6"/>
  <c r="V37" i="6"/>
  <c r="W37" i="6"/>
  <c r="X37" i="6"/>
  <c r="Y37" i="6"/>
  <c r="Z37" i="6"/>
  <c r="AA37" i="6"/>
  <c r="P40" i="6"/>
  <c r="Q40" i="6"/>
  <c r="R40" i="6"/>
  <c r="S40" i="6"/>
  <c r="T40" i="6"/>
  <c r="U40" i="6"/>
  <c r="V40" i="6"/>
  <c r="W40" i="6"/>
  <c r="X40" i="6"/>
  <c r="Y40" i="6"/>
  <c r="Z40" i="6"/>
  <c r="AA40" i="6"/>
  <c r="P41" i="6"/>
  <c r="Q41" i="6"/>
  <c r="R41" i="6"/>
  <c r="S41" i="6"/>
  <c r="T41" i="6"/>
  <c r="U41" i="6"/>
  <c r="V41" i="6"/>
  <c r="W41" i="6"/>
  <c r="X41" i="6"/>
  <c r="Y41" i="6"/>
  <c r="Z41" i="6"/>
  <c r="AA41" i="6"/>
  <c r="P42" i="6"/>
  <c r="Q42" i="6"/>
  <c r="R42" i="6"/>
  <c r="S42" i="6"/>
  <c r="T42" i="6"/>
  <c r="U42" i="6"/>
  <c r="V42" i="6"/>
  <c r="W42" i="6"/>
  <c r="X42" i="6"/>
  <c r="Y42" i="6"/>
  <c r="Z42" i="6"/>
  <c r="AA42" i="6"/>
  <c r="P43" i="6"/>
  <c r="Q43" i="6"/>
  <c r="R43" i="6"/>
  <c r="S43" i="6"/>
  <c r="T43" i="6"/>
  <c r="U43" i="6"/>
  <c r="V43" i="6"/>
  <c r="W43" i="6"/>
  <c r="X43" i="6"/>
  <c r="Y43" i="6"/>
  <c r="Z43" i="6"/>
  <c r="AA43" i="6"/>
  <c r="P44" i="6"/>
  <c r="Q44" i="6"/>
  <c r="R44" i="6"/>
  <c r="S44" i="6"/>
  <c r="T44" i="6"/>
  <c r="U44" i="6"/>
  <c r="V44" i="6"/>
  <c r="W44" i="6"/>
  <c r="X44" i="6"/>
  <c r="Y44" i="6"/>
  <c r="Z44" i="6"/>
  <c r="AA44" i="6"/>
  <c r="P45" i="6"/>
  <c r="Q45" i="6"/>
  <c r="R45" i="6"/>
  <c r="S45" i="6"/>
  <c r="T45" i="6"/>
  <c r="U45" i="6"/>
  <c r="V45" i="6"/>
  <c r="W45" i="6"/>
  <c r="X45" i="6"/>
  <c r="Y45" i="6"/>
  <c r="Z45" i="6"/>
  <c r="AA45" i="6"/>
  <c r="P46" i="6"/>
  <c r="Q46" i="6"/>
  <c r="R46" i="6"/>
  <c r="S46" i="6"/>
  <c r="T46" i="6"/>
  <c r="U46" i="6"/>
  <c r="V46" i="6"/>
  <c r="W46" i="6"/>
  <c r="X46" i="6"/>
  <c r="Y46" i="6"/>
  <c r="Z46" i="6"/>
  <c r="AA46" i="6"/>
  <c r="P47" i="6"/>
  <c r="Q47" i="6"/>
  <c r="R47" i="6"/>
  <c r="S47" i="6"/>
  <c r="T47" i="6"/>
  <c r="U47" i="6"/>
  <c r="V47" i="6"/>
  <c r="W47" i="6"/>
  <c r="X47" i="6"/>
  <c r="Y47" i="6"/>
  <c r="Z47" i="6"/>
  <c r="AA47" i="6"/>
  <c r="P48" i="6"/>
  <c r="Q48" i="6"/>
  <c r="R48" i="6"/>
  <c r="S48" i="6"/>
  <c r="T48" i="6"/>
  <c r="U48" i="6"/>
  <c r="V48" i="6"/>
  <c r="W48" i="6"/>
  <c r="X48" i="6"/>
  <c r="Y48" i="6"/>
  <c r="Z48" i="6"/>
  <c r="AA48" i="6"/>
  <c r="P49" i="6"/>
  <c r="Q49" i="6"/>
  <c r="R49" i="6"/>
  <c r="S49" i="6"/>
  <c r="T49" i="6"/>
  <c r="U49" i="6"/>
  <c r="V49" i="6"/>
  <c r="W49" i="6"/>
  <c r="X49" i="6"/>
  <c r="Y49" i="6"/>
  <c r="Z49" i="6"/>
  <c r="AA49" i="6"/>
  <c r="P50" i="6"/>
  <c r="Q50" i="6"/>
  <c r="R50" i="6"/>
  <c r="S50" i="6"/>
  <c r="T50" i="6"/>
  <c r="U50" i="6"/>
  <c r="V50" i="6"/>
  <c r="W50" i="6"/>
  <c r="X50" i="6"/>
  <c r="Y50" i="6"/>
  <c r="Z50" i="6"/>
  <c r="AA50" i="6"/>
  <c r="P51" i="6"/>
  <c r="Q51" i="6"/>
  <c r="R51" i="6"/>
  <c r="S51" i="6"/>
  <c r="T51" i="6"/>
  <c r="U51" i="6"/>
  <c r="V51" i="6"/>
  <c r="W51" i="6"/>
  <c r="X51" i="6"/>
  <c r="Y51" i="6"/>
  <c r="Z51" i="6"/>
  <c r="AA51" i="6"/>
  <c r="P54" i="6"/>
  <c r="Q54" i="6"/>
  <c r="R54" i="6"/>
  <c r="S54" i="6"/>
  <c r="T54" i="6"/>
  <c r="U54" i="6"/>
  <c r="V54" i="6"/>
  <c r="W54" i="6"/>
  <c r="X54" i="6"/>
  <c r="Y54" i="6"/>
  <c r="Z54" i="6"/>
  <c r="AA54" i="6"/>
  <c r="P55" i="6"/>
  <c r="Q55" i="6"/>
  <c r="R55" i="6"/>
  <c r="S55" i="6"/>
  <c r="T55" i="6"/>
  <c r="U55" i="6"/>
  <c r="V55" i="6"/>
  <c r="W55" i="6"/>
  <c r="X55" i="6"/>
  <c r="Y55" i="6"/>
  <c r="Z55" i="6"/>
  <c r="AA55" i="6"/>
  <c r="P56" i="6"/>
  <c r="Q56" i="6"/>
  <c r="R56" i="6"/>
  <c r="S56" i="6"/>
  <c r="T56" i="6"/>
  <c r="U56" i="6"/>
  <c r="V56" i="6"/>
  <c r="W56" i="6"/>
  <c r="X56" i="6"/>
  <c r="Y56" i="6"/>
  <c r="Z56" i="6"/>
  <c r="AA56" i="6"/>
  <c r="P57" i="6"/>
  <c r="Q57" i="6"/>
  <c r="R57" i="6"/>
  <c r="S57" i="6"/>
  <c r="T57" i="6"/>
  <c r="U57" i="6"/>
  <c r="V57" i="6"/>
  <c r="W57" i="6"/>
  <c r="X57" i="6"/>
  <c r="Y57" i="6"/>
  <c r="Z57" i="6"/>
  <c r="AA57" i="6"/>
  <c r="P58" i="6"/>
  <c r="Q58" i="6"/>
  <c r="R58" i="6"/>
  <c r="S58" i="6"/>
  <c r="T58" i="6"/>
  <c r="U58" i="6"/>
  <c r="V58" i="6"/>
  <c r="W58" i="6"/>
  <c r="X58" i="6"/>
  <c r="Y58" i="6"/>
  <c r="Z58" i="6"/>
  <c r="AA58" i="6"/>
  <c r="P59" i="6"/>
  <c r="Q59" i="6"/>
  <c r="R59" i="6"/>
  <c r="S59" i="6"/>
  <c r="T59" i="6"/>
  <c r="U59" i="6"/>
  <c r="V59" i="6"/>
  <c r="W59" i="6"/>
  <c r="X59" i="6"/>
  <c r="Y59" i="6"/>
  <c r="Z59" i="6"/>
  <c r="AA59" i="6"/>
  <c r="P60" i="6"/>
  <c r="Q60" i="6"/>
  <c r="R60" i="6"/>
  <c r="S60" i="6"/>
  <c r="T60" i="6"/>
  <c r="U60" i="6"/>
  <c r="V60" i="6"/>
  <c r="W60" i="6"/>
  <c r="X60" i="6"/>
  <c r="Y60" i="6"/>
  <c r="Z60" i="6"/>
  <c r="AA60" i="6"/>
  <c r="P61" i="6"/>
  <c r="Q61" i="6"/>
  <c r="R61" i="6"/>
  <c r="S61" i="6"/>
  <c r="T61" i="6"/>
  <c r="U61" i="6"/>
  <c r="V61" i="6"/>
  <c r="W61" i="6"/>
  <c r="X61" i="6"/>
  <c r="Y61" i="6"/>
  <c r="Z61" i="6"/>
  <c r="AA61" i="6"/>
  <c r="P62" i="6"/>
  <c r="Q62" i="6"/>
  <c r="R62" i="6"/>
  <c r="S62" i="6"/>
  <c r="T62" i="6"/>
  <c r="U62" i="6"/>
  <c r="V62" i="6"/>
  <c r="W62" i="6"/>
  <c r="X62" i="6"/>
  <c r="Y62" i="6"/>
  <c r="Z62" i="6"/>
  <c r="AA62" i="6"/>
  <c r="P63" i="6"/>
  <c r="Q63" i="6"/>
  <c r="R63" i="6"/>
  <c r="S63" i="6"/>
  <c r="T63" i="6"/>
  <c r="U63" i="6"/>
  <c r="V63" i="6"/>
  <c r="W63" i="6"/>
  <c r="X63" i="6"/>
  <c r="Y63" i="6"/>
  <c r="Z63" i="6"/>
  <c r="AA63" i="6"/>
  <c r="BG52" i="3"/>
  <c r="BF52" i="3"/>
  <c r="BE52" i="3"/>
  <c r="BD52" i="3"/>
  <c r="BC52" i="3"/>
  <c r="BB52" i="3"/>
  <c r="BA52" i="3"/>
  <c r="AZ52" i="3"/>
  <c r="AY52" i="3"/>
  <c r="AX52" i="3"/>
  <c r="AW52" i="3"/>
  <c r="AV52" i="3"/>
  <c r="BG38" i="3"/>
  <c r="BF38" i="3"/>
  <c r="BE38" i="3"/>
  <c r="BD38" i="3"/>
  <c r="BC38" i="3"/>
  <c r="BB38" i="3"/>
  <c r="BA38" i="3"/>
  <c r="AZ38" i="3"/>
  <c r="AY38" i="3"/>
  <c r="AX38" i="3"/>
  <c r="AW38" i="3"/>
  <c r="AV38" i="3"/>
  <c r="BG23" i="3"/>
  <c r="BF23" i="3"/>
  <c r="BE23" i="3"/>
  <c r="BD23" i="3"/>
  <c r="BC23" i="3"/>
  <c r="BB23" i="3"/>
  <c r="BA23" i="3"/>
  <c r="AZ23" i="3"/>
  <c r="AY23" i="3"/>
  <c r="AX23" i="3"/>
  <c r="AW23" i="3"/>
  <c r="AW4" i="3" s="1"/>
  <c r="AV23" i="3"/>
  <c r="BG5" i="3"/>
  <c r="BG4" i="3" s="1"/>
  <c r="BF5" i="3"/>
  <c r="BF4" i="3" s="1"/>
  <c r="BE5" i="3"/>
  <c r="BD5" i="3"/>
  <c r="BC5" i="3"/>
  <c r="BB5" i="3"/>
  <c r="BA5" i="3"/>
  <c r="BA4" i="3" s="1"/>
  <c r="AZ5" i="3"/>
  <c r="AZ4" i="3" s="1"/>
  <c r="AY5" i="3"/>
  <c r="AY4" i="3" s="1"/>
  <c r="AX5" i="3"/>
  <c r="AW5" i="3"/>
  <c r="AV5" i="3"/>
  <c r="BE4" i="3"/>
  <c r="AX4" i="3"/>
  <c r="AA52" i="3"/>
  <c r="AA52" i="6" s="1"/>
  <c r="Z52" i="3"/>
  <c r="Y52" i="3"/>
  <c r="X52" i="3"/>
  <c r="W52" i="3"/>
  <c r="V52" i="3"/>
  <c r="V52" i="6" s="1"/>
  <c r="U52" i="3"/>
  <c r="U52" i="6" s="1"/>
  <c r="T52" i="3"/>
  <c r="S52" i="3"/>
  <c r="S52" i="6" s="1"/>
  <c r="R52" i="3"/>
  <c r="R52" i="6" s="1"/>
  <c r="Q52" i="3"/>
  <c r="P52" i="3"/>
  <c r="AA38" i="3"/>
  <c r="Z38" i="3"/>
  <c r="Y38" i="3"/>
  <c r="X38" i="3"/>
  <c r="W38" i="3"/>
  <c r="W38" i="6" s="1"/>
  <c r="V38" i="3"/>
  <c r="V38" i="6" s="1"/>
  <c r="U38" i="3"/>
  <c r="T38" i="3"/>
  <c r="S38" i="3"/>
  <c r="R38" i="3"/>
  <c r="R38" i="6" s="1"/>
  <c r="Q38" i="3"/>
  <c r="Q38" i="6" s="1"/>
  <c r="P38" i="3"/>
  <c r="AA23" i="3"/>
  <c r="Z23" i="3"/>
  <c r="Y23" i="3"/>
  <c r="X23" i="3"/>
  <c r="W23" i="3"/>
  <c r="V23" i="3"/>
  <c r="V23" i="6" s="1"/>
  <c r="U23" i="3"/>
  <c r="T23" i="3"/>
  <c r="S23" i="3"/>
  <c r="R23" i="3"/>
  <c r="R23" i="6" s="1"/>
  <c r="Q23" i="3"/>
  <c r="P23" i="3"/>
  <c r="AA5" i="3"/>
  <c r="Z5" i="3"/>
  <c r="Y5" i="3"/>
  <c r="X5" i="3"/>
  <c r="W5" i="3"/>
  <c r="V5" i="3"/>
  <c r="V5" i="6" s="1"/>
  <c r="U5" i="3"/>
  <c r="T5" i="3"/>
  <c r="T4" i="3" s="1"/>
  <c r="S5" i="3"/>
  <c r="S4" i="3" s="1"/>
  <c r="R5" i="3"/>
  <c r="R4" i="3" s="1"/>
  <c r="Q5" i="3"/>
  <c r="Q4" i="3" s="1"/>
  <c r="P5" i="3"/>
  <c r="R39" i="7" l="1"/>
  <c r="AA53" i="7"/>
  <c r="AA24" i="7"/>
  <c r="AB39" i="7"/>
  <c r="Z5" i="6"/>
  <c r="Z38" i="6"/>
  <c r="X23" i="6"/>
  <c r="BD4" i="3"/>
  <c r="BD24" i="3" s="1"/>
  <c r="X52" i="6"/>
  <c r="Q6" i="7"/>
  <c r="BB4" i="3"/>
  <c r="AB24" i="7"/>
  <c r="Q39" i="7"/>
  <c r="W23" i="6"/>
  <c r="P23" i="6"/>
  <c r="P52" i="6"/>
  <c r="AB6" i="7"/>
  <c r="Z52" i="6"/>
  <c r="BC4" i="3"/>
  <c r="Q24" i="7"/>
  <c r="T38" i="6"/>
  <c r="AV4" i="3"/>
  <c r="AV39" i="3" s="1"/>
  <c r="P5" i="6"/>
  <c r="X5" i="6"/>
  <c r="T23" i="6"/>
  <c r="P38" i="6"/>
  <c r="X38" i="6"/>
  <c r="T52" i="6"/>
  <c r="Y5" i="6"/>
  <c r="U4" i="3"/>
  <c r="U53" i="3" s="1"/>
  <c r="Y38" i="6"/>
  <c r="AA39" i="7"/>
  <c r="AA5" i="6"/>
  <c r="S23" i="6"/>
  <c r="S38" i="6"/>
  <c r="AA38" i="6"/>
  <c r="Q23" i="6"/>
  <c r="U38" i="6"/>
  <c r="Q52" i="6"/>
  <c r="Y52" i="6"/>
  <c r="X24" i="7"/>
  <c r="X53" i="7"/>
  <c r="X6" i="7"/>
  <c r="X39" i="7"/>
  <c r="Z24" i="7"/>
  <c r="Z53" i="7"/>
  <c r="Z6" i="7"/>
  <c r="Z39" i="7"/>
  <c r="S6" i="7"/>
  <c r="S53" i="7"/>
  <c r="S24" i="7"/>
  <c r="S39" i="7"/>
  <c r="V6" i="7"/>
  <c r="V24" i="7"/>
  <c r="V39" i="7"/>
  <c r="V53" i="7"/>
  <c r="T24" i="7"/>
  <c r="T6" i="7"/>
  <c r="T39" i="7"/>
  <c r="T53" i="7"/>
  <c r="Y24" i="7"/>
  <c r="Y53" i="7"/>
  <c r="Y39" i="7"/>
  <c r="Y6" i="7"/>
  <c r="AB39" i="6"/>
  <c r="Y4" i="3"/>
  <c r="Z23" i="6"/>
  <c r="U23" i="6"/>
  <c r="Q5" i="6"/>
  <c r="AB53" i="5"/>
  <c r="AB39" i="5"/>
  <c r="AA4" i="3"/>
  <c r="AA23" i="6"/>
  <c r="P4" i="3"/>
  <c r="P39" i="3" s="1"/>
  <c r="W52" i="6"/>
  <c r="W5" i="6"/>
  <c r="U5" i="6"/>
  <c r="T5" i="6"/>
  <c r="AB24" i="6"/>
  <c r="AB53" i="6"/>
  <c r="V4" i="3"/>
  <c r="V53" i="3" s="1"/>
  <c r="S5" i="6"/>
  <c r="W4" i="3"/>
  <c r="Y23" i="6"/>
  <c r="R5" i="6"/>
  <c r="AB6" i="5"/>
  <c r="X4" i="3"/>
  <c r="X39" i="3" s="1"/>
  <c r="Z4" i="3"/>
  <c r="AY53" i="3"/>
  <c r="BA53" i="3"/>
  <c r="BC53" i="3"/>
  <c r="BE53" i="3"/>
  <c r="AX53" i="3"/>
  <c r="AZ53" i="3"/>
  <c r="BB53" i="3"/>
  <c r="BD53" i="3"/>
  <c r="BF53" i="3"/>
  <c r="BG53" i="3"/>
  <c r="AW53" i="3"/>
  <c r="AW39" i="3"/>
  <c r="AY39" i="3"/>
  <c r="BA39" i="3"/>
  <c r="BC39" i="3"/>
  <c r="BE39" i="3"/>
  <c r="BG39" i="3"/>
  <c r="AX39" i="3"/>
  <c r="AZ39" i="3"/>
  <c r="BB39" i="3"/>
  <c r="BD39" i="3"/>
  <c r="BF39" i="3"/>
  <c r="AW24" i="3"/>
  <c r="AY24" i="3"/>
  <c r="BA24" i="3"/>
  <c r="BC24" i="3"/>
  <c r="BE24" i="3"/>
  <c r="BG24" i="3"/>
  <c r="AV24" i="3"/>
  <c r="AX24" i="3"/>
  <c r="AZ24" i="3"/>
  <c r="BB24" i="3"/>
  <c r="BF24" i="3"/>
  <c r="AW6" i="3"/>
  <c r="AY6" i="3"/>
  <c r="BA6" i="3"/>
  <c r="BC6" i="3"/>
  <c r="BE6" i="3"/>
  <c r="BG6" i="3"/>
  <c r="AX6" i="3"/>
  <c r="AZ6" i="3"/>
  <c r="BB6" i="3"/>
  <c r="BD6" i="3"/>
  <c r="BF6" i="3"/>
  <c r="W53" i="3"/>
  <c r="T53" i="3"/>
  <c r="S53" i="3"/>
  <c r="R53" i="3"/>
  <c r="Q53" i="3"/>
  <c r="Q39" i="3"/>
  <c r="S39" i="3"/>
  <c r="Y39" i="3"/>
  <c r="R39" i="3"/>
  <c r="T39" i="3"/>
  <c r="Q24" i="3"/>
  <c r="S24" i="3"/>
  <c r="R24" i="3"/>
  <c r="T24" i="3"/>
  <c r="Q6" i="3"/>
  <c r="S6" i="3"/>
  <c r="P6" i="3"/>
  <c r="R6" i="3"/>
  <c r="T6" i="3"/>
  <c r="AA63" i="5"/>
  <c r="AA62" i="5"/>
  <c r="AA61" i="5"/>
  <c r="AA60" i="5"/>
  <c r="AA59" i="5"/>
  <c r="AA58" i="5"/>
  <c r="AA57" i="5"/>
  <c r="AA56" i="5"/>
  <c r="AA55" i="5"/>
  <c r="AA54" i="5"/>
  <c r="AA51" i="5"/>
  <c r="AA50" i="5"/>
  <c r="AA49" i="5"/>
  <c r="AA48" i="5"/>
  <c r="AA47" i="5"/>
  <c r="AA46" i="5"/>
  <c r="AA45" i="5"/>
  <c r="AA44" i="5"/>
  <c r="AA43" i="5"/>
  <c r="AA42" i="5"/>
  <c r="AA41" i="5"/>
  <c r="AA40" i="5"/>
  <c r="AA37" i="5"/>
  <c r="AA36" i="5"/>
  <c r="AA35" i="5"/>
  <c r="AA34" i="5"/>
  <c r="AA33" i="5"/>
  <c r="AA32" i="5"/>
  <c r="AA31" i="5"/>
  <c r="AA30" i="5"/>
  <c r="AA29" i="5"/>
  <c r="AA28" i="5"/>
  <c r="AA27" i="5"/>
  <c r="AA26" i="5"/>
  <c r="AA25" i="5"/>
  <c r="AA22" i="5"/>
  <c r="AA21" i="5"/>
  <c r="AA20" i="5"/>
  <c r="AA19" i="5"/>
  <c r="AA18" i="5"/>
  <c r="AA17" i="5"/>
  <c r="AA16" i="5"/>
  <c r="AA15" i="5"/>
  <c r="AA14" i="5"/>
  <c r="AA13" i="5"/>
  <c r="AA12" i="5"/>
  <c r="AA11" i="5"/>
  <c r="AA10" i="5"/>
  <c r="AA9" i="5"/>
  <c r="AA8" i="5"/>
  <c r="AA7" i="5"/>
  <c r="AA52" i="1"/>
  <c r="AA38" i="1"/>
  <c r="AA23" i="1"/>
  <c r="AA5" i="1"/>
  <c r="B52" i="1"/>
  <c r="C52" i="1"/>
  <c r="C53" i="1" s="1"/>
  <c r="D52" i="1"/>
  <c r="E52" i="1"/>
  <c r="F52" i="1"/>
  <c r="G52" i="1"/>
  <c r="H52" i="1"/>
  <c r="I52" i="1"/>
  <c r="J52" i="1"/>
  <c r="K52" i="1"/>
  <c r="L52" i="1"/>
  <c r="M52" i="1"/>
  <c r="N52" i="1"/>
  <c r="O52" i="1"/>
  <c r="P52" i="1"/>
  <c r="Q52" i="1"/>
  <c r="R52" i="1"/>
  <c r="S52" i="1"/>
  <c r="T52" i="1"/>
  <c r="U52" i="1"/>
  <c r="V52" i="1"/>
  <c r="W52" i="1"/>
  <c r="X52" i="1"/>
  <c r="Y52" i="1"/>
  <c r="Z52" i="1"/>
  <c r="AH52" i="1"/>
  <c r="AI52" i="1"/>
  <c r="AI53" i="1" s="1"/>
  <c r="AJ52" i="1"/>
  <c r="AK52" i="1"/>
  <c r="AL52" i="1"/>
  <c r="AM52" i="1"/>
  <c r="AN52" i="1"/>
  <c r="AO52" i="1"/>
  <c r="AP52" i="1"/>
  <c r="AQ52" i="1"/>
  <c r="AR52" i="1"/>
  <c r="AS52" i="1"/>
  <c r="AT52" i="1"/>
  <c r="AU52" i="1"/>
  <c r="AV52" i="1"/>
  <c r="AW52" i="1"/>
  <c r="AX52" i="1"/>
  <c r="AY52" i="1"/>
  <c r="AZ52" i="1"/>
  <c r="BA52" i="1"/>
  <c r="BB52" i="1"/>
  <c r="BC52" i="1"/>
  <c r="BD52" i="1"/>
  <c r="BE52" i="1"/>
  <c r="BF52" i="1"/>
  <c r="BG52" i="1"/>
  <c r="B38" i="1"/>
  <c r="C38" i="1"/>
  <c r="D38" i="1"/>
  <c r="E38" i="1"/>
  <c r="F38" i="1"/>
  <c r="G38" i="1"/>
  <c r="H38" i="1"/>
  <c r="I38" i="1"/>
  <c r="J38" i="1"/>
  <c r="K38" i="1"/>
  <c r="L38" i="1"/>
  <c r="M38" i="1"/>
  <c r="N38" i="1"/>
  <c r="O38" i="1"/>
  <c r="P38" i="1"/>
  <c r="Q38" i="1"/>
  <c r="R38" i="1"/>
  <c r="S38" i="1"/>
  <c r="T38" i="1"/>
  <c r="U38" i="1"/>
  <c r="V38" i="1"/>
  <c r="W38" i="1"/>
  <c r="X38" i="1"/>
  <c r="Y38" i="1"/>
  <c r="Z38" i="1"/>
  <c r="AI38" i="1"/>
  <c r="AI39" i="1" s="1"/>
  <c r="AJ38" i="1"/>
  <c r="AK38" i="1"/>
  <c r="AL38" i="1"/>
  <c r="AM38" i="1"/>
  <c r="AN38" i="1"/>
  <c r="AO38" i="1"/>
  <c r="AP38" i="1"/>
  <c r="AQ38" i="1"/>
  <c r="AR38" i="1"/>
  <c r="AS38" i="1"/>
  <c r="AT38" i="1"/>
  <c r="AU38" i="1"/>
  <c r="AV38" i="1"/>
  <c r="AW38" i="1"/>
  <c r="AX38" i="1"/>
  <c r="AY38" i="1"/>
  <c r="AZ38" i="1"/>
  <c r="BA38" i="1"/>
  <c r="BB38" i="1"/>
  <c r="BC38" i="1"/>
  <c r="BD38" i="1"/>
  <c r="BE38" i="1"/>
  <c r="BF38" i="1"/>
  <c r="BG38" i="1"/>
  <c r="C39" i="1"/>
  <c r="B23" i="1"/>
  <c r="C23" i="1"/>
  <c r="C24" i="1" s="1"/>
  <c r="D23" i="1"/>
  <c r="E23" i="1"/>
  <c r="F23" i="1"/>
  <c r="G23" i="1"/>
  <c r="H23" i="1"/>
  <c r="I23" i="1"/>
  <c r="J23" i="1"/>
  <c r="K23" i="1"/>
  <c r="L23" i="1"/>
  <c r="M23" i="1"/>
  <c r="N23" i="1"/>
  <c r="O23" i="1"/>
  <c r="P23" i="1"/>
  <c r="Q23" i="1"/>
  <c r="R23" i="1"/>
  <c r="S23" i="1"/>
  <c r="T23" i="1"/>
  <c r="U23" i="1"/>
  <c r="V23" i="1"/>
  <c r="W23" i="1"/>
  <c r="X23" i="1"/>
  <c r="Y23" i="1"/>
  <c r="Z23" i="1"/>
  <c r="AH23" i="1"/>
  <c r="AI23" i="1"/>
  <c r="AI24" i="1" s="1"/>
  <c r="AJ23" i="1"/>
  <c r="AK23" i="1"/>
  <c r="AL23" i="1"/>
  <c r="AM23" i="1"/>
  <c r="AN23" i="1"/>
  <c r="AO23" i="1"/>
  <c r="AP23" i="1"/>
  <c r="AQ23" i="1"/>
  <c r="AR23" i="1"/>
  <c r="AS23" i="1"/>
  <c r="AT23" i="1"/>
  <c r="AU23" i="1"/>
  <c r="AV23" i="1"/>
  <c r="AW23" i="1"/>
  <c r="AX23" i="1"/>
  <c r="AY23" i="1"/>
  <c r="AZ23" i="1"/>
  <c r="BA23" i="1"/>
  <c r="BB23" i="1"/>
  <c r="BC23" i="1"/>
  <c r="BD23" i="1"/>
  <c r="BE23" i="1"/>
  <c r="BF23" i="1"/>
  <c r="BG23" i="1"/>
  <c r="K5" i="1"/>
  <c r="L5" i="1"/>
  <c r="N5" i="1"/>
  <c r="O5" i="1"/>
  <c r="P5" i="1"/>
  <c r="Q5" i="1"/>
  <c r="R5" i="1"/>
  <c r="S5" i="1"/>
  <c r="T5" i="1"/>
  <c r="U5" i="1"/>
  <c r="V5" i="1"/>
  <c r="W5" i="1"/>
  <c r="X5" i="1"/>
  <c r="Y5" i="1"/>
  <c r="Z5" i="1"/>
  <c r="AQ5" i="1"/>
  <c r="AR5" i="1"/>
  <c r="AT5" i="1"/>
  <c r="AU5" i="1"/>
  <c r="AV5" i="1"/>
  <c r="AW5" i="1"/>
  <c r="AX5" i="1"/>
  <c r="AY5" i="1"/>
  <c r="AZ5" i="1"/>
  <c r="BA5" i="1"/>
  <c r="BB5" i="1"/>
  <c r="BC5" i="1"/>
  <c r="BD5" i="1"/>
  <c r="BE5" i="1"/>
  <c r="BF5" i="1"/>
  <c r="BG5" i="1"/>
  <c r="AA24" i="3" l="1"/>
  <c r="V24" i="3"/>
  <c r="AV53" i="3"/>
  <c r="AV6" i="3"/>
  <c r="Z24" i="3"/>
  <c r="S23" i="5"/>
  <c r="T4" i="1"/>
  <c r="Z52" i="5"/>
  <c r="R52" i="5"/>
  <c r="AA39" i="3"/>
  <c r="Z6" i="3"/>
  <c r="AA6" i="3"/>
  <c r="Z53" i="3"/>
  <c r="BB4" i="1"/>
  <c r="X23" i="5"/>
  <c r="P23" i="5"/>
  <c r="U24" i="3"/>
  <c r="U39" i="3"/>
  <c r="Y53" i="3"/>
  <c r="U38" i="5"/>
  <c r="U52" i="5"/>
  <c r="U6" i="3"/>
  <c r="X38" i="5"/>
  <c r="P38" i="5"/>
  <c r="AA23" i="5"/>
  <c r="X24" i="3"/>
  <c r="Y6" i="3"/>
  <c r="P53" i="3"/>
  <c r="AA53" i="3"/>
  <c r="W6" i="3"/>
  <c r="X6" i="3"/>
  <c r="W39" i="3"/>
  <c r="Z39" i="3"/>
  <c r="P24" i="3"/>
  <c r="AA5" i="5"/>
  <c r="Y52" i="5"/>
  <c r="S38" i="5"/>
  <c r="Z4" i="1"/>
  <c r="X4" i="1"/>
  <c r="AV4" i="1"/>
  <c r="Z23" i="5"/>
  <c r="R23" i="5"/>
  <c r="W38" i="5"/>
  <c r="T52" i="5"/>
  <c r="W24" i="3"/>
  <c r="X53" i="3"/>
  <c r="AA4" i="6"/>
  <c r="T38" i="5"/>
  <c r="R4" i="1"/>
  <c r="P4" i="1"/>
  <c r="Y24" i="3"/>
  <c r="BD4" i="1"/>
  <c r="V4" i="1"/>
  <c r="Y23" i="5"/>
  <c r="Q23" i="5"/>
  <c r="V38" i="5"/>
  <c r="S52" i="5"/>
  <c r="V23" i="5"/>
  <c r="X52" i="5"/>
  <c r="P52" i="5"/>
  <c r="W23" i="5"/>
  <c r="Q52" i="5"/>
  <c r="AZ4" i="1"/>
  <c r="U23" i="5"/>
  <c r="Z38" i="5"/>
  <c r="R38" i="5"/>
  <c r="W52" i="5"/>
  <c r="AA38" i="5"/>
  <c r="BF4" i="1"/>
  <c r="AX4" i="1"/>
  <c r="T23" i="5"/>
  <c r="Y38" i="5"/>
  <c r="Q38" i="5"/>
  <c r="V52" i="5"/>
  <c r="AA52" i="5"/>
  <c r="V6" i="3"/>
  <c r="V39" i="3"/>
  <c r="BG4" i="1"/>
  <c r="BG53" i="1" s="1"/>
  <c r="BE4" i="1"/>
  <c r="BC4" i="1"/>
  <c r="BA4" i="1"/>
  <c r="AY4" i="1"/>
  <c r="AW4" i="1"/>
  <c r="Y4" i="1"/>
  <c r="W4" i="1"/>
  <c r="U4" i="1"/>
  <c r="S4" i="1"/>
  <c r="Q4" i="1"/>
  <c r="AA4" i="1"/>
  <c r="AA39" i="6" l="1"/>
  <c r="Z4" i="5"/>
  <c r="Z53" i="5" s="1"/>
  <c r="BG39" i="1"/>
  <c r="BG6" i="1"/>
  <c r="AA24" i="6"/>
  <c r="AA6" i="6"/>
  <c r="AA53" i="6"/>
  <c r="BG24" i="1"/>
  <c r="AA53" i="1"/>
  <c r="AA4" i="5"/>
  <c r="AA6" i="1"/>
  <c r="AA24" i="1"/>
  <c r="AA39" i="1"/>
  <c r="AA53" i="5" l="1"/>
  <c r="Z39" i="5"/>
  <c r="Z24" i="5"/>
  <c r="AA24" i="5"/>
  <c r="AA6" i="5"/>
  <c r="AA39" i="5"/>
  <c r="Z7" i="5"/>
  <c r="Z8" i="5"/>
  <c r="Z9" i="5"/>
  <c r="Z10" i="5"/>
  <c r="Z11" i="5"/>
  <c r="Z12" i="5"/>
  <c r="Z13" i="5"/>
  <c r="Z14" i="5"/>
  <c r="Z15" i="5"/>
  <c r="Z16" i="5"/>
  <c r="Z17" i="5"/>
  <c r="Z18" i="5"/>
  <c r="Z19" i="5"/>
  <c r="Z20" i="5"/>
  <c r="Z21" i="5"/>
  <c r="Z22" i="5"/>
  <c r="Z25" i="5"/>
  <c r="Z27" i="5"/>
  <c r="Z28" i="5"/>
  <c r="Z54" i="5"/>
  <c r="Z29" i="5"/>
  <c r="Z30" i="5"/>
  <c r="Z40" i="5"/>
  <c r="Z41" i="5"/>
  <c r="Z42" i="5"/>
  <c r="Z43" i="5"/>
  <c r="Z55" i="5"/>
  <c r="Z56" i="5"/>
  <c r="Z44" i="5"/>
  <c r="Z45" i="5"/>
  <c r="Z46" i="5"/>
  <c r="Z47" i="5"/>
  <c r="Z32" i="5"/>
  <c r="Z57" i="5"/>
  <c r="Z58" i="5"/>
  <c r="Z33" i="5"/>
  <c r="Z59" i="5"/>
  <c r="Z48" i="5"/>
  <c r="Z49" i="5"/>
  <c r="Z34" i="5"/>
  <c r="Z60" i="5"/>
  <c r="Z61" i="5"/>
  <c r="Z50" i="5"/>
  <c r="Z35" i="5"/>
  <c r="Z36" i="5"/>
  <c r="Z51" i="5"/>
  <c r="Z37" i="5"/>
  <c r="Z63" i="5"/>
  <c r="Z5" i="5"/>
  <c r="Y4" i="6"/>
  <c r="Y7" i="5"/>
  <c r="Y8" i="5"/>
  <c r="Y9" i="5"/>
  <c r="Y10" i="5"/>
  <c r="Y11" i="5"/>
  <c r="Y12" i="5"/>
  <c r="Y13" i="5"/>
  <c r="Y14" i="5"/>
  <c r="Y15" i="5"/>
  <c r="Y16" i="5"/>
  <c r="Y17" i="5"/>
  <c r="Y18" i="5"/>
  <c r="Y19" i="5"/>
  <c r="Y20" i="5"/>
  <c r="Y21" i="5"/>
  <c r="Y22" i="5"/>
  <c r="Y25" i="5"/>
  <c r="Y27" i="5"/>
  <c r="Y28" i="5"/>
  <c r="Y54" i="5"/>
  <c r="Y29" i="5"/>
  <c r="Y30" i="5"/>
  <c r="Y40" i="5"/>
  <c r="Y41" i="5"/>
  <c r="Y42" i="5"/>
  <c r="Y43" i="5"/>
  <c r="Y55" i="5"/>
  <c r="Y56" i="5"/>
  <c r="Y44" i="5"/>
  <c r="Y45" i="5"/>
  <c r="Y46" i="5"/>
  <c r="Y47" i="5"/>
  <c r="Y32" i="5"/>
  <c r="Y57" i="5"/>
  <c r="Y58" i="5"/>
  <c r="Y33" i="5"/>
  <c r="Y59" i="5"/>
  <c r="Y48" i="5"/>
  <c r="Y49" i="5"/>
  <c r="Y34" i="5"/>
  <c r="Y60" i="5"/>
  <c r="Y61" i="5"/>
  <c r="Y50" i="5"/>
  <c r="Y35" i="5"/>
  <c r="Y36" i="5"/>
  <c r="Y51" i="5"/>
  <c r="Y37" i="5"/>
  <c r="Y63" i="5"/>
  <c r="N22" i="6"/>
  <c r="N21" i="6"/>
  <c r="N20" i="6"/>
  <c r="N19" i="6"/>
  <c r="N18" i="6"/>
  <c r="N17" i="6"/>
  <c r="N16" i="6"/>
  <c r="N15" i="6"/>
  <c r="N14" i="6"/>
  <c r="N13" i="6"/>
  <c r="N12" i="6"/>
  <c r="N11" i="6"/>
  <c r="N10" i="6"/>
  <c r="N9" i="6"/>
  <c r="N8" i="6"/>
  <c r="N7" i="6"/>
  <c r="X22" i="5"/>
  <c r="N22" i="5"/>
  <c r="X21" i="5"/>
  <c r="N21" i="5"/>
  <c r="X20" i="5"/>
  <c r="N20" i="5"/>
  <c r="X19" i="5"/>
  <c r="N19" i="5"/>
  <c r="X18" i="5"/>
  <c r="N18" i="5"/>
  <c r="X17" i="5"/>
  <c r="N17" i="5"/>
  <c r="X16" i="5"/>
  <c r="N16" i="5"/>
  <c r="X15" i="5"/>
  <c r="N15" i="5"/>
  <c r="X14" i="5"/>
  <c r="N14" i="5"/>
  <c r="X13" i="5"/>
  <c r="N13" i="5"/>
  <c r="X12" i="5"/>
  <c r="N12" i="5"/>
  <c r="X11" i="5"/>
  <c r="N11" i="5"/>
  <c r="X10" i="5"/>
  <c r="N10" i="5"/>
  <c r="X9" i="5"/>
  <c r="N9" i="5"/>
  <c r="X8" i="5"/>
  <c r="N8" i="5"/>
  <c r="X7" i="5"/>
  <c r="N7" i="5"/>
  <c r="AU4" i="4"/>
  <c r="AT4" i="4"/>
  <c r="AR4" i="4"/>
  <c r="AQ4" i="4"/>
  <c r="AP4" i="4"/>
  <c r="AO4" i="4"/>
  <c r="AN4" i="4"/>
  <c r="AM4" i="4"/>
  <c r="AL4" i="4"/>
  <c r="AK4" i="4"/>
  <c r="AJ4" i="4"/>
  <c r="X25" i="5"/>
  <c r="X27" i="5"/>
  <c r="X28" i="5"/>
  <c r="X54" i="5"/>
  <c r="X29" i="5"/>
  <c r="X30" i="5"/>
  <c r="X40" i="5"/>
  <c r="X41" i="5"/>
  <c r="X42" i="5"/>
  <c r="X43" i="5"/>
  <c r="X55" i="5"/>
  <c r="X56" i="5"/>
  <c r="X44" i="5"/>
  <c r="X45" i="5"/>
  <c r="X46" i="5"/>
  <c r="X47" i="5"/>
  <c r="X32" i="5"/>
  <c r="X57" i="5"/>
  <c r="X58" i="5"/>
  <c r="X33" i="5"/>
  <c r="X59" i="5"/>
  <c r="X48" i="5"/>
  <c r="X49" i="5"/>
  <c r="X34" i="5"/>
  <c r="X60" i="5"/>
  <c r="X61" i="5"/>
  <c r="X50" i="5"/>
  <c r="X35" i="5"/>
  <c r="X36" i="5"/>
  <c r="X51" i="5"/>
  <c r="X37" i="5"/>
  <c r="X63" i="5"/>
  <c r="X4" i="6"/>
  <c r="M22" i="4"/>
  <c r="M21" i="4"/>
  <c r="M20" i="4"/>
  <c r="M19" i="4"/>
  <c r="M18" i="4"/>
  <c r="M17" i="4"/>
  <c r="M16" i="4"/>
  <c r="M15" i="4"/>
  <c r="M14" i="4"/>
  <c r="M13" i="4"/>
  <c r="M12" i="4"/>
  <c r="M11" i="4"/>
  <c r="M10" i="4"/>
  <c r="M9" i="4"/>
  <c r="M8" i="4"/>
  <c r="M7" i="4"/>
  <c r="N5" i="4"/>
  <c r="L5" i="4"/>
  <c r="N4" i="4"/>
  <c r="N4" i="7" s="1"/>
  <c r="L4" i="4"/>
  <c r="L4" i="7" s="1"/>
  <c r="AS22" i="4"/>
  <c r="AS21" i="4"/>
  <c r="AS20" i="4"/>
  <c r="AS19" i="4"/>
  <c r="AS18" i="4"/>
  <c r="AS17" i="4"/>
  <c r="AS16" i="4"/>
  <c r="AS15" i="4"/>
  <c r="AS14" i="4"/>
  <c r="AS13" i="4"/>
  <c r="AS12" i="4"/>
  <c r="AS11" i="4"/>
  <c r="AS10" i="4"/>
  <c r="AS9" i="4"/>
  <c r="AS8" i="4"/>
  <c r="AS7" i="4"/>
  <c r="AT5" i="4"/>
  <c r="AR5" i="4"/>
  <c r="W22" i="5"/>
  <c r="W21" i="5"/>
  <c r="W20" i="5"/>
  <c r="W19" i="5"/>
  <c r="W18" i="5"/>
  <c r="W17" i="5"/>
  <c r="W16" i="5"/>
  <c r="W15" i="5"/>
  <c r="W14" i="5"/>
  <c r="W13" i="5"/>
  <c r="W12" i="5"/>
  <c r="W11" i="5"/>
  <c r="W10" i="5"/>
  <c r="W9" i="5"/>
  <c r="W8" i="5"/>
  <c r="W7" i="5"/>
  <c r="W25" i="5"/>
  <c r="W27" i="5"/>
  <c r="W28" i="5"/>
  <c r="W54" i="5"/>
  <c r="W29" i="5"/>
  <c r="W30" i="5"/>
  <c r="W40" i="5"/>
  <c r="W41" i="5"/>
  <c r="W42" i="5"/>
  <c r="W43" i="5"/>
  <c r="W55" i="5"/>
  <c r="W56" i="5"/>
  <c r="W44" i="5"/>
  <c r="W45" i="5"/>
  <c r="W46" i="5"/>
  <c r="W47" i="5"/>
  <c r="W32" i="5"/>
  <c r="W57" i="5"/>
  <c r="W58" i="5"/>
  <c r="W33" i="5"/>
  <c r="W59" i="5"/>
  <c r="W48" i="5"/>
  <c r="W49" i="5"/>
  <c r="W34" i="5"/>
  <c r="W60" i="5"/>
  <c r="W61" i="5"/>
  <c r="W50" i="5"/>
  <c r="W35" i="5"/>
  <c r="W36" i="5"/>
  <c r="W51" i="5"/>
  <c r="W37" i="5"/>
  <c r="W63" i="5"/>
  <c r="L22" i="6"/>
  <c r="L21" i="6"/>
  <c r="L20" i="6"/>
  <c r="L19" i="6"/>
  <c r="L18" i="6"/>
  <c r="L17" i="6"/>
  <c r="L16" i="6"/>
  <c r="L15" i="6"/>
  <c r="L14" i="6"/>
  <c r="L13" i="6"/>
  <c r="L12" i="6"/>
  <c r="L11" i="6"/>
  <c r="L10" i="6"/>
  <c r="L9" i="6"/>
  <c r="L8" i="6"/>
  <c r="L7" i="6"/>
  <c r="V22" i="5"/>
  <c r="L22" i="5"/>
  <c r="V21" i="5"/>
  <c r="L21" i="5"/>
  <c r="V20" i="5"/>
  <c r="L20" i="5"/>
  <c r="V19" i="5"/>
  <c r="L19" i="5"/>
  <c r="V18" i="5"/>
  <c r="L18" i="5"/>
  <c r="V17" i="5"/>
  <c r="L17" i="5"/>
  <c r="V16" i="5"/>
  <c r="L16" i="5"/>
  <c r="V15" i="5"/>
  <c r="L15" i="5"/>
  <c r="V14" i="5"/>
  <c r="L14" i="5"/>
  <c r="V13" i="5"/>
  <c r="L13" i="5"/>
  <c r="V12" i="5"/>
  <c r="L12" i="5"/>
  <c r="V11" i="5"/>
  <c r="L11" i="5"/>
  <c r="V10" i="5"/>
  <c r="L10" i="5"/>
  <c r="V9" i="5"/>
  <c r="L9" i="5"/>
  <c r="V8" i="5"/>
  <c r="L8" i="5"/>
  <c r="V7" i="5"/>
  <c r="L7" i="5"/>
  <c r="AI9" i="4"/>
  <c r="C9" i="4"/>
  <c r="C9" i="3"/>
  <c r="C9" i="6" s="1"/>
  <c r="AI9" i="3"/>
  <c r="U4" i="6"/>
  <c r="V4" i="6"/>
  <c r="U7" i="5"/>
  <c r="U8" i="5"/>
  <c r="U9" i="5"/>
  <c r="U10" i="5"/>
  <c r="U11" i="5"/>
  <c r="U12" i="5"/>
  <c r="U13" i="5"/>
  <c r="U14" i="5"/>
  <c r="U15" i="5"/>
  <c r="U16" i="5"/>
  <c r="U17" i="5"/>
  <c r="U18" i="5"/>
  <c r="U19" i="5"/>
  <c r="U20" i="5"/>
  <c r="U21" i="5"/>
  <c r="U22" i="5"/>
  <c r="U25" i="5"/>
  <c r="V25" i="5"/>
  <c r="U27" i="5"/>
  <c r="V27" i="5"/>
  <c r="U28" i="5"/>
  <c r="V28" i="5"/>
  <c r="U54" i="5"/>
  <c r="V54" i="5"/>
  <c r="U29" i="5"/>
  <c r="V29" i="5"/>
  <c r="U30" i="5"/>
  <c r="V30" i="5"/>
  <c r="U40" i="5"/>
  <c r="V40" i="5"/>
  <c r="U41" i="5"/>
  <c r="V41" i="5"/>
  <c r="U42" i="5"/>
  <c r="V42" i="5"/>
  <c r="U43" i="5"/>
  <c r="V43" i="5"/>
  <c r="U55" i="5"/>
  <c r="V55" i="5"/>
  <c r="U56" i="5"/>
  <c r="V56" i="5"/>
  <c r="U44" i="5"/>
  <c r="V44" i="5"/>
  <c r="U45" i="5"/>
  <c r="V45" i="5"/>
  <c r="U46" i="5"/>
  <c r="V46" i="5"/>
  <c r="U47" i="5"/>
  <c r="V47" i="5"/>
  <c r="U32" i="5"/>
  <c r="V32" i="5"/>
  <c r="U57" i="5"/>
  <c r="V57" i="5"/>
  <c r="U58" i="5"/>
  <c r="V58" i="5"/>
  <c r="U33" i="5"/>
  <c r="V33" i="5"/>
  <c r="U59" i="5"/>
  <c r="V59" i="5"/>
  <c r="U48" i="5"/>
  <c r="V48" i="5"/>
  <c r="U49" i="5"/>
  <c r="V49" i="5"/>
  <c r="U34" i="5"/>
  <c r="V34" i="5"/>
  <c r="U60" i="5"/>
  <c r="V60" i="5"/>
  <c r="U61" i="5"/>
  <c r="V61" i="5"/>
  <c r="U50" i="5"/>
  <c r="V50" i="5"/>
  <c r="U35" i="5"/>
  <c r="V35" i="5"/>
  <c r="U36" i="5"/>
  <c r="V36" i="5"/>
  <c r="U51" i="5"/>
  <c r="V51" i="5"/>
  <c r="U37" i="5"/>
  <c r="V37" i="5"/>
  <c r="U63" i="5"/>
  <c r="V63" i="5"/>
  <c r="J22" i="4"/>
  <c r="J22" i="7" s="1"/>
  <c r="AP22" i="4"/>
  <c r="J21" i="4"/>
  <c r="AP21" i="4"/>
  <c r="J20" i="4"/>
  <c r="AP20" i="4"/>
  <c r="J19" i="4"/>
  <c r="J19" i="7" s="1"/>
  <c r="AP19" i="4"/>
  <c r="J18" i="4"/>
  <c r="J18" i="7" s="1"/>
  <c r="AP18" i="4"/>
  <c r="J17" i="4"/>
  <c r="AP17" i="4"/>
  <c r="J16" i="4"/>
  <c r="AP16" i="4"/>
  <c r="J15" i="4"/>
  <c r="J15" i="7" s="1"/>
  <c r="AP15" i="4"/>
  <c r="J14" i="4"/>
  <c r="J14" i="7" s="1"/>
  <c r="AP14" i="4"/>
  <c r="J13" i="4"/>
  <c r="AP13" i="4"/>
  <c r="J12" i="4"/>
  <c r="AP12" i="4"/>
  <c r="J11" i="4"/>
  <c r="J11" i="7" s="1"/>
  <c r="AP11" i="4"/>
  <c r="J10" i="4"/>
  <c r="J10" i="7" s="1"/>
  <c r="AP10" i="4"/>
  <c r="J8" i="4"/>
  <c r="AP8" i="4"/>
  <c r="J7" i="4"/>
  <c r="AP7" i="4"/>
  <c r="J4" i="4"/>
  <c r="J4" i="7" s="1"/>
  <c r="J9" i="6"/>
  <c r="T22" i="5"/>
  <c r="T21" i="5"/>
  <c r="T20" i="5"/>
  <c r="T19" i="5"/>
  <c r="T18" i="5"/>
  <c r="T17" i="5"/>
  <c r="T16" i="5"/>
  <c r="T15" i="5"/>
  <c r="T14" i="5"/>
  <c r="T13" i="5"/>
  <c r="T12" i="5"/>
  <c r="T11" i="5"/>
  <c r="T10" i="5"/>
  <c r="T9" i="5"/>
  <c r="J9" i="5"/>
  <c r="T8" i="5"/>
  <c r="T7" i="5"/>
  <c r="B4" i="4"/>
  <c r="D4" i="4"/>
  <c r="D4" i="7" s="1"/>
  <c r="E4" i="4"/>
  <c r="E4" i="7" s="1"/>
  <c r="F4" i="4"/>
  <c r="F4" i="7" s="1"/>
  <c r="G4" i="4"/>
  <c r="G4" i="7" s="1"/>
  <c r="H4" i="4"/>
  <c r="H4" i="7" s="1"/>
  <c r="I4" i="4"/>
  <c r="K4" i="4"/>
  <c r="O4" i="4"/>
  <c r="O4" i="7" s="1"/>
  <c r="P4" i="7"/>
  <c r="S7" i="5"/>
  <c r="S8" i="5"/>
  <c r="S9" i="5"/>
  <c r="S10" i="5"/>
  <c r="S11" i="5"/>
  <c r="S12" i="5"/>
  <c r="S13" i="5"/>
  <c r="S14" i="5"/>
  <c r="S15" i="5"/>
  <c r="S16" i="5"/>
  <c r="S17" i="5"/>
  <c r="S18" i="5"/>
  <c r="S19" i="5"/>
  <c r="S20" i="5"/>
  <c r="S21" i="5"/>
  <c r="S22" i="5"/>
  <c r="S25" i="5"/>
  <c r="T25" i="5"/>
  <c r="S27" i="5"/>
  <c r="T27" i="5"/>
  <c r="S28" i="5"/>
  <c r="T28" i="5"/>
  <c r="S54" i="5"/>
  <c r="T54" i="5"/>
  <c r="S29" i="5"/>
  <c r="T29" i="5"/>
  <c r="S30" i="5"/>
  <c r="T30" i="5"/>
  <c r="S40" i="5"/>
  <c r="T40" i="5"/>
  <c r="S41" i="5"/>
  <c r="T41" i="5"/>
  <c r="S42" i="5"/>
  <c r="T42" i="5"/>
  <c r="S43" i="5"/>
  <c r="T43" i="5"/>
  <c r="S55" i="5"/>
  <c r="T55" i="5"/>
  <c r="S56" i="5"/>
  <c r="T56" i="5"/>
  <c r="S44" i="5"/>
  <c r="T44" i="5"/>
  <c r="S45" i="5"/>
  <c r="T45" i="5"/>
  <c r="S46" i="5"/>
  <c r="T46" i="5"/>
  <c r="S47" i="5"/>
  <c r="T47" i="5"/>
  <c r="S32" i="5"/>
  <c r="T32" i="5"/>
  <c r="S57" i="5"/>
  <c r="T57" i="5"/>
  <c r="S58" i="5"/>
  <c r="T58" i="5"/>
  <c r="S33" i="5"/>
  <c r="T33" i="5"/>
  <c r="S59" i="5"/>
  <c r="T59" i="5"/>
  <c r="S48" i="5"/>
  <c r="T48" i="5"/>
  <c r="S49" i="5"/>
  <c r="T49" i="5"/>
  <c r="S34" i="5"/>
  <c r="T34" i="5"/>
  <c r="S60" i="5"/>
  <c r="T60" i="5"/>
  <c r="S61" i="5"/>
  <c r="T61" i="5"/>
  <c r="S50" i="5"/>
  <c r="T50" i="5"/>
  <c r="S35" i="5"/>
  <c r="T35" i="5"/>
  <c r="S36" i="5"/>
  <c r="T36" i="5"/>
  <c r="S51" i="5"/>
  <c r="T51" i="5"/>
  <c r="S37" i="5"/>
  <c r="T37" i="5"/>
  <c r="S63" i="5"/>
  <c r="T63" i="5"/>
  <c r="R22" i="5"/>
  <c r="R21" i="5"/>
  <c r="R20" i="5"/>
  <c r="R19" i="5"/>
  <c r="R18" i="5"/>
  <c r="R17" i="5"/>
  <c r="R16" i="5"/>
  <c r="R15" i="5"/>
  <c r="R14" i="5"/>
  <c r="R13" i="5"/>
  <c r="R12" i="5"/>
  <c r="R11" i="5"/>
  <c r="R10" i="5"/>
  <c r="R9" i="5"/>
  <c r="R8" i="5"/>
  <c r="R7" i="5"/>
  <c r="C7" i="4"/>
  <c r="C8" i="4"/>
  <c r="C8" i="7" s="1"/>
  <c r="C10" i="4"/>
  <c r="C11" i="4"/>
  <c r="C11" i="7" s="1"/>
  <c r="C12" i="4"/>
  <c r="C13" i="4"/>
  <c r="C14" i="4"/>
  <c r="C15" i="4"/>
  <c r="C16" i="4"/>
  <c r="C17" i="4"/>
  <c r="C17" i="7" s="1"/>
  <c r="C18" i="4"/>
  <c r="C19" i="4"/>
  <c r="C19" i="7" s="1"/>
  <c r="C20" i="4"/>
  <c r="C21" i="4"/>
  <c r="C22" i="4"/>
  <c r="AI7" i="4"/>
  <c r="AI8" i="4"/>
  <c r="AI10" i="4"/>
  <c r="AI11" i="4"/>
  <c r="AI12" i="4"/>
  <c r="AI13" i="4"/>
  <c r="AI14" i="4"/>
  <c r="AI15" i="4"/>
  <c r="AI16" i="4"/>
  <c r="AI17" i="4"/>
  <c r="AI18" i="4"/>
  <c r="AI19" i="4"/>
  <c r="AI20" i="4"/>
  <c r="AI21" i="4"/>
  <c r="AI22" i="4"/>
  <c r="D7" i="4"/>
  <c r="D8" i="4"/>
  <c r="D10" i="4"/>
  <c r="D11" i="4"/>
  <c r="D11" i="7" s="1"/>
  <c r="D12" i="4"/>
  <c r="D13" i="4"/>
  <c r="D13" i="7" s="1"/>
  <c r="D14" i="4"/>
  <c r="D15" i="4"/>
  <c r="D16" i="4"/>
  <c r="D17" i="4"/>
  <c r="D18" i="4"/>
  <c r="D19" i="4"/>
  <c r="D19" i="7" s="1"/>
  <c r="D20" i="4"/>
  <c r="D21" i="4"/>
  <c r="D21" i="7" s="1"/>
  <c r="D22" i="4"/>
  <c r="AJ7" i="4"/>
  <c r="AJ8" i="4"/>
  <c r="AJ10" i="4"/>
  <c r="AJ11" i="4"/>
  <c r="AJ12" i="4"/>
  <c r="AJ13" i="4"/>
  <c r="AJ14" i="4"/>
  <c r="AJ15" i="4"/>
  <c r="AJ16" i="4"/>
  <c r="AJ17" i="4"/>
  <c r="AJ18" i="4"/>
  <c r="AJ19" i="4"/>
  <c r="AJ20" i="4"/>
  <c r="AJ21" i="4"/>
  <c r="AJ22" i="4"/>
  <c r="E7" i="4"/>
  <c r="E8" i="4"/>
  <c r="E10" i="4"/>
  <c r="E11" i="4"/>
  <c r="E12" i="4"/>
  <c r="E13" i="4"/>
  <c r="E13" i="7" s="1"/>
  <c r="E14" i="4"/>
  <c r="E15" i="4"/>
  <c r="E15" i="7" s="1"/>
  <c r="E16" i="4"/>
  <c r="E17" i="4"/>
  <c r="E17" i="7" s="1"/>
  <c r="E18" i="4"/>
  <c r="E19" i="4"/>
  <c r="E20" i="4"/>
  <c r="E21" i="4"/>
  <c r="E21" i="7" s="1"/>
  <c r="E22" i="4"/>
  <c r="AK7" i="4"/>
  <c r="AK8" i="4"/>
  <c r="AK10" i="4"/>
  <c r="AK11" i="4"/>
  <c r="AK12" i="4"/>
  <c r="AK13" i="4"/>
  <c r="AK14" i="4"/>
  <c r="AK15" i="4"/>
  <c r="AK16" i="4"/>
  <c r="AK17" i="4"/>
  <c r="AK18" i="4"/>
  <c r="AK19" i="4"/>
  <c r="AK20" i="4"/>
  <c r="AK21" i="4"/>
  <c r="AK22" i="4"/>
  <c r="F7" i="4"/>
  <c r="F8" i="4"/>
  <c r="F8" i="7" s="1"/>
  <c r="F10" i="4"/>
  <c r="F11" i="4"/>
  <c r="F11" i="7" s="1"/>
  <c r="F12" i="4"/>
  <c r="F13" i="4"/>
  <c r="F13" i="7" s="1"/>
  <c r="F14" i="4"/>
  <c r="F15" i="4"/>
  <c r="F15" i="7" s="1"/>
  <c r="F16" i="4"/>
  <c r="F17" i="4"/>
  <c r="F17" i="7" s="1"/>
  <c r="F18" i="4"/>
  <c r="F19" i="4"/>
  <c r="F19" i="7" s="1"/>
  <c r="F20" i="4"/>
  <c r="F21" i="4"/>
  <c r="F21" i="7" s="1"/>
  <c r="F22" i="4"/>
  <c r="AL7" i="4"/>
  <c r="AL8" i="4"/>
  <c r="AL10" i="4"/>
  <c r="AL11" i="4"/>
  <c r="AL12" i="4"/>
  <c r="AL13" i="4"/>
  <c r="AL14" i="4"/>
  <c r="AL15" i="4"/>
  <c r="AL16" i="4"/>
  <c r="AL17" i="4"/>
  <c r="AL18" i="4"/>
  <c r="AL19" i="4"/>
  <c r="AL20" i="4"/>
  <c r="AL21" i="4"/>
  <c r="AL22" i="4"/>
  <c r="G7" i="4"/>
  <c r="G8" i="4"/>
  <c r="G8" i="7" s="1"/>
  <c r="G10" i="4"/>
  <c r="G11" i="4"/>
  <c r="G11" i="7" s="1"/>
  <c r="G12" i="4"/>
  <c r="G13" i="4"/>
  <c r="G13" i="7" s="1"/>
  <c r="G14" i="4"/>
  <c r="G15" i="4"/>
  <c r="G15" i="7" s="1"/>
  <c r="G16" i="4"/>
  <c r="G17" i="4"/>
  <c r="G17" i="7" s="1"/>
  <c r="G18" i="4"/>
  <c r="G19" i="4"/>
  <c r="G19" i="7" s="1"/>
  <c r="G20" i="4"/>
  <c r="G21" i="4"/>
  <c r="G21" i="7" s="1"/>
  <c r="G22" i="4"/>
  <c r="AM7" i="4"/>
  <c r="AM8" i="4"/>
  <c r="AM10" i="4"/>
  <c r="AM11" i="4"/>
  <c r="AM12" i="4"/>
  <c r="AM13" i="4"/>
  <c r="AM14" i="4"/>
  <c r="AM15" i="4"/>
  <c r="AM16" i="4"/>
  <c r="AM17" i="4"/>
  <c r="AM18" i="4"/>
  <c r="AM19" i="4"/>
  <c r="AM20" i="4"/>
  <c r="AM21" i="4"/>
  <c r="AM22" i="4"/>
  <c r="H7" i="4"/>
  <c r="H8" i="4"/>
  <c r="H8" i="7" s="1"/>
  <c r="H10" i="4"/>
  <c r="H11" i="4"/>
  <c r="H11" i="7" s="1"/>
  <c r="H12" i="4"/>
  <c r="H13" i="4"/>
  <c r="H13" i="7" s="1"/>
  <c r="H14" i="4"/>
  <c r="H15" i="4"/>
  <c r="H15" i="7" s="1"/>
  <c r="H16" i="4"/>
  <c r="H17" i="4"/>
  <c r="H17" i="7" s="1"/>
  <c r="H18" i="4"/>
  <c r="H19" i="4"/>
  <c r="H19" i="7" s="1"/>
  <c r="H20" i="4"/>
  <c r="H21" i="4"/>
  <c r="H21" i="7" s="1"/>
  <c r="H22" i="4"/>
  <c r="AN7" i="4"/>
  <c r="AN8" i="4"/>
  <c r="AN10" i="4"/>
  <c r="AN11" i="4"/>
  <c r="AN12" i="4"/>
  <c r="AN13" i="4"/>
  <c r="AN14" i="4"/>
  <c r="AN15" i="4"/>
  <c r="AN16" i="4"/>
  <c r="AN17" i="4"/>
  <c r="AN18" i="4"/>
  <c r="AN19" i="4"/>
  <c r="AN20" i="4"/>
  <c r="AN21" i="4"/>
  <c r="AN22" i="4"/>
  <c r="I7" i="4"/>
  <c r="I8" i="4"/>
  <c r="I8" i="7" s="1"/>
  <c r="I10" i="4"/>
  <c r="I11" i="4"/>
  <c r="I11" i="7" s="1"/>
  <c r="I12" i="4"/>
  <c r="I13" i="4"/>
  <c r="I13" i="7" s="1"/>
  <c r="I14" i="4"/>
  <c r="I15" i="4"/>
  <c r="I15" i="7" s="1"/>
  <c r="I16" i="4"/>
  <c r="I17" i="4"/>
  <c r="I17" i="7" s="1"/>
  <c r="I18" i="4"/>
  <c r="I19" i="4"/>
  <c r="I19" i="7" s="1"/>
  <c r="I20" i="4"/>
  <c r="I21" i="4"/>
  <c r="I21" i="7" s="1"/>
  <c r="I22" i="4"/>
  <c r="AO7" i="4"/>
  <c r="AO8" i="4"/>
  <c r="AO10" i="4"/>
  <c r="AO11" i="4"/>
  <c r="AO12" i="4"/>
  <c r="AO13" i="4"/>
  <c r="AO14" i="4"/>
  <c r="AO15" i="4"/>
  <c r="AO16" i="4"/>
  <c r="AO17" i="4"/>
  <c r="AO18" i="4"/>
  <c r="AO19" i="4"/>
  <c r="AO20" i="4"/>
  <c r="AO21" i="4"/>
  <c r="AO22" i="4"/>
  <c r="K5" i="4"/>
  <c r="AQ5" i="4"/>
  <c r="AQ6" i="4" s="1"/>
  <c r="O5" i="4"/>
  <c r="AU5" i="4"/>
  <c r="AU6" i="4" s="1"/>
  <c r="B7" i="4"/>
  <c r="B8" i="4"/>
  <c r="B10" i="4"/>
  <c r="B11" i="4"/>
  <c r="B12" i="4"/>
  <c r="B13" i="4"/>
  <c r="B14" i="4"/>
  <c r="B15" i="4"/>
  <c r="B16" i="4"/>
  <c r="B17" i="4"/>
  <c r="B18" i="4"/>
  <c r="B19" i="4"/>
  <c r="B20" i="4"/>
  <c r="B21" i="4"/>
  <c r="B22" i="4"/>
  <c r="AH12" i="4"/>
  <c r="AH13" i="4"/>
  <c r="AH14" i="4"/>
  <c r="AH15" i="4"/>
  <c r="AH16" i="4"/>
  <c r="AH17" i="4"/>
  <c r="AH18" i="4"/>
  <c r="AH19" i="4"/>
  <c r="AH20" i="4"/>
  <c r="AH21" i="4"/>
  <c r="AH22" i="4"/>
  <c r="B9" i="7"/>
  <c r="C4" i="6"/>
  <c r="O7" i="6"/>
  <c r="O8" i="6"/>
  <c r="D9" i="6"/>
  <c r="E9" i="6"/>
  <c r="F9" i="6"/>
  <c r="G9" i="6"/>
  <c r="H9" i="6"/>
  <c r="I9" i="6"/>
  <c r="K9" i="6"/>
  <c r="O9" i="6"/>
  <c r="K10" i="6"/>
  <c r="O10" i="6"/>
  <c r="K11" i="6"/>
  <c r="O11" i="6"/>
  <c r="K12" i="6"/>
  <c r="O12" i="6"/>
  <c r="K13" i="6"/>
  <c r="O13" i="6"/>
  <c r="K14" i="6"/>
  <c r="O14" i="6"/>
  <c r="K15" i="6"/>
  <c r="O15" i="6"/>
  <c r="K16" i="6"/>
  <c r="O16" i="6"/>
  <c r="K17" i="6"/>
  <c r="O17" i="6"/>
  <c r="K18" i="6"/>
  <c r="O18" i="6"/>
  <c r="K19" i="6"/>
  <c r="O19" i="6"/>
  <c r="K20" i="6"/>
  <c r="O20" i="6"/>
  <c r="K21" i="6"/>
  <c r="O21" i="6"/>
  <c r="K22" i="6"/>
  <c r="O22" i="6"/>
  <c r="B9" i="6"/>
  <c r="AI9" i="1"/>
  <c r="C9" i="1"/>
  <c r="C9" i="5" s="1"/>
  <c r="C4" i="5"/>
  <c r="K7" i="5"/>
  <c r="O7" i="5"/>
  <c r="P7" i="5"/>
  <c r="Q7" i="5"/>
  <c r="K8" i="5"/>
  <c r="O8" i="5"/>
  <c r="P8" i="5"/>
  <c r="Q8" i="5"/>
  <c r="D9" i="5"/>
  <c r="F9" i="5"/>
  <c r="G9" i="5"/>
  <c r="H9" i="5"/>
  <c r="I9" i="5"/>
  <c r="K9" i="5"/>
  <c r="O9" i="5"/>
  <c r="P9" i="5"/>
  <c r="Q9" i="5"/>
  <c r="K10" i="5"/>
  <c r="O10" i="5"/>
  <c r="P10" i="5"/>
  <c r="Q10" i="5"/>
  <c r="K11" i="5"/>
  <c r="O11" i="5"/>
  <c r="P11" i="5"/>
  <c r="Q11" i="5"/>
  <c r="K12" i="5"/>
  <c r="O12" i="5"/>
  <c r="P12" i="5"/>
  <c r="Q12" i="5"/>
  <c r="K13" i="5"/>
  <c r="O13" i="5"/>
  <c r="P13" i="5"/>
  <c r="Q13" i="5"/>
  <c r="K14" i="5"/>
  <c r="O14" i="5"/>
  <c r="P14" i="5"/>
  <c r="Q14" i="5"/>
  <c r="K15" i="5"/>
  <c r="O15" i="5"/>
  <c r="P15" i="5"/>
  <c r="Q15" i="5"/>
  <c r="K16" i="5"/>
  <c r="O16" i="5"/>
  <c r="P16" i="5"/>
  <c r="Q16" i="5"/>
  <c r="K17" i="5"/>
  <c r="O17" i="5"/>
  <c r="P17" i="5"/>
  <c r="Q17" i="5"/>
  <c r="K18" i="5"/>
  <c r="O18" i="5"/>
  <c r="P18" i="5"/>
  <c r="Q18" i="5"/>
  <c r="K19" i="5"/>
  <c r="O19" i="5"/>
  <c r="P19" i="5"/>
  <c r="Q19" i="5"/>
  <c r="K20" i="5"/>
  <c r="O20" i="5"/>
  <c r="P20" i="5"/>
  <c r="Q20" i="5"/>
  <c r="K21" i="5"/>
  <c r="O21" i="5"/>
  <c r="P21" i="5"/>
  <c r="Q21" i="5"/>
  <c r="K22" i="5"/>
  <c r="O22" i="5"/>
  <c r="P22" i="5"/>
  <c r="Q22" i="5"/>
  <c r="P25" i="5"/>
  <c r="Q25" i="5"/>
  <c r="R25" i="5"/>
  <c r="P27" i="5"/>
  <c r="Q27" i="5"/>
  <c r="R27" i="5"/>
  <c r="P28" i="5"/>
  <c r="Q28" i="5"/>
  <c r="R28" i="5"/>
  <c r="P54" i="5"/>
  <c r="Q54" i="5"/>
  <c r="R54" i="5"/>
  <c r="P29" i="5"/>
  <c r="Q29" i="5"/>
  <c r="R29" i="5"/>
  <c r="P30" i="5"/>
  <c r="Q30" i="5"/>
  <c r="R30" i="5"/>
  <c r="P40" i="5"/>
  <c r="Q40" i="5"/>
  <c r="R40" i="5"/>
  <c r="P41" i="5"/>
  <c r="Q41" i="5"/>
  <c r="R41" i="5"/>
  <c r="P42" i="5"/>
  <c r="Q42" i="5"/>
  <c r="R42" i="5"/>
  <c r="P43" i="5"/>
  <c r="Q43" i="5"/>
  <c r="R43" i="5"/>
  <c r="P55" i="5"/>
  <c r="Q55" i="5"/>
  <c r="R55" i="5"/>
  <c r="P56" i="5"/>
  <c r="Q56" i="5"/>
  <c r="R56" i="5"/>
  <c r="P44" i="5"/>
  <c r="Q44" i="5"/>
  <c r="R44" i="5"/>
  <c r="P45" i="5"/>
  <c r="Q45" i="5"/>
  <c r="R45" i="5"/>
  <c r="P46" i="5"/>
  <c r="Q46" i="5"/>
  <c r="R46" i="5"/>
  <c r="P47" i="5"/>
  <c r="Q47" i="5"/>
  <c r="R47" i="5"/>
  <c r="P32" i="5"/>
  <c r="Q32" i="5"/>
  <c r="R32" i="5"/>
  <c r="P57" i="5"/>
  <c r="Q57" i="5"/>
  <c r="R57" i="5"/>
  <c r="P58" i="5"/>
  <c r="Q58" i="5"/>
  <c r="R58" i="5"/>
  <c r="P33" i="5"/>
  <c r="Q33" i="5"/>
  <c r="R33" i="5"/>
  <c r="P59" i="5"/>
  <c r="Q59" i="5"/>
  <c r="R59" i="5"/>
  <c r="P48" i="5"/>
  <c r="Q48" i="5"/>
  <c r="R48" i="5"/>
  <c r="P49" i="5"/>
  <c r="Q49" i="5"/>
  <c r="R49" i="5"/>
  <c r="P34" i="5"/>
  <c r="Q34" i="5"/>
  <c r="R34" i="5"/>
  <c r="P60" i="5"/>
  <c r="Q60" i="5"/>
  <c r="R60" i="5"/>
  <c r="P61" i="5"/>
  <c r="Q61" i="5"/>
  <c r="R61" i="5"/>
  <c r="P50" i="5"/>
  <c r="Q50" i="5"/>
  <c r="R50" i="5"/>
  <c r="P35" i="5"/>
  <c r="Q35" i="5"/>
  <c r="R35" i="5"/>
  <c r="P36" i="5"/>
  <c r="Q36" i="5"/>
  <c r="R36" i="5"/>
  <c r="P51" i="5"/>
  <c r="Q51" i="5"/>
  <c r="R51" i="5"/>
  <c r="P37" i="5"/>
  <c r="Q37" i="5"/>
  <c r="R37" i="5"/>
  <c r="P63" i="5"/>
  <c r="Q63" i="5"/>
  <c r="R63" i="5"/>
  <c r="B9" i="5"/>
  <c r="AT6" i="4"/>
  <c r="AR6" i="4"/>
  <c r="AS22" i="3"/>
  <c r="AS21" i="3"/>
  <c r="AS20" i="3"/>
  <c r="AS19" i="3"/>
  <c r="AS18" i="3"/>
  <c r="AS17" i="3"/>
  <c r="AS16" i="3"/>
  <c r="AS15" i="3"/>
  <c r="AS14" i="3"/>
  <c r="AS13" i="3"/>
  <c r="AS12" i="3"/>
  <c r="AS11" i="3"/>
  <c r="AS10" i="3"/>
  <c r="AS9" i="3"/>
  <c r="AS8" i="3"/>
  <c r="AS7" i="3"/>
  <c r="AS7" i="1"/>
  <c r="AS8" i="1"/>
  <c r="AS9" i="1"/>
  <c r="AS10" i="1"/>
  <c r="AS11" i="1"/>
  <c r="AS12" i="1"/>
  <c r="AS13" i="1"/>
  <c r="AS14" i="1"/>
  <c r="AS15" i="1"/>
  <c r="AS16" i="1"/>
  <c r="AS17" i="1"/>
  <c r="AS18" i="1"/>
  <c r="AS19" i="1"/>
  <c r="AS20" i="1"/>
  <c r="AS21" i="1"/>
  <c r="AS22" i="1"/>
  <c r="AT5" i="3"/>
  <c r="AT4" i="3"/>
  <c r="AR5" i="3"/>
  <c r="AR4" i="3"/>
  <c r="AT4" i="1"/>
  <c r="M8" i="3"/>
  <c r="M9" i="3"/>
  <c r="M10" i="3"/>
  <c r="M11" i="3"/>
  <c r="M12" i="3"/>
  <c r="M13" i="3"/>
  <c r="M14" i="3"/>
  <c r="M15" i="3"/>
  <c r="M16" i="3"/>
  <c r="M17" i="3"/>
  <c r="M18" i="3"/>
  <c r="M19" i="3"/>
  <c r="M20" i="3"/>
  <c r="M21" i="3"/>
  <c r="M22" i="3"/>
  <c r="M7" i="3"/>
  <c r="N5" i="3"/>
  <c r="L5" i="3"/>
  <c r="L6" i="3" s="1"/>
  <c r="R4" i="6"/>
  <c r="N4" i="3"/>
  <c r="L4" i="3"/>
  <c r="M7" i="1"/>
  <c r="M8" i="1"/>
  <c r="M9" i="1"/>
  <c r="M10" i="1"/>
  <c r="M11" i="1"/>
  <c r="M11" i="5" s="1"/>
  <c r="M12" i="1"/>
  <c r="M13" i="1"/>
  <c r="M13" i="5" s="1"/>
  <c r="M14" i="1"/>
  <c r="M15" i="1"/>
  <c r="M16" i="1"/>
  <c r="M17" i="1"/>
  <c r="M18" i="1"/>
  <c r="M19" i="1"/>
  <c r="M20" i="1"/>
  <c r="M21" i="1"/>
  <c r="M21" i="5" s="1"/>
  <c r="M22" i="1"/>
  <c r="N4" i="1"/>
  <c r="L4" i="1"/>
  <c r="Q4" i="6"/>
  <c r="AH4" i="1"/>
  <c r="AH39" i="1" s="1"/>
  <c r="AH7" i="1"/>
  <c r="AH8" i="1"/>
  <c r="AH10" i="1"/>
  <c r="AH11" i="1"/>
  <c r="AH12" i="1"/>
  <c r="AH13" i="1"/>
  <c r="AH14" i="1"/>
  <c r="AH15" i="1"/>
  <c r="AH16" i="1"/>
  <c r="AH17" i="1"/>
  <c r="AH18" i="1"/>
  <c r="AH19" i="1"/>
  <c r="AH20" i="1"/>
  <c r="AH21" i="1"/>
  <c r="AH22" i="1"/>
  <c r="AI7" i="1"/>
  <c r="AI8" i="1"/>
  <c r="AI10" i="1"/>
  <c r="AI11" i="1"/>
  <c r="AI12" i="1"/>
  <c r="AI13" i="1"/>
  <c r="AI14" i="1"/>
  <c r="AI15" i="1"/>
  <c r="AI16" i="1"/>
  <c r="AI17" i="1"/>
  <c r="AI18" i="1"/>
  <c r="AI19" i="1"/>
  <c r="AI20" i="1"/>
  <c r="AI21" i="1"/>
  <c r="AI22" i="1"/>
  <c r="Q5" i="5"/>
  <c r="O6" i="4"/>
  <c r="AP22" i="3"/>
  <c r="AO22" i="3"/>
  <c r="AN22" i="3"/>
  <c r="AM22" i="3"/>
  <c r="AL22" i="3"/>
  <c r="AK22" i="3"/>
  <c r="AJ22" i="3"/>
  <c r="AI22" i="3"/>
  <c r="AH22" i="3"/>
  <c r="J22" i="3"/>
  <c r="I22" i="3"/>
  <c r="H22" i="3"/>
  <c r="G22" i="3"/>
  <c r="F22" i="3"/>
  <c r="E22" i="3"/>
  <c r="D22" i="3"/>
  <c r="C22" i="3"/>
  <c r="B22" i="3"/>
  <c r="AP21" i="3"/>
  <c r="AO21" i="3"/>
  <c r="AN21" i="3"/>
  <c r="AM21" i="3"/>
  <c r="AL21" i="3"/>
  <c r="AK21" i="3"/>
  <c r="AJ21" i="3"/>
  <c r="AI21" i="3"/>
  <c r="AH21" i="3"/>
  <c r="J21" i="3"/>
  <c r="I21" i="3"/>
  <c r="H21" i="3"/>
  <c r="G21" i="3"/>
  <c r="F21" i="3"/>
  <c r="E21" i="3"/>
  <c r="D21" i="3"/>
  <c r="C21" i="3"/>
  <c r="B21" i="3"/>
  <c r="AP20" i="3"/>
  <c r="AO20" i="3"/>
  <c r="AN20" i="3"/>
  <c r="AM20" i="3"/>
  <c r="AL20" i="3"/>
  <c r="AK20" i="3"/>
  <c r="AJ20" i="3"/>
  <c r="AI20" i="3"/>
  <c r="AH20" i="3"/>
  <c r="J20" i="3"/>
  <c r="I20" i="3"/>
  <c r="H20" i="3"/>
  <c r="G20" i="3"/>
  <c r="F20" i="3"/>
  <c r="E20" i="3"/>
  <c r="D20" i="3"/>
  <c r="C20" i="3"/>
  <c r="B20" i="3"/>
  <c r="AP19" i="3"/>
  <c r="AO19" i="3"/>
  <c r="AN19" i="3"/>
  <c r="AM19" i="3"/>
  <c r="AL19" i="3"/>
  <c r="AK19" i="3"/>
  <c r="AJ19" i="3"/>
  <c r="AI19" i="3"/>
  <c r="AH19" i="3"/>
  <c r="J19" i="3"/>
  <c r="I19" i="3"/>
  <c r="H19" i="3"/>
  <c r="G19" i="3"/>
  <c r="F19" i="3"/>
  <c r="E19" i="3"/>
  <c r="D19" i="3"/>
  <c r="C19" i="3"/>
  <c r="B19" i="3"/>
  <c r="AP18" i="3"/>
  <c r="AO18" i="3"/>
  <c r="AN18" i="3"/>
  <c r="AM18" i="3"/>
  <c r="AL18" i="3"/>
  <c r="AK18" i="3"/>
  <c r="AJ18" i="3"/>
  <c r="AI18" i="3"/>
  <c r="AH18" i="3"/>
  <c r="J18" i="3"/>
  <c r="I18" i="3"/>
  <c r="H18" i="3"/>
  <c r="G18" i="3"/>
  <c r="F18" i="3"/>
  <c r="E18" i="3"/>
  <c r="D18" i="3"/>
  <c r="C18" i="3"/>
  <c r="B18" i="3"/>
  <c r="AP17" i="3"/>
  <c r="AO17" i="3"/>
  <c r="AN17" i="3"/>
  <c r="AM17" i="3"/>
  <c r="AL17" i="3"/>
  <c r="AK17" i="3"/>
  <c r="AJ17" i="3"/>
  <c r="AI17" i="3"/>
  <c r="AH17" i="3"/>
  <c r="J17" i="3"/>
  <c r="I17" i="3"/>
  <c r="H17" i="3"/>
  <c r="G17" i="3"/>
  <c r="F17" i="3"/>
  <c r="E17" i="3"/>
  <c r="D17" i="3"/>
  <c r="C17" i="3"/>
  <c r="B17" i="3"/>
  <c r="AP16" i="3"/>
  <c r="AO16" i="3"/>
  <c r="AN16" i="3"/>
  <c r="AM16" i="3"/>
  <c r="AL16" i="3"/>
  <c r="AK16" i="3"/>
  <c r="AJ16" i="3"/>
  <c r="AI16" i="3"/>
  <c r="AH16" i="3"/>
  <c r="J16" i="3"/>
  <c r="I16" i="3"/>
  <c r="H16" i="3"/>
  <c r="G16" i="3"/>
  <c r="G16" i="6" s="1"/>
  <c r="F16" i="3"/>
  <c r="E16" i="3"/>
  <c r="D16" i="3"/>
  <c r="C16" i="3"/>
  <c r="B16" i="3"/>
  <c r="AP15" i="3"/>
  <c r="AO15" i="3"/>
  <c r="AN15" i="3"/>
  <c r="AM15" i="3"/>
  <c r="AL15" i="3"/>
  <c r="AK15" i="3"/>
  <c r="AJ15" i="3"/>
  <c r="AI15" i="3"/>
  <c r="AH15" i="3"/>
  <c r="J15" i="3"/>
  <c r="I15" i="3"/>
  <c r="I15" i="6" s="1"/>
  <c r="H15" i="3"/>
  <c r="G15" i="3"/>
  <c r="F15" i="3"/>
  <c r="E15" i="3"/>
  <c r="D15" i="3"/>
  <c r="C15" i="3"/>
  <c r="B15" i="3"/>
  <c r="AP14" i="3"/>
  <c r="AO14" i="3"/>
  <c r="I14" i="6" s="1"/>
  <c r="AN14" i="3"/>
  <c r="AM14" i="3"/>
  <c r="AL14" i="3"/>
  <c r="AK14" i="3"/>
  <c r="AJ14" i="3"/>
  <c r="AI14" i="3"/>
  <c r="AH14" i="3"/>
  <c r="J14" i="3"/>
  <c r="I14" i="3"/>
  <c r="H14" i="3"/>
  <c r="G14" i="3"/>
  <c r="F14" i="3"/>
  <c r="E14" i="3"/>
  <c r="D14" i="3"/>
  <c r="C14" i="3"/>
  <c r="C14" i="6" s="1"/>
  <c r="B14" i="3"/>
  <c r="AP13" i="3"/>
  <c r="AO13" i="3"/>
  <c r="AN13" i="3"/>
  <c r="AM13" i="3"/>
  <c r="AL13" i="3"/>
  <c r="AK13" i="3"/>
  <c r="AJ13" i="3"/>
  <c r="AI13" i="3"/>
  <c r="AH13" i="3"/>
  <c r="J13" i="3"/>
  <c r="I13" i="3"/>
  <c r="H13" i="3"/>
  <c r="G13" i="3"/>
  <c r="F13" i="3"/>
  <c r="E13" i="3"/>
  <c r="E13" i="6" s="1"/>
  <c r="D13" i="3"/>
  <c r="C13" i="3"/>
  <c r="B13" i="3"/>
  <c r="AP12" i="3"/>
  <c r="AO12" i="3"/>
  <c r="AN12" i="3"/>
  <c r="AM12" i="3"/>
  <c r="AL12" i="3"/>
  <c r="AK12" i="3"/>
  <c r="E12" i="6" s="1"/>
  <c r="AJ12" i="3"/>
  <c r="AI12" i="3"/>
  <c r="AH12" i="3"/>
  <c r="J12" i="3"/>
  <c r="I12" i="3"/>
  <c r="H12" i="3"/>
  <c r="H12" i="6"/>
  <c r="G12" i="3"/>
  <c r="F12" i="3"/>
  <c r="E12" i="3"/>
  <c r="D12" i="3"/>
  <c r="C12" i="3"/>
  <c r="B12" i="3"/>
  <c r="AP11" i="3"/>
  <c r="AO11" i="3"/>
  <c r="AN11" i="3"/>
  <c r="AM11" i="3"/>
  <c r="AL11" i="3"/>
  <c r="AK11" i="3"/>
  <c r="AJ11" i="3"/>
  <c r="AI11" i="3"/>
  <c r="AH11" i="3"/>
  <c r="J11" i="3"/>
  <c r="J11" i="6" s="1"/>
  <c r="I11" i="3"/>
  <c r="H11" i="3"/>
  <c r="G11" i="3"/>
  <c r="F11" i="3"/>
  <c r="E11" i="3"/>
  <c r="D11" i="3"/>
  <c r="C11" i="3"/>
  <c r="B11" i="3"/>
  <c r="B11" i="6" s="1"/>
  <c r="AP10" i="3"/>
  <c r="AO10" i="3"/>
  <c r="AN10" i="3"/>
  <c r="AM10" i="3"/>
  <c r="AL10" i="3"/>
  <c r="AK10" i="3"/>
  <c r="AJ10" i="3"/>
  <c r="AI10" i="3"/>
  <c r="J10" i="3"/>
  <c r="I10" i="3"/>
  <c r="I10" i="6" s="1"/>
  <c r="H10" i="3"/>
  <c r="G10" i="3"/>
  <c r="F10" i="3"/>
  <c r="E10" i="3"/>
  <c r="D10" i="3"/>
  <c r="D10" i="6" s="1"/>
  <c r="C10" i="3"/>
  <c r="B10" i="3"/>
  <c r="B10" i="6" s="1"/>
  <c r="AP8" i="3"/>
  <c r="AO8" i="3"/>
  <c r="AN8" i="3"/>
  <c r="AM8" i="3"/>
  <c r="AL8" i="3"/>
  <c r="AK8" i="3"/>
  <c r="AJ8" i="3"/>
  <c r="AI8" i="3"/>
  <c r="K8" i="3"/>
  <c r="K8" i="6" s="1"/>
  <c r="J8" i="3"/>
  <c r="I8" i="3"/>
  <c r="I8" i="6" s="1"/>
  <c r="H8" i="3"/>
  <c r="H8" i="6" s="1"/>
  <c r="G8" i="3"/>
  <c r="F8" i="3"/>
  <c r="E8" i="3"/>
  <c r="D8" i="3"/>
  <c r="D8" i="6" s="1"/>
  <c r="C8" i="3"/>
  <c r="B8" i="3"/>
  <c r="AP7" i="3"/>
  <c r="AO7" i="3"/>
  <c r="AN7" i="3"/>
  <c r="AM7" i="3"/>
  <c r="AL7" i="3"/>
  <c r="AK7" i="3"/>
  <c r="AJ7" i="3"/>
  <c r="AI7" i="3"/>
  <c r="K7" i="3"/>
  <c r="K7" i="6" s="1"/>
  <c r="J7" i="3"/>
  <c r="I7" i="3"/>
  <c r="H7" i="3"/>
  <c r="G7" i="3"/>
  <c r="F7" i="3"/>
  <c r="E7" i="3"/>
  <c r="D7" i="3"/>
  <c r="D7" i="6" s="1"/>
  <c r="C7" i="3"/>
  <c r="C7" i="6" s="1"/>
  <c r="B7" i="3"/>
  <c r="AU5" i="3"/>
  <c r="AU4" i="3"/>
  <c r="AQ5" i="3"/>
  <c r="AQ4" i="3"/>
  <c r="AP4" i="3"/>
  <c r="AO4" i="3"/>
  <c r="AN4" i="3"/>
  <c r="AM4" i="3"/>
  <c r="AL4" i="3"/>
  <c r="AK4" i="3"/>
  <c r="AJ4" i="3"/>
  <c r="O5" i="3"/>
  <c r="O4" i="3"/>
  <c r="K4" i="3"/>
  <c r="J4" i="3"/>
  <c r="I4" i="3"/>
  <c r="H4" i="3"/>
  <c r="G4" i="3"/>
  <c r="F4" i="3"/>
  <c r="F4" i="6" s="1"/>
  <c r="E4" i="3"/>
  <c r="D4" i="3"/>
  <c r="B4" i="3"/>
  <c r="AU4" i="1"/>
  <c r="O4" i="1"/>
  <c r="AR4" i="1"/>
  <c r="AQ4" i="1"/>
  <c r="K4" i="1"/>
  <c r="AP4" i="1"/>
  <c r="J4" i="1"/>
  <c r="J4" i="5" s="1"/>
  <c r="AO4" i="1"/>
  <c r="I4" i="1"/>
  <c r="AN4" i="1"/>
  <c r="H4" i="1"/>
  <c r="AM4" i="1"/>
  <c r="G4" i="1"/>
  <c r="AL4" i="1"/>
  <c r="F4" i="1"/>
  <c r="AK4" i="1"/>
  <c r="E4" i="1"/>
  <c r="AJ4" i="1"/>
  <c r="D4" i="1"/>
  <c r="B4" i="1"/>
  <c r="E9" i="1"/>
  <c r="E9" i="5" s="1"/>
  <c r="AP22" i="1"/>
  <c r="AO22" i="1"/>
  <c r="AN22" i="1"/>
  <c r="AM22" i="1"/>
  <c r="AL22" i="1"/>
  <c r="AK22" i="1"/>
  <c r="AJ22" i="1"/>
  <c r="J22" i="1"/>
  <c r="I22" i="1"/>
  <c r="H22" i="1"/>
  <c r="G22" i="1"/>
  <c r="F22" i="1"/>
  <c r="E22" i="1"/>
  <c r="D22" i="1"/>
  <c r="C22" i="1"/>
  <c r="B22" i="1"/>
  <c r="B22" i="5" s="1"/>
  <c r="AP21" i="1"/>
  <c r="AO21" i="1"/>
  <c r="AN21" i="1"/>
  <c r="AM21" i="1"/>
  <c r="G21" i="5" s="1"/>
  <c r="AL21" i="1"/>
  <c r="AK21" i="1"/>
  <c r="AJ21" i="1"/>
  <c r="J21" i="1"/>
  <c r="I21" i="1"/>
  <c r="H21" i="1"/>
  <c r="G21" i="1"/>
  <c r="F21" i="1"/>
  <c r="E21" i="1"/>
  <c r="E21" i="5" s="1"/>
  <c r="D21" i="1"/>
  <c r="C21" i="1"/>
  <c r="B21" i="1"/>
  <c r="AP20" i="1"/>
  <c r="AO20" i="1"/>
  <c r="AN20" i="1"/>
  <c r="AM20" i="1"/>
  <c r="AL20" i="1"/>
  <c r="AK20" i="1"/>
  <c r="AJ20" i="1"/>
  <c r="J20" i="1"/>
  <c r="I20" i="1"/>
  <c r="H20" i="1"/>
  <c r="G20" i="1"/>
  <c r="F20" i="1"/>
  <c r="E20" i="1"/>
  <c r="D20" i="1"/>
  <c r="C20" i="1"/>
  <c r="B20" i="1"/>
  <c r="AP19" i="1"/>
  <c r="AO19" i="1"/>
  <c r="AN19" i="1"/>
  <c r="AM19" i="1"/>
  <c r="G19" i="5" s="1"/>
  <c r="AL19" i="1"/>
  <c r="AK19" i="1"/>
  <c r="AJ19" i="1"/>
  <c r="J19" i="1"/>
  <c r="I19" i="1"/>
  <c r="H19" i="1"/>
  <c r="G19" i="1"/>
  <c r="F19" i="1"/>
  <c r="E19" i="1"/>
  <c r="D19" i="1"/>
  <c r="C19" i="1"/>
  <c r="B19" i="1"/>
  <c r="AP18" i="1"/>
  <c r="AO18" i="1"/>
  <c r="AN18" i="1"/>
  <c r="AM18" i="1"/>
  <c r="AL18" i="1"/>
  <c r="AK18" i="1"/>
  <c r="AJ18" i="1"/>
  <c r="J18" i="1"/>
  <c r="I18" i="1"/>
  <c r="H18" i="1"/>
  <c r="G18" i="1"/>
  <c r="F18" i="1"/>
  <c r="E18" i="1"/>
  <c r="D18" i="1"/>
  <c r="C18" i="1"/>
  <c r="B18" i="1"/>
  <c r="AP17" i="1"/>
  <c r="AO17" i="1"/>
  <c r="AN17" i="1"/>
  <c r="AM17" i="1"/>
  <c r="AL17" i="1"/>
  <c r="AK17" i="1"/>
  <c r="AJ17" i="1"/>
  <c r="J17" i="1"/>
  <c r="I17" i="1"/>
  <c r="H17" i="1"/>
  <c r="G17" i="1"/>
  <c r="F17" i="1"/>
  <c r="E17" i="1"/>
  <c r="D17" i="1"/>
  <c r="C17" i="1"/>
  <c r="B17" i="1"/>
  <c r="AP16" i="1"/>
  <c r="AO16" i="1"/>
  <c r="I16" i="5" s="1"/>
  <c r="AN16" i="1"/>
  <c r="AM16" i="1"/>
  <c r="AL16" i="1"/>
  <c r="AK16" i="1"/>
  <c r="AJ16" i="1"/>
  <c r="J16" i="1"/>
  <c r="I16" i="1"/>
  <c r="H16" i="1"/>
  <c r="G16" i="1"/>
  <c r="F16" i="1"/>
  <c r="E16" i="1"/>
  <c r="D16" i="1"/>
  <c r="C16" i="1"/>
  <c r="C16" i="5" s="1"/>
  <c r="B16" i="1"/>
  <c r="B16" i="5" s="1"/>
  <c r="AP15" i="1"/>
  <c r="AO15" i="1"/>
  <c r="AN15" i="1"/>
  <c r="AM15" i="1"/>
  <c r="G15" i="5" s="1"/>
  <c r="AL15" i="1"/>
  <c r="AK15" i="1"/>
  <c r="AJ15" i="1"/>
  <c r="J15" i="1"/>
  <c r="I15" i="1"/>
  <c r="H15" i="1"/>
  <c r="G15" i="1"/>
  <c r="F15" i="1"/>
  <c r="E15" i="1"/>
  <c r="D15" i="1"/>
  <c r="C15" i="1"/>
  <c r="B15" i="1"/>
  <c r="B15" i="5" s="1"/>
  <c r="AP14" i="1"/>
  <c r="AO14" i="1"/>
  <c r="AN14" i="1"/>
  <c r="AM14" i="1"/>
  <c r="AL14" i="1"/>
  <c r="AK14" i="1"/>
  <c r="AJ14" i="1"/>
  <c r="J14" i="1"/>
  <c r="I14" i="1"/>
  <c r="H14" i="1"/>
  <c r="G14" i="1"/>
  <c r="F14" i="1"/>
  <c r="E14" i="1"/>
  <c r="D14" i="1"/>
  <c r="C14" i="1"/>
  <c r="B14" i="1"/>
  <c r="B14" i="5" s="1"/>
  <c r="AP13" i="1"/>
  <c r="AO13" i="1"/>
  <c r="AN13" i="1"/>
  <c r="AM13" i="1"/>
  <c r="AL13" i="1"/>
  <c r="AK13" i="1"/>
  <c r="AJ13" i="1"/>
  <c r="J13" i="1"/>
  <c r="I13" i="1"/>
  <c r="H13" i="1"/>
  <c r="G13" i="1"/>
  <c r="F13" i="1"/>
  <c r="E13" i="1"/>
  <c r="D13" i="1"/>
  <c r="C13" i="1"/>
  <c r="B13" i="1"/>
  <c r="AP12" i="1"/>
  <c r="AO12" i="1"/>
  <c r="AN12" i="1"/>
  <c r="AM12" i="1"/>
  <c r="AL12" i="1"/>
  <c r="AK12" i="1"/>
  <c r="AJ12" i="1"/>
  <c r="J12" i="1"/>
  <c r="I12" i="1"/>
  <c r="H12" i="1"/>
  <c r="G12" i="1"/>
  <c r="F12" i="1"/>
  <c r="E12" i="1"/>
  <c r="D12" i="1"/>
  <c r="C12" i="1"/>
  <c r="B12" i="1"/>
  <c r="AP11" i="1"/>
  <c r="AO11" i="1"/>
  <c r="AN11" i="1"/>
  <c r="AM11" i="1"/>
  <c r="AL11" i="1"/>
  <c r="AK11" i="1"/>
  <c r="AJ11" i="1"/>
  <c r="J11" i="1"/>
  <c r="I11" i="1"/>
  <c r="H11" i="1"/>
  <c r="G11" i="1"/>
  <c r="F11" i="1"/>
  <c r="E11" i="1"/>
  <c r="D11" i="1"/>
  <c r="C11" i="1"/>
  <c r="B11" i="1"/>
  <c r="AP10" i="1"/>
  <c r="AO10" i="1"/>
  <c r="AN10" i="1"/>
  <c r="AM10" i="1"/>
  <c r="AL10" i="1"/>
  <c r="AK10" i="1"/>
  <c r="AJ10" i="1"/>
  <c r="J10" i="1"/>
  <c r="I10" i="1"/>
  <c r="H10" i="1"/>
  <c r="G10" i="1"/>
  <c r="F10" i="1"/>
  <c r="E10" i="1"/>
  <c r="D10" i="1"/>
  <c r="C10" i="1"/>
  <c r="B10" i="1"/>
  <c r="AP8" i="1"/>
  <c r="AO8" i="1"/>
  <c r="AN8" i="1"/>
  <c r="AM8" i="1"/>
  <c r="AL8" i="1"/>
  <c r="AK8" i="1"/>
  <c r="AJ8" i="1"/>
  <c r="J8" i="1"/>
  <c r="I8" i="1"/>
  <c r="H8" i="1"/>
  <c r="G8" i="1"/>
  <c r="F8" i="1"/>
  <c r="E8" i="1"/>
  <c r="D8" i="1"/>
  <c r="C8" i="1"/>
  <c r="B8" i="1"/>
  <c r="AP7" i="1"/>
  <c r="AO7" i="1"/>
  <c r="AN7" i="1"/>
  <c r="AM7" i="1"/>
  <c r="AL7" i="1"/>
  <c r="AK7" i="1"/>
  <c r="AJ7" i="1"/>
  <c r="J7" i="1"/>
  <c r="I7" i="1"/>
  <c r="H7" i="1"/>
  <c r="G7" i="1"/>
  <c r="F7" i="1"/>
  <c r="E7" i="1"/>
  <c r="D7" i="1"/>
  <c r="C7" i="1"/>
  <c r="B7" i="1"/>
  <c r="I21" i="5"/>
  <c r="N5" i="5"/>
  <c r="W5" i="5"/>
  <c r="V5" i="5"/>
  <c r="E10" i="6"/>
  <c r="G10" i="6"/>
  <c r="G14" i="6"/>
  <c r="B8" i="7"/>
  <c r="U5" i="5"/>
  <c r="C10" i="5" l="1"/>
  <c r="B10" i="5"/>
  <c r="B18" i="5"/>
  <c r="B8" i="5"/>
  <c r="B11" i="5"/>
  <c r="B17" i="5"/>
  <c r="M8" i="5"/>
  <c r="AH5" i="3"/>
  <c r="AH6" i="3" s="1"/>
  <c r="J20" i="7"/>
  <c r="I4" i="7"/>
  <c r="J16" i="7"/>
  <c r="G22" i="5"/>
  <c r="J5" i="3"/>
  <c r="J5" i="6" s="1"/>
  <c r="E14" i="6"/>
  <c r="AS4" i="1"/>
  <c r="AS53" i="1" s="1"/>
  <c r="E19" i="7"/>
  <c r="E11" i="7"/>
  <c r="D17" i="7"/>
  <c r="D8" i="7"/>
  <c r="C15" i="7"/>
  <c r="J8" i="7"/>
  <c r="J13" i="7"/>
  <c r="J17" i="7"/>
  <c r="J21" i="7"/>
  <c r="J7" i="7"/>
  <c r="M10" i="5"/>
  <c r="Z6" i="5"/>
  <c r="J12" i="7"/>
  <c r="E8" i="7"/>
  <c r="D15" i="7"/>
  <c r="C21" i="7"/>
  <c r="C13" i="7"/>
  <c r="K4" i="7"/>
  <c r="M8" i="7"/>
  <c r="M12" i="7"/>
  <c r="M16" i="7"/>
  <c r="M20" i="7"/>
  <c r="C11" i="5"/>
  <c r="C15" i="5"/>
  <c r="C19" i="5"/>
  <c r="K4" i="6"/>
  <c r="G5" i="3"/>
  <c r="C10" i="6"/>
  <c r="L4" i="5"/>
  <c r="M22" i="6"/>
  <c r="M18" i="6"/>
  <c r="M14" i="6"/>
  <c r="B17" i="7"/>
  <c r="K6" i="4"/>
  <c r="K5" i="7"/>
  <c r="I22" i="7"/>
  <c r="I18" i="7"/>
  <c r="I14" i="7"/>
  <c r="I10" i="7"/>
  <c r="H20" i="7"/>
  <c r="H16" i="7"/>
  <c r="H12" i="7"/>
  <c r="H7" i="7"/>
  <c r="G22" i="7"/>
  <c r="G18" i="7"/>
  <c r="G14" i="7"/>
  <c r="G10" i="7"/>
  <c r="F20" i="7"/>
  <c r="F16" i="7"/>
  <c r="F12" i="7"/>
  <c r="F7" i="7"/>
  <c r="E22" i="7"/>
  <c r="E18" i="7"/>
  <c r="E14" i="7"/>
  <c r="E10" i="7"/>
  <c r="D20" i="7"/>
  <c r="D16" i="7"/>
  <c r="D12" i="7"/>
  <c r="D7" i="7"/>
  <c r="C22" i="7"/>
  <c r="C18" i="7"/>
  <c r="C14" i="7"/>
  <c r="C10" i="7"/>
  <c r="L6" i="4"/>
  <c r="L5" i="7"/>
  <c r="L6" i="7" s="1"/>
  <c r="M9" i="7"/>
  <c r="M13" i="7"/>
  <c r="M17" i="7"/>
  <c r="M21" i="7"/>
  <c r="D15" i="5"/>
  <c r="D4" i="6"/>
  <c r="C12" i="6"/>
  <c r="G12" i="6"/>
  <c r="M19" i="5"/>
  <c r="M15" i="5"/>
  <c r="M7" i="5"/>
  <c r="AS5" i="3"/>
  <c r="M17" i="5"/>
  <c r="M9" i="5"/>
  <c r="AH5" i="4"/>
  <c r="AH6" i="4" s="1"/>
  <c r="N6" i="4"/>
  <c r="N5" i="7"/>
  <c r="N6" i="7" s="1"/>
  <c r="M10" i="7"/>
  <c r="M14" i="7"/>
  <c r="M18" i="7"/>
  <c r="M22" i="7"/>
  <c r="E18" i="5"/>
  <c r="I18" i="5"/>
  <c r="E20" i="5"/>
  <c r="I20" i="5"/>
  <c r="E22" i="5"/>
  <c r="I22" i="5"/>
  <c r="O4" i="5"/>
  <c r="AN5" i="3"/>
  <c r="AN6" i="3" s="1"/>
  <c r="G8" i="6"/>
  <c r="D11" i="6"/>
  <c r="H11" i="6"/>
  <c r="I12" i="6"/>
  <c r="C13" i="6"/>
  <c r="G13" i="6"/>
  <c r="C15" i="6"/>
  <c r="G15" i="6"/>
  <c r="E16" i="6"/>
  <c r="C17" i="6"/>
  <c r="N5" i="6"/>
  <c r="AT6" i="3"/>
  <c r="O5" i="7"/>
  <c r="O6" i="7" s="1"/>
  <c r="I20" i="7"/>
  <c r="I16" i="7"/>
  <c r="I12" i="7"/>
  <c r="I7" i="7"/>
  <c r="H22" i="7"/>
  <c r="H18" i="7"/>
  <c r="H14" i="7"/>
  <c r="H10" i="7"/>
  <c r="G20" i="7"/>
  <c r="G16" i="7"/>
  <c r="G12" i="7"/>
  <c r="G7" i="7"/>
  <c r="F22" i="7"/>
  <c r="F18" i="7"/>
  <c r="F14" i="7"/>
  <c r="F10" i="7"/>
  <c r="E20" i="7"/>
  <c r="E16" i="7"/>
  <c r="E12" i="7"/>
  <c r="E7" i="7"/>
  <c r="D22" i="7"/>
  <c r="D18" i="7"/>
  <c r="D14" i="7"/>
  <c r="D10" i="7"/>
  <c r="C20" i="7"/>
  <c r="C16" i="7"/>
  <c r="C12" i="7"/>
  <c r="C7" i="7"/>
  <c r="C9" i="7"/>
  <c r="M7" i="7"/>
  <c r="M11" i="7"/>
  <c r="M15" i="7"/>
  <c r="M19" i="7"/>
  <c r="L5" i="6"/>
  <c r="I4" i="6"/>
  <c r="H7" i="6"/>
  <c r="E8" i="6"/>
  <c r="AI5" i="3"/>
  <c r="AI6" i="3" s="1"/>
  <c r="F12" i="6"/>
  <c r="M16" i="6"/>
  <c r="I7" i="6"/>
  <c r="F8" i="6"/>
  <c r="B13" i="5"/>
  <c r="AP5" i="3"/>
  <c r="H5" i="3"/>
  <c r="C8" i="5"/>
  <c r="C12" i="5"/>
  <c r="C13" i="5"/>
  <c r="C14" i="5"/>
  <c r="C17" i="5"/>
  <c r="C20" i="5"/>
  <c r="B8" i="6"/>
  <c r="J8" i="6"/>
  <c r="N4" i="6"/>
  <c r="N6" i="6" s="1"/>
  <c r="B12" i="5"/>
  <c r="B20" i="5"/>
  <c r="M20" i="6"/>
  <c r="D4" i="5"/>
  <c r="F5" i="3"/>
  <c r="F6" i="3" s="1"/>
  <c r="AJ5" i="3"/>
  <c r="C8" i="6"/>
  <c r="F11" i="6"/>
  <c r="D12" i="6"/>
  <c r="I13" i="6"/>
  <c r="E15" i="6"/>
  <c r="C16" i="6"/>
  <c r="I21" i="6"/>
  <c r="P53" i="7"/>
  <c r="P39" i="7"/>
  <c r="P24" i="7"/>
  <c r="P6" i="7"/>
  <c r="K53" i="4"/>
  <c r="K39" i="4"/>
  <c r="K24" i="4"/>
  <c r="H53" i="4"/>
  <c r="H39" i="4"/>
  <c r="H24" i="4"/>
  <c r="F53" i="4"/>
  <c r="F39" i="4"/>
  <c r="F24" i="4"/>
  <c r="D53" i="4"/>
  <c r="D39" i="4"/>
  <c r="D24" i="4"/>
  <c r="B4" i="7"/>
  <c r="B53" i="4"/>
  <c r="B39" i="4"/>
  <c r="B24" i="4"/>
  <c r="L53" i="4"/>
  <c r="L39" i="4"/>
  <c r="L24" i="4"/>
  <c r="AJ53" i="4"/>
  <c r="AJ39" i="4"/>
  <c r="AJ24" i="4"/>
  <c r="AL53" i="4"/>
  <c r="AL39" i="4"/>
  <c r="AL24" i="4"/>
  <c r="AN53" i="4"/>
  <c r="AN39" i="4"/>
  <c r="AN24" i="4"/>
  <c r="AP53" i="4"/>
  <c r="AP39" i="4"/>
  <c r="AP24" i="4"/>
  <c r="AR53" i="4"/>
  <c r="AR39" i="4"/>
  <c r="AR24" i="4"/>
  <c r="AU53" i="4"/>
  <c r="AU39" i="4"/>
  <c r="AU24" i="4"/>
  <c r="B21" i="7"/>
  <c r="B19" i="7"/>
  <c r="B15" i="7"/>
  <c r="B13" i="7"/>
  <c r="B11" i="7"/>
  <c r="J5" i="4"/>
  <c r="O53" i="4"/>
  <c r="O39" i="4"/>
  <c r="O24" i="4"/>
  <c r="I53" i="4"/>
  <c r="I39" i="4"/>
  <c r="I24" i="4"/>
  <c r="G53" i="4"/>
  <c r="G39" i="4"/>
  <c r="G24" i="4"/>
  <c r="E53" i="4"/>
  <c r="E39" i="4"/>
  <c r="E24" i="4"/>
  <c r="J53" i="4"/>
  <c r="J39" i="4"/>
  <c r="J24" i="4"/>
  <c r="N53" i="4"/>
  <c r="N39" i="4"/>
  <c r="N24" i="4"/>
  <c r="AH53" i="4"/>
  <c r="AH39" i="4"/>
  <c r="AH24" i="4"/>
  <c r="AK53" i="4"/>
  <c r="AK39" i="4"/>
  <c r="AK24" i="4"/>
  <c r="AM53" i="4"/>
  <c r="AM39" i="4"/>
  <c r="AM24" i="4"/>
  <c r="AO53" i="4"/>
  <c r="AO39" i="4"/>
  <c r="AO24" i="4"/>
  <c r="AQ53" i="4"/>
  <c r="AQ39" i="4"/>
  <c r="AQ24" i="4"/>
  <c r="AT53" i="4"/>
  <c r="AT39" i="4"/>
  <c r="AT24" i="4"/>
  <c r="F5" i="4"/>
  <c r="AJ5" i="4"/>
  <c r="AJ6" i="4" s="1"/>
  <c r="AP5" i="4"/>
  <c r="AP6" i="4" s="1"/>
  <c r="AS5" i="4"/>
  <c r="AN5" i="4"/>
  <c r="AN6" i="4" s="1"/>
  <c r="B22" i="7"/>
  <c r="B20" i="7"/>
  <c r="B18" i="7"/>
  <c r="B16" i="7"/>
  <c r="B14" i="7"/>
  <c r="B12" i="7"/>
  <c r="B10" i="7"/>
  <c r="AM5" i="4"/>
  <c r="AM6" i="4" s="1"/>
  <c r="AK5" i="4"/>
  <c r="AK6" i="4" s="1"/>
  <c r="E5" i="4"/>
  <c r="D5" i="4"/>
  <c r="AS4" i="4"/>
  <c r="B7" i="7"/>
  <c r="B5" i="4"/>
  <c r="I5" i="4"/>
  <c r="H5" i="4"/>
  <c r="G5" i="4"/>
  <c r="AL5" i="4"/>
  <c r="AL6" i="4" s="1"/>
  <c r="AI5" i="4"/>
  <c r="AI6" i="4" s="1"/>
  <c r="C5" i="4"/>
  <c r="AS6" i="4"/>
  <c r="B6" i="4"/>
  <c r="B5" i="7"/>
  <c r="C6" i="4"/>
  <c r="M4" i="4"/>
  <c r="M5" i="4"/>
  <c r="AO5" i="4"/>
  <c r="AO6" i="4" s="1"/>
  <c r="R53" i="6"/>
  <c r="R39" i="6"/>
  <c r="R24" i="6"/>
  <c r="R6" i="6"/>
  <c r="U39" i="6"/>
  <c r="U6" i="6"/>
  <c r="U53" i="6"/>
  <c r="U24" i="6"/>
  <c r="X53" i="6"/>
  <c r="X39" i="6"/>
  <c r="X24" i="6"/>
  <c r="X6" i="6"/>
  <c r="Y39" i="6"/>
  <c r="Y6" i="6"/>
  <c r="Y53" i="6"/>
  <c r="Y24" i="6"/>
  <c r="Q39" i="6"/>
  <c r="Q6" i="6"/>
  <c r="Q53" i="6"/>
  <c r="Q24" i="6"/>
  <c r="V53" i="6"/>
  <c r="V39" i="6"/>
  <c r="V24" i="6"/>
  <c r="V6" i="6"/>
  <c r="D5" i="3"/>
  <c r="D6" i="3" s="1"/>
  <c r="AK5" i="3"/>
  <c r="AM5" i="3"/>
  <c r="G5" i="6" s="1"/>
  <c r="B15" i="6"/>
  <c r="D15" i="6"/>
  <c r="F15" i="6"/>
  <c r="H15" i="6"/>
  <c r="J15" i="6"/>
  <c r="B19" i="6"/>
  <c r="D19" i="6"/>
  <c r="F19" i="6"/>
  <c r="H19" i="6"/>
  <c r="B20" i="6"/>
  <c r="J19" i="6"/>
  <c r="D20" i="6"/>
  <c r="F20" i="6"/>
  <c r="B21" i="6"/>
  <c r="D21" i="6"/>
  <c r="F21" i="6"/>
  <c r="H21" i="6"/>
  <c r="J21" i="6"/>
  <c r="B22" i="6"/>
  <c r="D22" i="6"/>
  <c r="F22" i="6"/>
  <c r="H22" i="6"/>
  <c r="J22" i="6"/>
  <c r="L4" i="6"/>
  <c r="AU6" i="3"/>
  <c r="M12" i="6"/>
  <c r="M10" i="6"/>
  <c r="E4" i="6"/>
  <c r="G4" i="6"/>
  <c r="C11" i="6"/>
  <c r="E11" i="6"/>
  <c r="G11" i="6"/>
  <c r="I11" i="6"/>
  <c r="B14" i="6"/>
  <c r="D14" i="6"/>
  <c r="F14" i="6"/>
  <c r="H14" i="6"/>
  <c r="J14" i="6"/>
  <c r="I16" i="6"/>
  <c r="E17" i="6"/>
  <c r="G17" i="6"/>
  <c r="I17" i="6"/>
  <c r="C18" i="6"/>
  <c r="E18" i="6"/>
  <c r="G18" i="6"/>
  <c r="I18" i="6"/>
  <c r="C19" i="6"/>
  <c r="E19" i="6"/>
  <c r="G19" i="6"/>
  <c r="I19" i="6"/>
  <c r="M4" i="3"/>
  <c r="M8" i="6"/>
  <c r="AP6" i="3"/>
  <c r="H4" i="6"/>
  <c r="J4" i="6"/>
  <c r="K5" i="3"/>
  <c r="K5" i="6" s="1"/>
  <c r="O4" i="6"/>
  <c r="E7" i="6"/>
  <c r="G7" i="6"/>
  <c r="AL5" i="3"/>
  <c r="AL6" i="3" s="1"/>
  <c r="AO5" i="3"/>
  <c r="AO6" i="3" s="1"/>
  <c r="F10" i="6"/>
  <c r="H10" i="6"/>
  <c r="J10" i="6"/>
  <c r="B13" i="6"/>
  <c r="D13" i="6"/>
  <c r="F13" i="6"/>
  <c r="H13" i="6"/>
  <c r="J13" i="6"/>
  <c r="B16" i="6"/>
  <c r="B17" i="6"/>
  <c r="D17" i="6"/>
  <c r="F17" i="6"/>
  <c r="H17" i="6"/>
  <c r="J17" i="6"/>
  <c r="B18" i="6"/>
  <c r="D18" i="6"/>
  <c r="F18" i="6"/>
  <c r="H18" i="6"/>
  <c r="J18" i="6"/>
  <c r="C20" i="6"/>
  <c r="E20" i="6"/>
  <c r="G20" i="6"/>
  <c r="I20" i="6"/>
  <c r="C21" i="6"/>
  <c r="E21" i="6"/>
  <c r="G21" i="6"/>
  <c r="C22" i="6"/>
  <c r="E22" i="6"/>
  <c r="G22" i="6"/>
  <c r="I22" i="6"/>
  <c r="P4" i="6"/>
  <c r="M7" i="6"/>
  <c r="M21" i="6"/>
  <c r="M19" i="6"/>
  <c r="M17" i="6"/>
  <c r="M15" i="6"/>
  <c r="M13" i="6"/>
  <c r="M11" i="6"/>
  <c r="M9" i="6"/>
  <c r="S4" i="6"/>
  <c r="B4" i="6"/>
  <c r="G6" i="3"/>
  <c r="O6" i="3"/>
  <c r="O5" i="6"/>
  <c r="O6" i="6" s="1"/>
  <c r="B7" i="6"/>
  <c r="F7" i="6"/>
  <c r="J7" i="6"/>
  <c r="AM6" i="3"/>
  <c r="B12" i="6"/>
  <c r="J12" i="6"/>
  <c r="D16" i="6"/>
  <c r="F16" i="6"/>
  <c r="H16" i="6"/>
  <c r="J16" i="6"/>
  <c r="H20" i="6"/>
  <c r="J20" i="6"/>
  <c r="T4" i="6"/>
  <c r="AJ6" i="3"/>
  <c r="AK6" i="3"/>
  <c r="AS4" i="3"/>
  <c r="M4" i="6"/>
  <c r="H6" i="3"/>
  <c r="N6" i="3"/>
  <c r="M6" i="3" s="1"/>
  <c r="AQ6" i="3"/>
  <c r="C5" i="3"/>
  <c r="C6" i="3" s="1"/>
  <c r="M5" i="3"/>
  <c r="W4" i="6"/>
  <c r="B5" i="3"/>
  <c r="E5" i="3"/>
  <c r="I5" i="3"/>
  <c r="AR6" i="3"/>
  <c r="AS6" i="3" s="1"/>
  <c r="Z4" i="6"/>
  <c r="G11" i="5"/>
  <c r="B4" i="5"/>
  <c r="D11" i="5"/>
  <c r="I12" i="5"/>
  <c r="D13" i="5"/>
  <c r="G13" i="5"/>
  <c r="D14" i="5"/>
  <c r="F14" i="5"/>
  <c r="H14" i="5"/>
  <c r="J14" i="5"/>
  <c r="E14" i="5"/>
  <c r="I14" i="5"/>
  <c r="E15" i="5"/>
  <c r="E16" i="5"/>
  <c r="M22" i="5"/>
  <c r="M18" i="5"/>
  <c r="M16" i="5"/>
  <c r="M14" i="5"/>
  <c r="E5" i="1"/>
  <c r="E6" i="1" s="1"/>
  <c r="G5" i="1"/>
  <c r="G6" i="1" s="1"/>
  <c r="I5" i="1"/>
  <c r="I6" i="1" s="1"/>
  <c r="AJ5" i="1"/>
  <c r="AJ6" i="1" s="1"/>
  <c r="AL5" i="1"/>
  <c r="AL6" i="1" s="1"/>
  <c r="AN5" i="1"/>
  <c r="AN6" i="1" s="1"/>
  <c r="AP5" i="1"/>
  <c r="AP6" i="1" s="1"/>
  <c r="E8" i="5"/>
  <c r="B19" i="5"/>
  <c r="D19" i="5"/>
  <c r="B21" i="5"/>
  <c r="D21" i="5"/>
  <c r="D22" i="5"/>
  <c r="F22" i="5"/>
  <c r="H22" i="5"/>
  <c r="J22" i="5"/>
  <c r="B7" i="5"/>
  <c r="B5" i="1"/>
  <c r="B6" i="1" s="1"/>
  <c r="B53" i="1"/>
  <c r="B39" i="1"/>
  <c r="B24" i="1"/>
  <c r="D53" i="1"/>
  <c r="D39" i="1"/>
  <c r="D24" i="1"/>
  <c r="E53" i="1"/>
  <c r="E39" i="1"/>
  <c r="E24" i="1"/>
  <c r="F53" i="1"/>
  <c r="F39" i="1"/>
  <c r="F24" i="1"/>
  <c r="G53" i="1"/>
  <c r="G39" i="1"/>
  <c r="G24" i="1"/>
  <c r="H53" i="1"/>
  <c r="H39" i="1"/>
  <c r="H24" i="1"/>
  <c r="I53" i="1"/>
  <c r="I39" i="1"/>
  <c r="I24" i="1"/>
  <c r="J53" i="1"/>
  <c r="J39" i="1"/>
  <c r="J24" i="1"/>
  <c r="K53" i="1"/>
  <c r="K39" i="1"/>
  <c r="K24" i="1"/>
  <c r="K6" i="1"/>
  <c r="AR53" i="1"/>
  <c r="AR39" i="1"/>
  <c r="AR24" i="1"/>
  <c r="AR6" i="1"/>
  <c r="AU53" i="1"/>
  <c r="AU39" i="1"/>
  <c r="AU24" i="1"/>
  <c r="AU6" i="1"/>
  <c r="AH53" i="1"/>
  <c r="AH24" i="1"/>
  <c r="N4" i="5"/>
  <c r="N53" i="1"/>
  <c r="N39" i="1"/>
  <c r="N24" i="1"/>
  <c r="N6" i="1"/>
  <c r="D5" i="1"/>
  <c r="D6" i="1" s="1"/>
  <c r="F5" i="1"/>
  <c r="F6" i="1" s="1"/>
  <c r="H5" i="1"/>
  <c r="H6" i="1" s="1"/>
  <c r="J5" i="1"/>
  <c r="J6" i="1" s="1"/>
  <c r="AK5" i="1"/>
  <c r="AK6" i="1" s="1"/>
  <c r="AM5" i="1"/>
  <c r="AM6" i="1" s="1"/>
  <c r="AO5" i="1"/>
  <c r="AO6" i="1" s="1"/>
  <c r="D8" i="5"/>
  <c r="D10" i="5"/>
  <c r="F10" i="5"/>
  <c r="H10" i="5"/>
  <c r="J10" i="5"/>
  <c r="G10" i="5"/>
  <c r="E11" i="5"/>
  <c r="E12" i="5"/>
  <c r="D17" i="5"/>
  <c r="G17" i="5"/>
  <c r="D18" i="5"/>
  <c r="F18" i="5"/>
  <c r="H18" i="5"/>
  <c r="J18" i="5"/>
  <c r="E19" i="5"/>
  <c r="C21" i="5"/>
  <c r="AI5" i="1"/>
  <c r="AI6" i="1" s="1"/>
  <c r="AJ53" i="1"/>
  <c r="AJ39" i="1"/>
  <c r="AJ24" i="1"/>
  <c r="AK53" i="1"/>
  <c r="AK39" i="1"/>
  <c r="AK24" i="1"/>
  <c r="AL53" i="1"/>
  <c r="AL39" i="1"/>
  <c r="AL24" i="1"/>
  <c r="AM53" i="1"/>
  <c r="AM39" i="1"/>
  <c r="AM24" i="1"/>
  <c r="AN53" i="1"/>
  <c r="AN39" i="1"/>
  <c r="AN24" i="1"/>
  <c r="AO53" i="1"/>
  <c r="AO39" i="1"/>
  <c r="AO24" i="1"/>
  <c r="AP53" i="1"/>
  <c r="AP39" i="1"/>
  <c r="AP24" i="1"/>
  <c r="AQ53" i="1"/>
  <c r="AQ39" i="1"/>
  <c r="AQ24" i="1"/>
  <c r="AQ6" i="1"/>
  <c r="O6" i="1"/>
  <c r="O53" i="1"/>
  <c r="O39" i="1"/>
  <c r="O24" i="1"/>
  <c r="L6" i="1"/>
  <c r="L53" i="1"/>
  <c r="L39" i="1"/>
  <c r="L24" i="1"/>
  <c r="AT53" i="1"/>
  <c r="AT39" i="1"/>
  <c r="AT24" i="1"/>
  <c r="AT6" i="1"/>
  <c r="AH5" i="1"/>
  <c r="AH6" i="1" s="1"/>
  <c r="C5" i="1"/>
  <c r="C6" i="1" s="1"/>
  <c r="AS5" i="1"/>
  <c r="AS6" i="1" s="1"/>
  <c r="AS24" i="1"/>
  <c r="M5" i="1"/>
  <c r="D7" i="5"/>
  <c r="F7" i="5"/>
  <c r="H7" i="5"/>
  <c r="J7" i="5"/>
  <c r="D12" i="5"/>
  <c r="F12" i="5"/>
  <c r="H12" i="5"/>
  <c r="J12" i="5"/>
  <c r="E13" i="5"/>
  <c r="D16" i="5"/>
  <c r="F16" i="5"/>
  <c r="H16" i="5"/>
  <c r="J16" i="5"/>
  <c r="E17" i="5"/>
  <c r="C18" i="5"/>
  <c r="D20" i="5"/>
  <c r="F20" i="5"/>
  <c r="H20" i="5"/>
  <c r="J20" i="5"/>
  <c r="C22" i="5"/>
  <c r="H4" i="5"/>
  <c r="K4" i="5"/>
  <c r="C7" i="5"/>
  <c r="L5" i="5"/>
  <c r="F8" i="5"/>
  <c r="H8" i="5"/>
  <c r="J8" i="5"/>
  <c r="I8" i="5"/>
  <c r="E10" i="5"/>
  <c r="F11" i="5"/>
  <c r="H11" i="5"/>
  <c r="J11" i="5"/>
  <c r="I11" i="5"/>
  <c r="G12" i="5"/>
  <c r="F13" i="5"/>
  <c r="H13" i="5"/>
  <c r="J13" i="5"/>
  <c r="I13" i="5"/>
  <c r="G14" i="5"/>
  <c r="F15" i="5"/>
  <c r="H15" i="5"/>
  <c r="J15" i="5"/>
  <c r="I15" i="5"/>
  <c r="G16" i="5"/>
  <c r="F17" i="5"/>
  <c r="H17" i="5"/>
  <c r="J17" i="5"/>
  <c r="I17" i="5"/>
  <c r="G18" i="5"/>
  <c r="F19" i="5"/>
  <c r="H19" i="5"/>
  <c r="J19" i="5"/>
  <c r="I19" i="5"/>
  <c r="G20" i="5"/>
  <c r="F21" i="5"/>
  <c r="H21" i="5"/>
  <c r="J21" i="5"/>
  <c r="F4" i="5"/>
  <c r="G4" i="5"/>
  <c r="P5" i="5"/>
  <c r="T5" i="5"/>
  <c r="G8" i="5"/>
  <c r="G7" i="5"/>
  <c r="I10" i="5"/>
  <c r="E4" i="5"/>
  <c r="I4" i="5"/>
  <c r="M4" i="1"/>
  <c r="M20" i="5"/>
  <c r="M12" i="5"/>
  <c r="R5" i="5"/>
  <c r="Y5" i="5"/>
  <c r="K5" i="5"/>
  <c r="O5" i="5"/>
  <c r="S5" i="5"/>
  <c r="X5" i="5"/>
  <c r="I7" i="5"/>
  <c r="E7" i="5"/>
  <c r="AS39" i="1" l="1"/>
  <c r="E5" i="5"/>
  <c r="E6" i="5" s="1"/>
  <c r="J6" i="3"/>
  <c r="K6" i="6"/>
  <c r="M4" i="7"/>
  <c r="H5" i="6"/>
  <c r="H6" i="6" s="1"/>
  <c r="K6" i="7"/>
  <c r="L6" i="5"/>
  <c r="D5" i="7"/>
  <c r="D6" i="7" s="1"/>
  <c r="M5" i="7"/>
  <c r="E5" i="7"/>
  <c r="E6" i="7" s="1"/>
  <c r="O6" i="5"/>
  <c r="M5" i="6"/>
  <c r="M6" i="6" s="1"/>
  <c r="C5" i="7"/>
  <c r="C6" i="7" s="1"/>
  <c r="H6" i="4"/>
  <c r="H5" i="7"/>
  <c r="H6" i="7" s="1"/>
  <c r="F6" i="4"/>
  <c r="F5" i="7"/>
  <c r="F6" i="7" s="1"/>
  <c r="J6" i="4"/>
  <c r="J5" i="7"/>
  <c r="J6" i="7" s="1"/>
  <c r="I6" i="4"/>
  <c r="I5" i="7"/>
  <c r="I6" i="7" s="1"/>
  <c r="M6" i="4"/>
  <c r="E6" i="4"/>
  <c r="G6" i="4"/>
  <c r="G5" i="7"/>
  <c r="G6" i="7" s="1"/>
  <c r="K6" i="5"/>
  <c r="L6" i="6"/>
  <c r="J6" i="6"/>
  <c r="C5" i="5"/>
  <c r="C6" i="5" s="1"/>
  <c r="M5" i="5"/>
  <c r="D6" i="4"/>
  <c r="I5" i="5"/>
  <c r="I6" i="5" s="1"/>
  <c r="G5" i="5"/>
  <c r="G6" i="5" s="1"/>
  <c r="H5" i="5"/>
  <c r="H6" i="5" s="1"/>
  <c r="G6" i="6"/>
  <c r="B6" i="7"/>
  <c r="D5" i="6"/>
  <c r="D6" i="6" s="1"/>
  <c r="B5" i="5"/>
  <c r="B6" i="5" s="1"/>
  <c r="M53" i="4"/>
  <c r="M39" i="4"/>
  <c r="M24" i="4"/>
  <c r="AS53" i="4"/>
  <c r="AS39" i="4"/>
  <c r="AS24" i="4"/>
  <c r="W53" i="6"/>
  <c r="W24" i="6"/>
  <c r="W39" i="6"/>
  <c r="W6" i="6"/>
  <c r="T53" i="6"/>
  <c r="T39" i="6"/>
  <c r="T24" i="6"/>
  <c r="T6" i="6"/>
  <c r="P53" i="6"/>
  <c r="P39" i="6"/>
  <c r="P24" i="6"/>
  <c r="P6" i="6"/>
  <c r="Z53" i="6"/>
  <c r="Z39" i="6"/>
  <c r="Z24" i="6"/>
  <c r="Z6" i="6"/>
  <c r="S53" i="6"/>
  <c r="S24" i="6"/>
  <c r="S39" i="6"/>
  <c r="S6" i="6"/>
  <c r="C5" i="6"/>
  <c r="C6" i="6" s="1"/>
  <c r="K6" i="3"/>
  <c r="F5" i="6"/>
  <c r="F6" i="6" s="1"/>
  <c r="E5" i="6"/>
  <c r="E6" i="6" s="1"/>
  <c r="E6" i="3"/>
  <c r="I5" i="6"/>
  <c r="I6" i="6" s="1"/>
  <c r="I6" i="3"/>
  <c r="B6" i="3"/>
  <c r="B5" i="6"/>
  <c r="B6" i="6" s="1"/>
  <c r="N6" i="5"/>
  <c r="M6" i="1"/>
  <c r="M4" i="5"/>
  <c r="M53" i="1"/>
  <c r="M39" i="1"/>
  <c r="M24" i="1"/>
  <c r="D5" i="5"/>
  <c r="D6" i="5" s="1"/>
  <c r="J5" i="5"/>
  <c r="J6" i="5" s="1"/>
  <c r="F5" i="5"/>
  <c r="F6" i="5" s="1"/>
  <c r="Q6" i="1"/>
  <c r="S6" i="1"/>
  <c r="U6" i="1"/>
  <c r="W6" i="1"/>
  <c r="Y6" i="1"/>
  <c r="P6" i="1"/>
  <c r="R6" i="1"/>
  <c r="T6" i="1"/>
  <c r="V6" i="1"/>
  <c r="X6" i="1"/>
  <c r="Z6" i="1"/>
  <c r="X53" i="1"/>
  <c r="W53" i="1"/>
  <c r="V53" i="1"/>
  <c r="S53" i="1"/>
  <c r="Q53" i="1"/>
  <c r="Z53" i="1"/>
  <c r="Y53" i="1"/>
  <c r="U53" i="1"/>
  <c r="T53" i="1"/>
  <c r="P53" i="1"/>
  <c r="R53" i="1"/>
  <c r="Z39" i="1"/>
  <c r="Y24" i="1"/>
  <c r="Y39" i="1"/>
  <c r="X39" i="1"/>
  <c r="X24" i="1"/>
  <c r="U24" i="1"/>
  <c r="U39" i="1"/>
  <c r="Q24" i="1"/>
  <c r="Q39" i="1"/>
  <c r="W24" i="1"/>
  <c r="W39" i="1"/>
  <c r="V39" i="1"/>
  <c r="S39" i="1"/>
  <c r="P24" i="1"/>
  <c r="P39" i="1"/>
  <c r="R24" i="1"/>
  <c r="R39" i="1"/>
  <c r="V24" i="1"/>
  <c r="S24" i="1"/>
  <c r="Z24" i="1"/>
  <c r="T24" i="1"/>
  <c r="T39" i="1"/>
  <c r="AW6" i="1"/>
  <c r="Q4" i="5"/>
  <c r="AY6" i="1"/>
  <c r="S4" i="5"/>
  <c r="BC6" i="1"/>
  <c r="W4" i="5"/>
  <c r="BE6" i="1"/>
  <c r="Y4" i="5"/>
  <c r="U4" i="5"/>
  <c r="BA6" i="1"/>
  <c r="AZ6" i="1"/>
  <c r="T4" i="5"/>
  <c r="BB6" i="1"/>
  <c r="V4" i="5"/>
  <c r="BD6" i="1"/>
  <c r="X4" i="5"/>
  <c r="AX6" i="1"/>
  <c r="R4" i="5"/>
  <c r="BF6" i="1"/>
  <c r="AV6" i="1"/>
  <c r="P4" i="5"/>
  <c r="AV53" i="1"/>
  <c r="AW39" i="1"/>
  <c r="BF39" i="1"/>
  <c r="BA53" i="1"/>
  <c r="AY53" i="1"/>
  <c r="BD39" i="1"/>
  <c r="AZ53" i="1"/>
  <c r="AW53" i="1"/>
  <c r="BB53" i="1"/>
  <c r="AW24" i="1"/>
  <c r="BB24" i="1"/>
  <c r="BB39" i="1"/>
  <c r="BC39" i="1"/>
  <c r="AY39" i="1"/>
  <c r="AX39" i="1"/>
  <c r="AY24" i="1"/>
  <c r="S26" i="5" s="1"/>
  <c r="AV24" i="1"/>
  <c r="AV39" i="1"/>
  <c r="BA24" i="1"/>
  <c r="U26" i="5" s="1"/>
  <c r="BA39" i="1"/>
  <c r="U31" i="5" s="1"/>
  <c r="BE39" i="1"/>
  <c r="BF24" i="1"/>
  <c r="BF53" i="1"/>
  <c r="BC24" i="1"/>
  <c r="BC53" i="1"/>
  <c r="AX24" i="1"/>
  <c r="AX53" i="1"/>
  <c r="BE24" i="1"/>
  <c r="BE53" i="1"/>
  <c r="AZ24" i="1"/>
  <c r="AZ39" i="1"/>
  <c r="BD24" i="1"/>
  <c r="BD53" i="1"/>
  <c r="M6" i="7" l="1"/>
  <c r="Q31" i="5"/>
  <c r="V62" i="5"/>
  <c r="R31" i="5"/>
  <c r="T31" i="5"/>
  <c r="T62" i="5"/>
  <c r="W26" i="5"/>
  <c r="Q62" i="5"/>
  <c r="X62" i="5"/>
  <c r="P31" i="5"/>
  <c r="W62" i="5"/>
  <c r="P26" i="5"/>
  <c r="P62" i="5"/>
  <c r="Q26" i="5"/>
  <c r="Y26" i="5"/>
  <c r="Y31" i="5"/>
  <c r="W31" i="5"/>
  <c r="S62" i="5"/>
  <c r="V26" i="5"/>
  <c r="Z31" i="5"/>
  <c r="V31" i="5"/>
  <c r="U62" i="5"/>
  <c r="R62" i="5"/>
  <c r="R26" i="5"/>
  <c r="T26" i="5"/>
  <c r="Z62" i="5"/>
  <c r="X26" i="5"/>
  <c r="Y62" i="5"/>
  <c r="Z26" i="5"/>
  <c r="S31" i="5"/>
  <c r="X31" i="5"/>
  <c r="P24" i="5"/>
  <c r="P53" i="5"/>
  <c r="P39" i="5"/>
  <c r="U53" i="5"/>
  <c r="U39" i="5"/>
  <c r="R24" i="5"/>
  <c r="R39" i="5"/>
  <c r="R53" i="5"/>
  <c r="X24" i="5"/>
  <c r="X39" i="5"/>
  <c r="X53" i="5"/>
  <c r="V53" i="5"/>
  <c r="V39" i="5"/>
  <c r="T24" i="5"/>
  <c r="T53" i="5"/>
  <c r="T39" i="5"/>
  <c r="Y24" i="5"/>
  <c r="Y53" i="5"/>
  <c r="Y39" i="5"/>
  <c r="W53" i="5"/>
  <c r="W39" i="5"/>
  <c r="S24" i="5"/>
  <c r="S53" i="5"/>
  <c r="S39" i="5"/>
  <c r="Q53" i="5"/>
  <c r="Q39" i="5"/>
  <c r="U24" i="5"/>
  <c r="U6" i="5"/>
  <c r="X6" i="5"/>
  <c r="Y6" i="5"/>
  <c r="M6" i="5"/>
  <c r="V24" i="5"/>
  <c r="V6" i="5"/>
  <c r="W24" i="5"/>
  <c r="W6" i="5"/>
  <c r="Q24" i="5"/>
  <c r="Q6" i="5"/>
  <c r="R6" i="5"/>
  <c r="P6" i="5"/>
  <c r="T6" i="5"/>
  <c r="S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jennifer berg</author>
  </authors>
  <commentList>
    <comment ref="M3" authorId="0" shapeId="0" xr:uid="{00000000-0006-0000-0100-000001000000}">
      <text>
        <r>
          <rPr>
            <b/>
            <sz val="8"/>
            <color indexed="81"/>
            <rFont val="Tahoma"/>
            <family val="2"/>
          </rPr>
          <t xml:space="preserve">extrapolated
</t>
        </r>
      </text>
    </comment>
    <comment ref="AS3" authorId="1" shapeId="0" xr:uid="{00000000-0006-0000-0100-000002000000}">
      <text>
        <r>
          <rPr>
            <b/>
            <sz val="8"/>
            <color indexed="81"/>
            <rFont val="Tahoma"/>
            <family val="2"/>
          </rPr>
          <t>jmarks:
extrapolated</t>
        </r>
      </text>
    </comment>
    <comment ref="G4" authorId="2" shapeId="0" xr:uid="{00000000-0006-0000-0100-000003000000}">
      <text>
        <r>
          <rPr>
            <b/>
            <sz val="8"/>
            <color indexed="81"/>
            <rFont val="Tahoma"/>
            <family val="2"/>
          </rPr>
          <t>no 89-90 Virgin Islands data so could not subtract it from US total (same throughout all sections)</t>
        </r>
      </text>
    </comment>
    <comment ref="I4" authorId="2" shapeId="0" xr:uid="{00000000-0006-0000-0100-000004000000}">
      <text>
        <r>
          <rPr>
            <b/>
            <sz val="8"/>
            <color indexed="81"/>
            <rFont val="Tahoma"/>
            <family val="2"/>
          </rPr>
          <t>Puerto Rico is only outlying area subtracted from 91-92 US total b/c no other data available (same throughout all sections of data)</t>
        </r>
      </text>
    </comment>
    <comment ref="AI9" authorId="0" shapeId="0" xr:uid="{00000000-0006-0000-0100-000005000000}">
      <text>
        <r>
          <rPr>
            <b/>
            <sz val="8"/>
            <color indexed="81"/>
            <rFont val="Tahoma"/>
            <family val="2"/>
          </rPr>
          <t>jmarks:</t>
        </r>
        <r>
          <rPr>
            <sz val="8"/>
            <color indexed="81"/>
            <rFont val="Tahoma"/>
            <family val="2"/>
          </rPr>
          <t xml:space="preserve">
extrapolated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berg</author>
  </authors>
  <commentList>
    <comment ref="C4" authorId="0" shapeId="0" xr:uid="{00000000-0006-0000-0200-000001000000}">
      <text>
        <r>
          <rPr>
            <b/>
            <sz val="8"/>
            <color indexed="81"/>
            <rFont val="Tahoma"/>
            <family val="2"/>
          </rPr>
          <t>nothing subtracted from total b/c not sure where data came from</t>
        </r>
      </text>
    </comment>
    <comment ref="G4" authorId="0" shapeId="0" xr:uid="{00000000-0006-0000-0200-000002000000}">
      <text>
        <r>
          <rPr>
            <b/>
            <sz val="8"/>
            <color indexed="81"/>
            <rFont val="Tahoma"/>
            <family val="2"/>
          </rPr>
          <t>no 89-90 Virgin Islands data so could not subtract it from US total (same throughout all sections)</t>
        </r>
      </text>
    </comment>
    <comment ref="I4" authorId="0" shapeId="0" xr:uid="{00000000-0006-0000-0200-000003000000}">
      <text>
        <r>
          <rPr>
            <b/>
            <sz val="8"/>
            <color indexed="81"/>
            <rFont val="Tahoma"/>
            <family val="2"/>
          </rPr>
          <t>Puerto Rico is only outlying area subtracted from 91-92 US total b/c no other data available (same throughout all sections of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mloverde</author>
    <author>jmarks</author>
  </authors>
  <commentList>
    <comment ref="AS3" authorId="0" shapeId="0" xr:uid="{00000000-0006-0000-0300-000001000000}">
      <text>
        <r>
          <rPr>
            <b/>
            <sz val="8"/>
            <color indexed="81"/>
            <rFont val="Tahoma"/>
            <family val="2"/>
          </rPr>
          <t>extrapolated</t>
        </r>
      </text>
    </comment>
    <comment ref="C9" authorId="1" shapeId="0" xr:uid="{00000000-0006-0000-0300-000002000000}">
      <text>
        <r>
          <rPr>
            <b/>
            <sz val="8"/>
            <color indexed="81"/>
            <rFont val="Tahoma"/>
            <family val="2"/>
          </rPr>
          <t>jmarks:</t>
        </r>
        <r>
          <rPr>
            <sz val="8"/>
            <color indexed="81"/>
            <rFont val="Tahoma"/>
            <family val="2"/>
          </rPr>
          <t xml:space="preserve">
extrapolated
</t>
        </r>
      </text>
    </comment>
    <comment ref="AI9" authorId="1" shapeId="0" xr:uid="{00000000-0006-0000-0300-000003000000}">
      <text>
        <r>
          <rPr>
            <b/>
            <sz val="8"/>
            <color indexed="81"/>
            <rFont val="Tahoma"/>
            <family val="2"/>
          </rPr>
          <t>jmarks:</t>
        </r>
        <r>
          <rPr>
            <sz val="8"/>
            <color indexed="81"/>
            <rFont val="Tahoma"/>
            <family val="2"/>
          </rPr>
          <t xml:space="preserve">
extrapolated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M3" authorId="0" shapeId="0" xr:uid="{00000000-0006-0000-0400-000001000000}">
      <text>
        <r>
          <rPr>
            <b/>
            <sz val="8"/>
            <color indexed="81"/>
            <rFont val="Tahoma"/>
            <family val="2"/>
          </rPr>
          <t>jmarks:</t>
        </r>
        <r>
          <rPr>
            <sz val="8"/>
            <color indexed="81"/>
            <rFont val="Tahoma"/>
            <family val="2"/>
          </rPr>
          <t xml:space="preserve">
extrapolated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s>
  <commentList>
    <comment ref="M3" authorId="0" shapeId="0" xr:uid="{00000000-0006-0000-0500-000001000000}">
      <text>
        <r>
          <rPr>
            <b/>
            <sz val="8"/>
            <color indexed="81"/>
            <rFont val="Tahoma"/>
            <family val="2"/>
          </rPr>
          <t>jmarks:</t>
        </r>
        <r>
          <rPr>
            <sz val="8"/>
            <color indexed="81"/>
            <rFont val="Tahoma"/>
            <family val="2"/>
          </rPr>
          <t xml:space="preserve">
extrapolated</t>
        </r>
      </text>
    </comment>
    <comment ref="AS3" authorId="1" shapeId="0" xr:uid="{00000000-0006-0000-0500-000002000000}">
      <text>
        <r>
          <rPr>
            <b/>
            <sz val="8"/>
            <color indexed="81"/>
            <rFont val="Tahoma"/>
            <family val="2"/>
          </rPr>
          <t>extrapolated</t>
        </r>
        <r>
          <rPr>
            <sz val="8"/>
            <color indexed="81"/>
            <rFont val="Tahoma"/>
            <family val="2"/>
          </rPr>
          <t xml:space="preserve">
</t>
        </r>
      </text>
    </comment>
    <comment ref="C9" authorId="0" shapeId="0" xr:uid="{00000000-0006-0000-0500-000003000000}">
      <text>
        <r>
          <rPr>
            <b/>
            <sz val="8"/>
            <color indexed="81"/>
            <rFont val="Tahoma"/>
            <family val="2"/>
          </rPr>
          <t>jmarks:</t>
        </r>
        <r>
          <rPr>
            <sz val="8"/>
            <color indexed="81"/>
            <rFont val="Tahoma"/>
            <family val="2"/>
          </rPr>
          <t xml:space="preserve">
extrapolated
</t>
        </r>
      </text>
    </comment>
    <comment ref="AI9" authorId="0" shapeId="0" xr:uid="{00000000-0006-0000-0500-000004000000}">
      <text>
        <r>
          <rPr>
            <b/>
            <sz val="8"/>
            <color indexed="81"/>
            <rFont val="Tahoma"/>
            <family val="2"/>
          </rPr>
          <t>jmarks:</t>
        </r>
        <r>
          <rPr>
            <sz val="8"/>
            <color indexed="81"/>
            <rFont val="Tahoma"/>
            <family val="2"/>
          </rPr>
          <t xml:space="preserve">
extrapolated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s>
  <commentList>
    <comment ref="M2" authorId="0" shapeId="0" xr:uid="{00000000-0006-0000-0600-000001000000}">
      <text>
        <r>
          <rPr>
            <b/>
            <sz val="8"/>
            <color indexed="81"/>
            <rFont val="Tahoma"/>
            <family val="2"/>
          </rPr>
          <t>jmarks:</t>
        </r>
        <r>
          <rPr>
            <sz val="8"/>
            <color indexed="81"/>
            <rFont val="Tahoma"/>
            <family val="2"/>
          </rPr>
          <t xml:space="preserve">
extrapolated</t>
        </r>
      </text>
    </comment>
    <comment ref="AO2" authorId="1" shapeId="0" xr:uid="{00000000-0006-0000-0600-000002000000}">
      <text>
        <r>
          <rPr>
            <b/>
            <sz val="8"/>
            <color indexed="81"/>
            <rFont val="Tahoma"/>
            <family val="2"/>
          </rPr>
          <t>extrapolated</t>
        </r>
        <r>
          <rPr>
            <sz val="8"/>
            <color indexed="81"/>
            <rFont val="Tahoma"/>
            <family val="2"/>
          </rPr>
          <t xml:space="preserve">
</t>
        </r>
      </text>
    </comment>
    <comment ref="M3" authorId="0" shapeId="0" xr:uid="{00000000-0006-0000-0600-000003000000}">
      <text>
        <r>
          <rPr>
            <b/>
            <sz val="8"/>
            <color indexed="81"/>
            <rFont val="Tahoma"/>
            <family val="2"/>
          </rPr>
          <t>jmarks:</t>
        </r>
        <r>
          <rPr>
            <sz val="8"/>
            <color indexed="81"/>
            <rFont val="Tahoma"/>
            <family val="2"/>
          </rPr>
          <t xml:space="preserve">
extrapolated</t>
        </r>
      </text>
    </comment>
  </commentList>
</comments>
</file>

<file path=xl/sharedStrings.xml><?xml version="1.0" encoding="utf-8"?>
<sst xmlns="http://schemas.openxmlformats.org/spreadsheetml/2006/main" count="2165" uniqueCount="261">
  <si>
    <t>Federal</t>
  </si>
  <si>
    <t>Campus-Based</t>
  </si>
  <si>
    <t>Financial Aid*</t>
  </si>
  <si>
    <t>College Work Study Program</t>
  </si>
  <si>
    <t>Perkins Loans -- (National Direct Student Loans until 1987)----------------</t>
  </si>
  <si>
    <t>Supplemental Educational Opportunity Grants</t>
  </si>
  <si>
    <t>Recipients</t>
  </si>
  <si>
    <t>1982-83</t>
  </si>
  <si>
    <t>1985-86</t>
  </si>
  <si>
    <t>1986-87</t>
  </si>
  <si>
    <t>1987-88</t>
  </si>
  <si>
    <t>1988-89</t>
  </si>
  <si>
    <t>1989-90</t>
  </si>
  <si>
    <t>1990-91</t>
  </si>
  <si>
    <t>1991-92</t>
  </si>
  <si>
    <t>1992-93</t>
  </si>
  <si>
    <t>1993-94</t>
  </si>
  <si>
    <t>1994-95</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</si>
  <si>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</si>
  <si>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</si>
  <si>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</si>
  <si>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</si>
  <si>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</si>
  <si>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</si>
  <si>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</si>
  <si>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</si>
  <si>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</si>
  <si>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</si>
  <si>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</si>
  <si>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</si>
  <si>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</si>
  <si>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</si>
  <si>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</si>
  <si>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 Columns</t>
  </si>
  <si>
    <t>"Distribution</t>
  </si>
  <si>
    <t>U.S.</t>
  </si>
  <si>
    <t>Distribution</t>
  </si>
  <si>
    <t>from the</t>
  </si>
  <si>
    <t>of</t>
  </si>
  <si>
    <t>Dept of</t>
  </si>
  <si>
    <t>"Distribution"</t>
  </si>
  <si>
    <t>Awards</t>
  </si>
  <si>
    <t>Education,</t>
  </si>
  <si>
    <t>reports</t>
  </si>
  <si>
    <t>in the</t>
  </si>
  <si>
    <t>Office</t>
  </si>
  <si>
    <t>represent</t>
  </si>
  <si>
    <t>total</t>
  </si>
  <si>
    <t>Programs</t>
  </si>
  <si>
    <t>Student</t>
  </si>
  <si>
    <t>from all</t>
  </si>
  <si>
    <t>for</t>
  </si>
  <si>
    <t>Financial</t>
  </si>
  <si>
    <t>sources</t>
  </si>
  <si>
    <t>1982-83,"</t>
  </si>
  <si>
    <t>Assistance,</t>
  </si>
  <si>
    <t>1986-87,"</t>
  </si>
  <si>
    <t>1987-88,"</t>
  </si>
  <si>
    <t>1988-89,"</t>
  </si>
  <si>
    <t>1989-90,"</t>
  </si>
  <si>
    <t>1990-91,"</t>
  </si>
  <si>
    <t>1991-92,"</t>
  </si>
  <si>
    <t>1992-93,"</t>
  </si>
  <si>
    <t>of funds;</t>
  </si>
  <si>
    <t>information</t>
  </si>
  <si>
    <t>"Notification</t>
  </si>
  <si>
    <t>Division</t>
  </si>
  <si>
    <t>the total</t>
  </si>
  <si>
    <t>received</t>
  </si>
  <si>
    <t>to</t>
  </si>
  <si>
    <t>of Policy</t>
  </si>
  <si>
    <t>of Analysis</t>
  </si>
  <si>
    <t>Members</t>
  </si>
  <si>
    <t xml:space="preserve">and </t>
  </si>
  <si>
    <t>"Notification"</t>
  </si>
  <si>
    <t>Program</t>
  </si>
  <si>
    <t>Forecasting,</t>
  </si>
  <si>
    <t>Congress,</t>
  </si>
  <si>
    <t>Development,</t>
  </si>
  <si>
    <t>U. S.</t>
  </si>
  <si>
    <t>contain</t>
  </si>
  <si>
    <t>1986,"</t>
  </si>
  <si>
    <t>Department</t>
  </si>
  <si>
    <t>federal</t>
  </si>
  <si>
    <t>advance</t>
  </si>
  <si>
    <t>funds</t>
  </si>
  <si>
    <t>data</t>
  </si>
  <si>
    <t>only.  We</t>
  </si>
  <si>
    <t>(1986).</t>
  </si>
  <si>
    <t>February</t>
  </si>
  <si>
    <t>April</t>
  </si>
  <si>
    <t>need to</t>
  </si>
  <si>
    <t>1993.</t>
  </si>
  <si>
    <t>1994.</t>
  </si>
  <si>
    <t>separate</t>
  </si>
  <si>
    <t>1992.</t>
  </si>
  <si>
    <t>the</t>
  </si>
  <si>
    <t>September</t>
  </si>
  <si>
    <t>July</t>
  </si>
  <si>
    <t>and</t>
  </si>
  <si>
    <t>1988.</t>
  </si>
  <si>
    <t>1990.</t>
  </si>
  <si>
    <t>1991.</t>
  </si>
  <si>
    <t>develop</t>
  </si>
  <si>
    <t>two</t>
  </si>
  <si>
    <t>series of</t>
  </si>
  <si>
    <t>these</t>
  </si>
  <si>
    <t>data.</t>
  </si>
  <si>
    <t>Opportunity Grants</t>
  </si>
  <si>
    <t>Percent</t>
  </si>
  <si>
    <t>October</t>
  </si>
  <si>
    <t>1996</t>
  </si>
  <si>
    <t>1995</t>
  </si>
  <si>
    <t>Delaware</t>
  </si>
  <si>
    <t>1996-97</t>
  </si>
  <si>
    <t>1997-98</t>
  </si>
  <si>
    <t>SREB states</t>
  </si>
  <si>
    <t>College Work/</t>
  </si>
  <si>
    <t xml:space="preserve"> </t>
  </si>
  <si>
    <t>Campus-</t>
  </si>
  <si>
    <t>Based</t>
  </si>
  <si>
    <t>of Awards</t>
  </si>
  <si>
    <t>for 1997-</t>
  </si>
  <si>
    <t>Book 1999.</t>
  </si>
  <si>
    <t>Forecasting</t>
  </si>
  <si>
    <t>&amp; Policy</t>
  </si>
  <si>
    <t>Analysis</t>
  </si>
  <si>
    <t>Unit, U.S.</t>
  </si>
  <si>
    <t>Dept. of</t>
  </si>
  <si>
    <t>May</t>
  </si>
  <si>
    <t>p. 3-14.</t>
  </si>
  <si>
    <t>p. 3-16.</t>
  </si>
  <si>
    <t>1998-99</t>
  </si>
  <si>
    <t>for 1998-</t>
  </si>
  <si>
    <t>Book 2000.</t>
  </si>
  <si>
    <t>August</t>
  </si>
  <si>
    <t>1999-2000</t>
  </si>
  <si>
    <t>Perkins Loans</t>
  </si>
  <si>
    <t>Notes:</t>
  </si>
  <si>
    <t>Federal Perkins Loans are low-interest (5 percent) loans for undergraduate and graduate students with exceptional financial need. (Perkins Loans were called National Direct Student Loans until 1987.)</t>
  </si>
  <si>
    <t>Amount (in thousands)</t>
  </si>
  <si>
    <t>2000-01</t>
  </si>
  <si>
    <t>Alaska</t>
  </si>
  <si>
    <t>Arizona</t>
  </si>
  <si>
    <t>California</t>
  </si>
  <si>
    <t>Colorado</t>
  </si>
  <si>
    <t>Connecticut</t>
  </si>
  <si>
    <t>District of Columbia</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</si>
  <si>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</si>
  <si>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</si>
  <si>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</si>
  <si>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</si>
  <si>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</si>
  <si>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</si>
  <si>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</si>
  <si>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</si>
  <si>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</si>
  <si>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</si>
  <si>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</si>
  <si>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</si>
  <si>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</si>
  <si>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</si>
  <si>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</si>
  <si>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</si>
  <si>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</si>
  <si>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</si>
  <si>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</si>
  <si>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</si>
  <si>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</si>
  <si>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</si>
  <si>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</si>
  <si>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</si>
  <si>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</si>
  <si>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</si>
  <si>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</si>
  <si>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</si>
  <si>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</si>
  <si>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1995-96</t>
  </si>
  <si>
    <t>December</t>
  </si>
  <si>
    <t>Book 2001.</t>
  </si>
  <si>
    <t>Book 2002.</t>
  </si>
  <si>
    <t>for 2000-</t>
  </si>
  <si>
    <t>for 1999-</t>
  </si>
  <si>
    <t>November</t>
  </si>
  <si>
    <t>figures are</t>
  </si>
  <si>
    <t>an exptrapo-</t>
  </si>
  <si>
    <t xml:space="preserve">lation using </t>
  </si>
  <si>
    <t>1994 &amp; 1996</t>
  </si>
  <si>
    <t>as references</t>
  </si>
  <si>
    <t>Supplemental Educational</t>
  </si>
  <si>
    <t>Average Amount Per Recipient</t>
  </si>
  <si>
    <t>Federal Campus-Based Financial Aid to Students</t>
  </si>
  <si>
    <t>2001-02</t>
  </si>
  <si>
    <t>2002-03</t>
  </si>
  <si>
    <t>US Dept.</t>
  </si>
  <si>
    <t>of Ed</t>
  </si>
  <si>
    <t xml:space="preserve">Campus </t>
  </si>
  <si>
    <t xml:space="preserve">Programs </t>
  </si>
  <si>
    <t>Data Book</t>
  </si>
  <si>
    <t>Office of</t>
  </si>
  <si>
    <t>Postsecondary</t>
  </si>
  <si>
    <t>Education</t>
  </si>
  <si>
    <t>2003-04</t>
  </si>
  <si>
    <t>2004-05</t>
  </si>
  <si>
    <t>2005-06</t>
  </si>
  <si>
    <t>Change</t>
  </si>
  <si>
    <t>Recipient data</t>
  </si>
  <si>
    <t>2006-07</t>
  </si>
  <si>
    <t>Federal Supplemental Educational Opportunity Grants are for undergraduates with exceptional financial need — those with the lowest expected family contribution. The program gives priority to students who also receive Pell Grants.</t>
  </si>
  <si>
    <t>2007-08</t>
  </si>
  <si>
    <t xml:space="preserve">only.  </t>
  </si>
  <si>
    <t>only.</t>
  </si>
  <si>
    <t>Sources:</t>
  </si>
  <si>
    <t>2008-09</t>
  </si>
  <si>
    <t>50 states and D.C.</t>
  </si>
  <si>
    <t xml:space="preserve">   as a percent of U.S.</t>
  </si>
  <si>
    <t xml:space="preserve">    as a percent of U.S.</t>
  </si>
  <si>
    <t>West</t>
  </si>
  <si>
    <t>Midwest</t>
  </si>
  <si>
    <t>Northeast</t>
  </si>
  <si>
    <t>2009-10</t>
  </si>
  <si>
    <r>
      <t xml:space="preserve">98, </t>
    </r>
    <r>
      <rPr>
        <i/>
        <sz val="10"/>
        <rFont val="Arial"/>
        <family val="2"/>
      </rPr>
      <t>Data</t>
    </r>
  </si>
  <si>
    <r>
      <t xml:space="preserve">99, </t>
    </r>
    <r>
      <rPr>
        <i/>
        <sz val="10"/>
        <rFont val="Arial"/>
        <family val="2"/>
      </rPr>
      <t>Data</t>
    </r>
  </si>
  <si>
    <r>
      <t xml:space="preserve">2000, </t>
    </r>
    <r>
      <rPr>
        <i/>
        <sz val="10"/>
        <rFont val="Arial"/>
        <family val="2"/>
      </rPr>
      <t>Data</t>
    </r>
  </si>
  <si>
    <r>
      <t xml:space="preserve">2001, </t>
    </r>
    <r>
      <rPr>
        <i/>
        <sz val="10"/>
        <rFont val="Arial"/>
        <family val="2"/>
      </rPr>
      <t>Data</t>
    </r>
  </si>
  <si>
    <t>Funding (in 1000s)</t>
  </si>
  <si>
    <t>Study Program</t>
  </si>
  <si>
    <t>Title IV Program</t>
  </si>
  <si>
    <t>Volume Reports</t>
  </si>
  <si>
    <t>by School</t>
  </si>
  <si>
    <t>Campus-Based Volume</t>
  </si>
  <si>
    <t>http://federalstudentaid.ed.gov/datacenter/programmatic.html</t>
  </si>
  <si>
    <t xml:space="preserve"> 2009-10</t>
  </si>
  <si>
    <t>2010-11</t>
  </si>
  <si>
    <t>http://studentaid.ed.gov/about/data-center/student/title-iv</t>
  </si>
  <si>
    <t xml:space="preserve"> 20011-12</t>
  </si>
  <si>
    <t xml:space="preserve"> 2011-12</t>
  </si>
  <si>
    <t>2010-12</t>
  </si>
  <si>
    <t>2011-12</t>
  </si>
  <si>
    <t xml:space="preserve"> 2012-13</t>
  </si>
  <si>
    <t>2012-13</t>
  </si>
  <si>
    <t xml:space="preserve"> 2012-13 Award Year</t>
  </si>
  <si>
    <t>Campus Based Program Data</t>
  </si>
  <si>
    <t>Data Source: eCampus-Based System</t>
  </si>
  <si>
    <t>Funding (disbursements in 1,000s)</t>
  </si>
  <si>
    <t xml:space="preserve"> 2013-14</t>
  </si>
  <si>
    <t xml:space="preserve"> 2013-14 Award Year</t>
  </si>
  <si>
    <t>2013-14</t>
  </si>
  <si>
    <t>"NA" indicates not applicable. There were no loans of this type in this state.</t>
  </si>
  <si>
    <t>The federal College Work/Study Program provides jobs for undergraduate and graduate students with financial need, allowing them to earn money to help pay educational expenses. If the student works on campus, it is usually for the school. If the student works off campus, the employer usually will be a private, nonprofit organization or a public agency, and the work performed must be in the public interest. Amounts reported include the federal share and institutional shares.</t>
  </si>
  <si>
    <t>2014-15</t>
  </si>
  <si>
    <t xml:space="preserve"> July 2016</t>
  </si>
  <si>
    <t>2015-16</t>
  </si>
  <si>
    <t xml:space="preserve">2010-11 </t>
  </si>
  <si>
    <t>NA</t>
  </si>
  <si>
    <t>Average Amount Per Recipient 2015-16</t>
  </si>
  <si>
    <t>Percentage Change, 2010-11 to 2015-16</t>
  </si>
  <si>
    <t xml:space="preserve"> 2014-15 Award Year</t>
  </si>
  <si>
    <t xml:space="preserve"> 2015-16 Award Year</t>
  </si>
  <si>
    <r>
      <t>Office of Postsecondary Education, U.S. Department of Education: Title IV Program Volume Reports, Campus-Based Program Data by School 2010-2011</t>
    </r>
    <r>
      <rPr>
        <sz val="10"/>
        <rFont val="Arial"/>
        <family val="2"/>
      </rPr>
      <t xml:space="preserve"> (2012) and Title IV Program Volume Reports, Campus-Based Program Data by School 2015-16 (2017) — http://studentaid.ed.gov.</t>
    </r>
  </si>
  <si>
    <t>Table 66 (OLD Table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</si>
</sst>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
    <numFmt numFmtId="165" formatCode="#,##0.0"/>
    <numFmt numFmtId="166" formatCode="0_);\(0\)"/>
    <numFmt numFmtId="167" formatCode="0.0"/>
    <numFmt numFmtId="168" formatCode="&quot;$&quot;#,##0"/>
    <numFmt numFmtId="169" formatCode="_(* #,##0_);_(* \(#,##0\);_(* &quot;-&quot;??_);_(@_)"/>
  </numFmts>
  <fonts count="19">
    <font>
      <sz val="10"/>
      <name val="SWISS-C"/>
    </font>
    <font>
      <sz val="10"/>
      <name val="Arial"/>
      <family val="2"/>
    </font>
    <font>
      <b/>
      <sz val="8"/>
      <color indexed="81"/>
      <name val="Tahoma"/>
      <family val="2"/>
    </font>
    <font>
      <sz val="8"/>
      <name val="SWISS-C"/>
    </font>
    <font>
      <sz val="8"/>
      <color indexed="81"/>
      <name val="Tahoma"/>
      <family val="2"/>
    </font>
    <font>
      <u/>
      <sz val="7.5"/>
      <color indexed="12"/>
      <name val="SWISS-C"/>
    </font>
    <font>
      <i/>
      <sz val="10"/>
      <name val="Arial"/>
      <family val="2"/>
    </font>
    <font>
      <b/>
      <sz val="10"/>
      <name val="SWISS-C"/>
    </font>
    <font>
      <b/>
      <sz val="8"/>
      <color indexed="63"/>
      <name val="Verdana"/>
      <family val="2"/>
    </font>
    <font>
      <sz val="10"/>
      <name val="Helv"/>
    </font>
    <font>
      <sz val="10"/>
      <color rgb="FF0000FF"/>
      <name val="Arial"/>
      <family val="2"/>
    </font>
    <font>
      <sz val="10"/>
      <name val="AGaramond"/>
      <family val="3"/>
    </font>
    <font>
      <b/>
      <sz val="10"/>
      <name val="Arial"/>
      <family val="2"/>
    </font>
    <font>
      <sz val="10"/>
      <color indexed="20"/>
      <name val="Arial"/>
      <family val="2"/>
    </font>
    <font>
      <sz val="10"/>
      <color indexed="12"/>
      <name val="Arial"/>
      <family val="2"/>
    </font>
    <font>
      <u/>
      <sz val="10"/>
      <color indexed="12"/>
      <name val="Arial"/>
      <family val="2"/>
    </font>
    <font>
      <b/>
      <sz val="10"/>
      <color indexed="12"/>
      <name val="Arial"/>
      <family val="2"/>
    </font>
    <font>
      <sz val="10"/>
      <color rgb="FF0000FF"/>
      <name val="SWISS-C"/>
    </font>
    <font>
      <b/>
      <sz val="12"/>
      <name val="Arial"/>
      <family val="2"/>
    </font>
  </fonts>
  <fills count="6">
    <fill>
      <patternFill patternType="none"/>
    </fill>
    <fill>
      <patternFill patternType="gray125"/>
    </fill>
    <fill>
      <patternFill patternType="solid">
        <fgColor indexed="13"/>
        <bgColor indexed="13"/>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s>
  <borders count="21">
    <border>
      <left/>
      <right/>
      <top/>
      <bottom/>
      <diagonal/>
    </border>
    <border>
      <left/>
      <right/>
      <top style="thin">
        <color indexed="8"/>
      </top>
      <bottom/>
      <diagonal/>
    </border>
    <border>
      <left/>
      <right style="thin">
        <color indexed="8"/>
      </right>
      <top/>
      <bottom/>
      <diagonal/>
    </border>
    <border>
      <left/>
      <right/>
      <top/>
      <bottom style="thin">
        <color indexed="8"/>
      </bottom>
      <diagonal/>
    </border>
    <border>
      <left/>
      <right/>
      <top/>
      <bottom style="thin">
        <color indexed="64"/>
      </bottom>
      <diagonal/>
    </border>
    <border>
      <left/>
      <right/>
      <top style="thin">
        <color indexed="8"/>
      </top>
      <bottom style="thin">
        <color indexed="8"/>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8"/>
      </bottom>
      <diagonal/>
    </border>
    <border>
      <left/>
      <right/>
      <top style="thin">
        <color indexed="64"/>
      </top>
      <bottom/>
      <diagonal/>
    </border>
    <border>
      <left style="thin">
        <color indexed="64"/>
      </left>
      <right/>
      <top/>
      <bottom/>
      <diagonal/>
    </border>
    <border>
      <left style="thin">
        <color indexed="64"/>
      </left>
      <right/>
      <top style="thin">
        <color indexed="8"/>
      </top>
      <bottom/>
      <diagonal/>
    </border>
    <border>
      <left style="thin">
        <color indexed="64"/>
      </left>
      <right/>
      <top style="thin">
        <color indexed="8"/>
      </top>
      <bottom style="thin">
        <color indexed="8"/>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s>
  <cellStyleXfs count="6">
    <xf numFmtId="37" fontId="0" fillId="0" borderId="0"/>
    <xf numFmtId="0" fontId="5" fillId="0" borderId="0" applyNumberFormat="0" applyFill="0" applyBorder="0" applyAlignment="0" applyProtection="0">
      <alignment vertical="top"/>
      <protection locked="0"/>
    </xf>
    <xf numFmtId="0" fontId="9" fillId="0" borderId="0">
      <alignment horizontal="left" wrapText="1"/>
    </xf>
    <xf numFmtId="0" fontId="1" fillId="0" borderId="0"/>
    <xf numFmtId="0" fontId="1" fillId="0" borderId="0">
      <alignment horizontal="left" wrapText="1"/>
    </xf>
    <xf numFmtId="43" fontId="11" fillId="0" borderId="0" applyFont="0" applyFill="0" applyBorder="0" applyAlignment="0" applyProtection="0"/>
  </cellStyleXfs>
  <cellXfs count="252">
    <xf numFmtId="37" fontId="0" fillId="0" borderId="0" xfId="0"/>
    <xf numFmtId="37" fontId="1" fillId="0" borderId="0" xfId="0" applyFont="1" applyAlignment="1">
      <alignment horizontal="centerContinuous"/>
    </xf>
    <xf numFmtId="37" fontId="1" fillId="0" borderId="0" xfId="0" applyFont="1"/>
    <xf numFmtId="37" fontId="1" fillId="0" borderId="1" xfId="0" applyFont="1" applyBorder="1" applyAlignment="1">
      <alignment horizontal="centerContinuous"/>
    </xf>
    <xf numFmtId="37" fontId="1" fillId="0" borderId="0" xfId="0" applyFont="1" applyAlignment="1">
      <alignment horizontal="left"/>
    </xf>
    <xf numFmtId="37" fontId="1" fillId="0" borderId="2" xfId="0" applyFont="1" applyBorder="1" applyAlignment="1">
      <alignment horizontal="centerContinuous"/>
    </xf>
    <xf numFmtId="37" fontId="1" fillId="0" borderId="0" xfId="0" applyFont="1" applyBorder="1" applyAlignment="1">
      <alignment horizontal="center"/>
    </xf>
    <xf numFmtId="37" fontId="1" fillId="0" borderId="0" xfId="0" applyFont="1" applyBorder="1" applyAlignment="1">
      <alignment horizontal="centerContinuous"/>
    </xf>
    <xf numFmtId="37" fontId="1" fillId="0" borderId="0" xfId="0" applyFont="1" applyBorder="1"/>
    <xf numFmtId="37" fontId="1" fillId="0" borderId="0" xfId="0" applyFont="1" applyAlignment="1">
      <alignment horizontal="right"/>
    </xf>
    <xf numFmtId="37" fontId="1" fillId="0" borderId="0" xfId="0" applyFont="1" applyBorder="1" applyAlignment="1">
      <alignment vertical="top"/>
    </xf>
    <xf numFmtId="37" fontId="1" fillId="0" borderId="1" xfId="0" applyFont="1" applyBorder="1" applyAlignment="1">
      <alignment horizontal="right"/>
    </xf>
    <xf numFmtId="37" fontId="0" fillId="0" borderId="0" xfId="0" applyBorder="1"/>
    <xf numFmtId="37" fontId="1" fillId="0" borderId="0" xfId="0" applyFont="1" applyFill="1"/>
    <xf numFmtId="164" fontId="1" fillId="0" borderId="0" xfId="0" applyNumberFormat="1" applyFont="1" applyFill="1" applyBorder="1" applyAlignment="1" applyProtection="1">
      <alignment horizontal="right"/>
    </xf>
    <xf numFmtId="37" fontId="1" fillId="0" borderId="5" xfId="0" applyFont="1" applyBorder="1" applyAlignment="1">
      <alignment horizontal="centerContinuous"/>
    </xf>
    <xf numFmtId="37" fontId="1" fillId="0" borderId="1" xfId="0" applyFont="1" applyBorder="1" applyAlignment="1">
      <alignment horizontal="center"/>
    </xf>
    <xf numFmtId="37" fontId="1" fillId="0" borderId="0" xfId="0" applyFont="1" applyBorder="1" applyAlignment="1"/>
    <xf numFmtId="37" fontId="8" fillId="0" borderId="0" xfId="0" applyFont="1"/>
    <xf numFmtId="37" fontId="1" fillId="0" borderId="0" xfId="0" applyFont="1" applyAlignment="1">
      <alignment vertical="center"/>
    </xf>
    <xf numFmtId="37" fontId="1" fillId="0" borderId="12" xfId="0" applyFont="1" applyBorder="1" applyAlignment="1">
      <alignment horizontal="right"/>
    </xf>
    <xf numFmtId="37" fontId="1" fillId="0" borderId="11" xfId="0" applyFont="1" applyBorder="1" applyAlignment="1">
      <alignment horizontal="right"/>
    </xf>
    <xf numFmtId="37" fontId="1" fillId="0" borderId="8" xfId="2" applyNumberFormat="1" applyFont="1" applyFill="1" applyBorder="1" applyAlignment="1"/>
    <xf numFmtId="3" fontId="10" fillId="0" borderId="8" xfId="2" applyNumberFormat="1" applyFont="1" applyFill="1" applyBorder="1" applyAlignment="1"/>
    <xf numFmtId="3" fontId="1" fillId="0" borderId="4" xfId="2" applyNumberFormat="1" applyFont="1" applyFill="1" applyBorder="1" applyAlignment="1"/>
    <xf numFmtId="37" fontId="1" fillId="0" borderId="0" xfId="3" applyNumberFormat="1" applyFont="1" applyBorder="1" applyAlignment="1" applyProtection="1"/>
    <xf numFmtId="37" fontId="1" fillId="0" borderId="0" xfId="2" applyNumberFormat="1" applyFont="1" applyBorder="1" applyAlignment="1" applyProtection="1"/>
    <xf numFmtId="3" fontId="10" fillId="0" borderId="10" xfId="5" applyNumberFormat="1" applyFont="1" applyBorder="1" applyAlignment="1"/>
    <xf numFmtId="3" fontId="1" fillId="0" borderId="0" xfId="5" applyNumberFormat="1" applyFont="1" applyBorder="1" applyAlignment="1"/>
    <xf numFmtId="3" fontId="1" fillId="0" borderId="0" xfId="2" applyNumberFormat="1" applyFont="1" applyFill="1" applyAlignment="1"/>
    <xf numFmtId="167" fontId="1" fillId="0" borderId="0" xfId="2" applyNumberFormat="1" applyFont="1" applyFill="1" applyBorder="1" applyAlignment="1" applyProtection="1"/>
    <xf numFmtId="167" fontId="10" fillId="0" borderId="0" xfId="2" applyNumberFormat="1" applyFont="1" applyBorder="1" applyAlignment="1" applyProtection="1"/>
    <xf numFmtId="3" fontId="1" fillId="3" borderId="0" xfId="2" applyNumberFormat="1" applyFont="1" applyFill="1" applyAlignment="1"/>
    <xf numFmtId="3" fontId="1" fillId="3" borderId="0" xfId="2" applyNumberFormat="1" applyFont="1" applyFill="1" applyAlignment="1">
      <alignment horizontal="right"/>
    </xf>
    <xf numFmtId="3" fontId="1" fillId="0" borderId="0" xfId="2" applyNumberFormat="1" applyFont="1" applyAlignment="1"/>
    <xf numFmtId="3" fontId="1" fillId="0" borderId="0" xfId="2" applyNumberFormat="1" applyFont="1" applyBorder="1" applyAlignment="1"/>
    <xf numFmtId="37" fontId="1" fillId="0" borderId="4" xfId="2" applyNumberFormat="1" applyFont="1" applyBorder="1" applyAlignment="1" applyProtection="1"/>
    <xf numFmtId="3" fontId="1" fillId="0" borderId="4" xfId="5" applyNumberFormat="1" applyFont="1" applyBorder="1" applyAlignment="1"/>
    <xf numFmtId="3" fontId="1" fillId="0" borderId="4" xfId="2" applyNumberFormat="1" applyFont="1" applyBorder="1" applyAlignment="1"/>
    <xf numFmtId="37" fontId="1" fillId="0" borderId="0" xfId="3" applyNumberFormat="1" applyFont="1" applyBorder="1" applyAlignment="1"/>
    <xf numFmtId="37" fontId="1" fillId="0" borderId="0" xfId="2" applyNumberFormat="1" applyFont="1" applyFill="1" applyBorder="1" applyAlignment="1" applyProtection="1"/>
    <xf numFmtId="3" fontId="10" fillId="0" borderId="10" xfId="5" applyNumberFormat="1" applyFont="1" applyFill="1" applyBorder="1" applyAlignment="1"/>
    <xf numFmtId="37" fontId="1" fillId="0" borderId="0" xfId="2" applyNumberFormat="1" applyFont="1" applyBorder="1" applyAlignment="1"/>
    <xf numFmtId="37" fontId="1" fillId="0" borderId="4" xfId="2" applyNumberFormat="1" applyFont="1" applyBorder="1" applyAlignment="1"/>
    <xf numFmtId="3" fontId="1" fillId="3" borderId="4" xfId="2" applyNumberFormat="1" applyFont="1" applyFill="1" applyBorder="1" applyAlignment="1"/>
    <xf numFmtId="3" fontId="1" fillId="0" borderId="10" xfId="2" applyNumberFormat="1" applyFont="1" applyFill="1" applyBorder="1" applyAlignment="1"/>
    <xf numFmtId="0" fontId="1" fillId="0" borderId="8" xfId="2" applyNumberFormat="1" applyFont="1" applyFill="1" applyBorder="1" applyAlignment="1"/>
    <xf numFmtId="3" fontId="1" fillId="0" borderId="8" xfId="5" applyNumberFormat="1" applyFont="1" applyBorder="1" applyAlignment="1"/>
    <xf numFmtId="3" fontId="1" fillId="3" borderId="8" xfId="2" applyNumberFormat="1" applyFont="1" applyFill="1" applyBorder="1" applyAlignment="1"/>
    <xf numFmtId="37" fontId="1" fillId="0" borderId="13" xfId="0" applyFont="1" applyBorder="1" applyAlignment="1">
      <alignment horizontal="centerContinuous"/>
    </xf>
    <xf numFmtId="37" fontId="1" fillId="0" borderId="11" xfId="0" applyFont="1" applyBorder="1" applyAlignment="1">
      <alignment horizontal="centerContinuous"/>
    </xf>
    <xf numFmtId="165" fontId="1" fillId="0" borderId="14" xfId="2" applyNumberFormat="1" applyFont="1" applyFill="1" applyBorder="1" applyAlignment="1"/>
    <xf numFmtId="165" fontId="1" fillId="0" borderId="6" xfId="2" applyNumberFormat="1" applyFont="1" applyFill="1" applyBorder="1" applyAlignment="1"/>
    <xf numFmtId="165" fontId="1" fillId="3" borderId="6" xfId="2" applyNumberFormat="1" applyFont="1" applyFill="1" applyBorder="1" applyAlignment="1"/>
    <xf numFmtId="165" fontId="1" fillId="3" borderId="7" xfId="2" applyNumberFormat="1" applyFont="1" applyFill="1" applyBorder="1" applyAlignment="1"/>
    <xf numFmtId="165" fontId="1" fillId="0" borderId="7" xfId="2" applyNumberFormat="1" applyFont="1" applyFill="1" applyBorder="1" applyAlignment="1"/>
    <xf numFmtId="165" fontId="1" fillId="0" borderId="15" xfId="2" applyNumberFormat="1" applyFont="1" applyFill="1" applyBorder="1" applyAlignment="1"/>
    <xf numFmtId="165" fontId="1" fillId="0" borderId="0" xfId="2" applyNumberFormat="1" applyFont="1" applyFill="1" applyBorder="1" applyAlignment="1"/>
    <xf numFmtId="165" fontId="1" fillId="3" borderId="0" xfId="2" applyNumberFormat="1" applyFont="1" applyFill="1" applyBorder="1" applyAlignment="1"/>
    <xf numFmtId="165" fontId="1" fillId="0" borderId="0" xfId="2" applyNumberFormat="1" applyFont="1" applyBorder="1" applyAlignment="1"/>
    <xf numFmtId="165" fontId="1" fillId="3" borderId="4" xfId="2" applyNumberFormat="1" applyFont="1" applyFill="1" applyBorder="1" applyAlignment="1"/>
    <xf numFmtId="165" fontId="1" fillId="0" borderId="4" xfId="2" applyNumberFormat="1" applyFont="1" applyFill="1" applyBorder="1" applyAlignment="1"/>
    <xf numFmtId="37" fontId="1" fillId="0" borderId="0" xfId="0" applyFont="1" applyFill="1" applyBorder="1"/>
    <xf numFmtId="37" fontId="1" fillId="0" borderId="0" xfId="0" applyFont="1" applyFill="1" applyBorder="1" applyAlignment="1">
      <alignment vertical="center"/>
    </xf>
    <xf numFmtId="37" fontId="12" fillId="0" borderId="0" xfId="0" applyFont="1" applyAlignment="1" applyProtection="1">
      <alignment horizontal="left"/>
    </xf>
    <xf numFmtId="37" fontId="1" fillId="0" borderId="0" xfId="0" applyFont="1" applyProtection="1"/>
    <xf numFmtId="37" fontId="1" fillId="0" borderId="0" xfId="0" applyFont="1" applyAlignment="1" applyProtection="1">
      <alignment horizontal="fill"/>
    </xf>
    <xf numFmtId="37" fontId="13" fillId="0" borderId="0" xfId="0" applyFont="1" applyAlignment="1" applyProtection="1">
      <alignment horizontal="fill"/>
    </xf>
    <xf numFmtId="37" fontId="1" fillId="0" borderId="0" xfId="0" applyFont="1" applyBorder="1" applyAlignment="1" applyProtection="1">
      <alignment horizontal="fill"/>
    </xf>
    <xf numFmtId="37" fontId="1" fillId="0" borderId="0" xfId="0" applyFont="1" applyFill="1" applyAlignment="1" applyProtection="1">
      <alignment horizontal="fill"/>
    </xf>
    <xf numFmtId="37" fontId="1" fillId="0" borderId="0" xfId="0" applyFont="1" applyBorder="1" applyProtection="1"/>
    <xf numFmtId="37" fontId="12" fillId="0" borderId="0" xfId="0" applyFont="1" applyBorder="1" applyAlignment="1" applyProtection="1">
      <alignment horizontal="left"/>
    </xf>
    <xf numFmtId="37" fontId="14" fillId="0" borderId="0" xfId="0" applyFont="1" applyProtection="1"/>
    <xf numFmtId="37" fontId="1" fillId="0" borderId="0" xfId="0" applyFont="1" applyFill="1" applyProtection="1"/>
    <xf numFmtId="37" fontId="14" fillId="0" borderId="0" xfId="0" applyFont="1" applyBorder="1" applyProtection="1"/>
    <xf numFmtId="164" fontId="14" fillId="0" borderId="0" xfId="0" applyNumberFormat="1" applyFont="1" applyBorder="1" applyProtection="1"/>
    <xf numFmtId="38" fontId="1" fillId="0" borderId="0" xfId="0" applyNumberFormat="1" applyFont="1" applyBorder="1"/>
    <xf numFmtId="37" fontId="13" fillId="0" borderId="0" xfId="0" applyFont="1" applyProtection="1"/>
    <xf numFmtId="37" fontId="13" fillId="0" borderId="0" xfId="0" applyFont="1"/>
    <xf numFmtId="37" fontId="14" fillId="0" borderId="0" xfId="0" applyFont="1" applyFill="1" applyProtection="1"/>
    <xf numFmtId="49" fontId="1" fillId="0" borderId="0" xfId="0" quotePrefix="1" applyNumberFormat="1" applyFont="1" applyProtection="1"/>
    <xf numFmtId="37" fontId="1" fillId="0" borderId="0" xfId="0" quotePrefix="1" applyFont="1" applyProtection="1"/>
    <xf numFmtId="37" fontId="13" fillId="0" borderId="0" xfId="0" quotePrefix="1" applyFont="1" applyProtection="1"/>
    <xf numFmtId="37" fontId="1" fillId="0" borderId="0" xfId="0" applyFont="1" applyFill="1" applyBorder="1" applyProtection="1"/>
    <xf numFmtId="37" fontId="6" fillId="0" borderId="0" xfId="0" applyFont="1" applyBorder="1" applyAlignment="1" applyProtection="1">
      <alignment horizontal="left"/>
    </xf>
    <xf numFmtId="0" fontId="1" fillId="0" borderId="0" xfId="0" quotePrefix="1" applyNumberFormat="1" applyFont="1" applyProtection="1"/>
    <xf numFmtId="37" fontId="6" fillId="0" borderId="0" xfId="0" applyFont="1" applyProtection="1"/>
    <xf numFmtId="0" fontId="6" fillId="0" borderId="0" xfId="0" applyNumberFormat="1" applyFont="1" applyBorder="1" applyAlignment="1" applyProtection="1">
      <alignment horizontal="left"/>
    </xf>
    <xf numFmtId="166" fontId="6" fillId="0" borderId="0" xfId="0" applyNumberFormat="1" applyFont="1" applyBorder="1" applyAlignment="1" applyProtection="1">
      <alignment horizontal="left"/>
    </xf>
    <xf numFmtId="0" fontId="1" fillId="0" borderId="0" xfId="0" quotePrefix="1" applyNumberFormat="1" applyFont="1" applyAlignment="1" applyProtection="1">
      <alignment horizontal="left"/>
    </xf>
    <xf numFmtId="0" fontId="1" fillId="0" borderId="0" xfId="0" quotePrefix="1" applyNumberFormat="1" applyFont="1" applyBorder="1" applyAlignment="1" applyProtection="1">
      <alignment horizontal="left"/>
    </xf>
    <xf numFmtId="37" fontId="15" fillId="0" borderId="0" xfId="1" applyNumberFormat="1" applyFont="1" applyFill="1" applyAlignment="1" applyProtection="1"/>
    <xf numFmtId="37" fontId="15" fillId="0" borderId="0" xfId="1" applyNumberFormat="1" applyFont="1" applyFill="1" applyBorder="1" applyAlignment="1" applyProtection="1"/>
    <xf numFmtId="37" fontId="13" fillId="0" borderId="0" xfId="0" applyFont="1" applyBorder="1"/>
    <xf numFmtId="37" fontId="1" fillId="0" borderId="0" xfId="0" applyFont="1" applyBorder="1" applyAlignment="1" applyProtection="1">
      <alignment horizontal="left"/>
    </xf>
    <xf numFmtId="37" fontId="12" fillId="0" borderId="0" xfId="0" applyFont="1" applyBorder="1" applyAlignment="1" applyProtection="1">
      <alignment horizontal="right"/>
    </xf>
    <xf numFmtId="37" fontId="12" fillId="0" borderId="0" xfId="0" applyFont="1" applyAlignment="1" applyProtection="1">
      <alignment horizontal="right"/>
    </xf>
    <xf numFmtId="37" fontId="16" fillId="0" borderId="0" xfId="0" quotePrefix="1" applyFont="1" applyAlignment="1" applyProtection="1">
      <alignment horizontal="right"/>
    </xf>
    <xf numFmtId="37" fontId="12" fillId="0" borderId="0" xfId="0" quotePrefix="1" applyFont="1" applyAlignment="1" applyProtection="1">
      <alignment horizontal="right"/>
    </xf>
    <xf numFmtId="37" fontId="12" fillId="0" borderId="0" xfId="0" quotePrefix="1" applyFont="1" applyAlignment="1" applyProtection="1">
      <alignment horizontal="center"/>
    </xf>
    <xf numFmtId="37" fontId="12" fillId="0" borderId="0" xfId="0" quotePrefix="1" applyFont="1" applyAlignment="1">
      <alignment horizontal="center"/>
    </xf>
    <xf numFmtId="37" fontId="12" fillId="0" borderId="0" xfId="0" quotePrefix="1" applyFont="1" applyBorder="1" applyAlignment="1" applyProtection="1">
      <alignment horizontal="center"/>
    </xf>
    <xf numFmtId="37" fontId="12" fillId="0" borderId="0" xfId="0" applyFont="1" applyFill="1" applyAlignment="1" applyProtection="1">
      <alignment horizontal="right"/>
    </xf>
    <xf numFmtId="37" fontId="12" fillId="0" borderId="0" xfId="0" applyFont="1" applyFill="1" applyBorder="1"/>
    <xf numFmtId="37" fontId="1" fillId="0" borderId="17" xfId="0" applyFont="1" applyBorder="1" applyProtection="1"/>
    <xf numFmtId="37" fontId="12" fillId="0" borderId="17" xfId="0" applyFont="1" applyBorder="1" applyAlignment="1" applyProtection="1">
      <alignment horizontal="right"/>
    </xf>
    <xf numFmtId="3" fontId="10" fillId="0" borderId="18" xfId="2" applyNumberFormat="1" applyFont="1" applyFill="1" applyBorder="1" applyAlignment="1"/>
    <xf numFmtId="3" fontId="10" fillId="0" borderId="19" xfId="5" applyNumberFormat="1" applyFont="1" applyBorder="1" applyAlignment="1"/>
    <xf numFmtId="167" fontId="10" fillId="0" borderId="17" xfId="2" applyNumberFormat="1" applyFont="1" applyBorder="1" applyAlignment="1" applyProtection="1"/>
    <xf numFmtId="3" fontId="1" fillId="0" borderId="17" xfId="5" applyNumberFormat="1" applyFont="1" applyBorder="1" applyAlignment="1"/>
    <xf numFmtId="3" fontId="1" fillId="0" borderId="16" xfId="5" applyNumberFormat="1" applyFont="1" applyBorder="1" applyAlignment="1"/>
    <xf numFmtId="3" fontId="10" fillId="0" borderId="19" xfId="5" applyNumberFormat="1" applyFont="1" applyFill="1" applyBorder="1" applyAlignment="1"/>
    <xf numFmtId="3" fontId="1" fillId="0" borderId="18" xfId="5" applyNumberFormat="1" applyFont="1" applyBorder="1" applyAlignment="1"/>
    <xf numFmtId="37" fontId="12" fillId="0" borderId="17" xfId="0" applyFont="1" applyBorder="1" applyProtection="1"/>
    <xf numFmtId="49" fontId="1" fillId="0" borderId="0" xfId="0" applyNumberFormat="1" applyFont="1" applyAlignment="1">
      <alignment horizontal="center"/>
    </xf>
    <xf numFmtId="49" fontId="1" fillId="0" borderId="0" xfId="0" applyNumberFormat="1" applyFont="1" applyFill="1" applyBorder="1" applyAlignment="1">
      <alignment horizontal="center"/>
    </xf>
    <xf numFmtId="49" fontId="1" fillId="0" borderId="3" xfId="0" applyNumberFormat="1" applyFont="1" applyBorder="1" applyAlignment="1">
      <alignment horizontal="center"/>
    </xf>
    <xf numFmtId="49" fontId="1" fillId="0" borderId="6" xfId="0" applyNumberFormat="1" applyFont="1" applyBorder="1" applyAlignment="1">
      <alignment horizontal="center"/>
    </xf>
    <xf numFmtId="37" fontId="1" fillId="0" borderId="0" xfId="0" applyFont="1" applyAlignment="1" applyProtection="1">
      <alignment horizontal="left"/>
    </xf>
    <xf numFmtId="37" fontId="13" fillId="0" borderId="0" xfId="0" applyFont="1" applyAlignment="1" applyProtection="1">
      <alignment horizontal="left"/>
    </xf>
    <xf numFmtId="37" fontId="1" fillId="0" borderId="10" xfId="0" applyFont="1" applyBorder="1" applyAlignment="1" applyProtection="1">
      <alignment horizontal="left"/>
    </xf>
    <xf numFmtId="37" fontId="1" fillId="0" borderId="0" xfId="0" applyFont="1" applyFill="1" applyAlignment="1" applyProtection="1">
      <alignment horizontal="left"/>
    </xf>
    <xf numFmtId="37" fontId="1" fillId="0" borderId="0" xfId="0" applyFont="1" applyFill="1" applyBorder="1" applyAlignment="1">
      <alignment horizontal="left"/>
    </xf>
    <xf numFmtId="37" fontId="7" fillId="0" borderId="0" xfId="0" applyFont="1"/>
    <xf numFmtId="37" fontId="7" fillId="0" borderId="4" xfId="0" applyFont="1" applyBorder="1"/>
    <xf numFmtId="37" fontId="12" fillId="0" borderId="0" xfId="0" applyFont="1"/>
    <xf numFmtId="37" fontId="12" fillId="0" borderId="0" xfId="0" applyFont="1" applyFill="1"/>
    <xf numFmtId="37" fontId="12" fillId="0" borderId="4" xfId="0" applyFont="1" applyBorder="1"/>
    <xf numFmtId="37" fontId="12" fillId="0" borderId="6" xfId="0" applyFont="1" applyBorder="1" applyAlignment="1" applyProtection="1">
      <alignment horizontal="left"/>
    </xf>
    <xf numFmtId="37" fontId="12" fillId="0" borderId="0" xfId="0" applyFont="1" applyBorder="1" applyProtection="1"/>
    <xf numFmtId="37" fontId="12" fillId="0" borderId="0" xfId="0" applyFont="1" applyProtection="1"/>
    <xf numFmtId="37" fontId="12" fillId="0" borderId="0" xfId="0" applyFont="1" applyAlignment="1" applyProtection="1">
      <alignment horizontal="fill"/>
    </xf>
    <xf numFmtId="37" fontId="16" fillId="0" borderId="0" xfId="0" applyFont="1" applyAlignment="1" applyProtection="1">
      <alignment horizontal="fill"/>
    </xf>
    <xf numFmtId="3" fontId="12" fillId="0" borderId="0" xfId="0" applyNumberFormat="1" applyFont="1" applyAlignment="1" applyProtection="1">
      <alignment horizontal="fill"/>
    </xf>
    <xf numFmtId="37" fontId="12" fillId="0" borderId="0" xfId="0" applyFont="1" applyBorder="1" applyAlignment="1" applyProtection="1">
      <alignment horizontal="fill"/>
    </xf>
    <xf numFmtId="37" fontId="12" fillId="0" borderId="0" xfId="0" applyFont="1" applyFill="1" applyAlignment="1" applyProtection="1">
      <alignment horizontal="fill"/>
    </xf>
    <xf numFmtId="37" fontId="12" fillId="0" borderId="8" xfId="0" applyFont="1" applyBorder="1" applyAlignment="1" applyProtection="1">
      <alignment horizontal="right"/>
    </xf>
    <xf numFmtId="37" fontId="16" fillId="0" borderId="8" xfId="0" quotePrefix="1" applyFont="1" applyBorder="1" applyAlignment="1" applyProtection="1">
      <alignment horizontal="right"/>
    </xf>
    <xf numFmtId="37" fontId="12" fillId="0" borderId="8" xfId="0" quotePrefix="1" applyFont="1" applyBorder="1" applyAlignment="1" applyProtection="1">
      <alignment horizontal="right"/>
    </xf>
    <xf numFmtId="3" fontId="12" fillId="0" borderId="8" xfId="0" applyNumberFormat="1" applyFont="1" applyBorder="1" applyAlignment="1">
      <alignment horizontal="center"/>
    </xf>
    <xf numFmtId="37" fontId="12" fillId="0" borderId="8" xfId="0" quotePrefix="1" applyFont="1" applyBorder="1" applyAlignment="1" applyProtection="1">
      <alignment horizontal="center"/>
    </xf>
    <xf numFmtId="37" fontId="12" fillId="0" borderId="8" xfId="0" applyFont="1" applyBorder="1" applyAlignment="1" applyProtection="1">
      <alignment horizontal="center"/>
    </xf>
    <xf numFmtId="37" fontId="12" fillId="0" borderId="8" xfId="0" applyFont="1" applyFill="1" applyBorder="1" applyAlignment="1" applyProtection="1">
      <alignment horizontal="right"/>
    </xf>
    <xf numFmtId="37" fontId="12" fillId="0" borderId="8" xfId="0" quotePrefix="1" applyFont="1" applyFill="1" applyBorder="1" applyAlignment="1" applyProtection="1">
      <alignment horizontal="center"/>
    </xf>
    <xf numFmtId="37" fontId="14" fillId="0" borderId="0" xfId="0" applyFont="1"/>
    <xf numFmtId="37" fontId="1" fillId="0" borderId="0" xfId="0" applyNumberFormat="1" applyFont="1" applyBorder="1" applyProtection="1"/>
    <xf numFmtId="3" fontId="1" fillId="0" borderId="0" xfId="0" applyNumberFormat="1" applyFont="1" applyBorder="1"/>
    <xf numFmtId="37" fontId="6" fillId="0" borderId="0" xfId="0" applyFont="1" applyFill="1" applyBorder="1" applyAlignment="1" applyProtection="1">
      <alignment horizontal="left"/>
    </xf>
    <xf numFmtId="0" fontId="6" fillId="0" borderId="0" xfId="0" applyNumberFormat="1" applyFont="1" applyFill="1" applyBorder="1" applyAlignment="1" applyProtection="1">
      <alignment horizontal="left"/>
    </xf>
    <xf numFmtId="166" fontId="6" fillId="0" borderId="0" xfId="0" applyNumberFormat="1" applyFont="1" applyFill="1" applyBorder="1" applyAlignment="1" applyProtection="1">
      <alignment horizontal="left"/>
    </xf>
    <xf numFmtId="37" fontId="1" fillId="0" borderId="10" xfId="2" applyNumberFormat="1" applyFont="1" applyFill="1" applyBorder="1" applyAlignment="1" applyProtection="1"/>
    <xf numFmtId="167" fontId="1" fillId="0" borderId="0" xfId="0" applyNumberFormat="1" applyFont="1"/>
    <xf numFmtId="37" fontId="12" fillId="0" borderId="0" xfId="0" applyFont="1" applyBorder="1"/>
    <xf numFmtId="37" fontId="12" fillId="0" borderId="4" xfId="0" applyFont="1" applyBorder="1" applyAlignment="1" applyProtection="1">
      <alignment horizontal="left"/>
    </xf>
    <xf numFmtId="37" fontId="12" fillId="0" borderId="18" xfId="0" applyFont="1" applyBorder="1" applyAlignment="1" applyProtection="1">
      <alignment horizontal="right"/>
    </xf>
    <xf numFmtId="37" fontId="0" fillId="0" borderId="17" xfId="0" applyBorder="1"/>
    <xf numFmtId="37" fontId="14" fillId="0" borderId="0" xfId="0" applyFont="1" applyFill="1" applyBorder="1" applyProtection="1"/>
    <xf numFmtId="0" fontId="1" fillId="0" borderId="0" xfId="0" quotePrefix="1" applyNumberFormat="1" applyFont="1" applyBorder="1" applyProtection="1"/>
    <xf numFmtId="0" fontId="1" fillId="0" borderId="0" xfId="0" quotePrefix="1" applyNumberFormat="1" applyFont="1" applyFill="1" applyBorder="1" applyProtection="1"/>
    <xf numFmtId="37" fontId="6" fillId="0" borderId="0" xfId="0" applyFont="1" applyBorder="1" applyProtection="1"/>
    <xf numFmtId="49" fontId="1" fillId="0" borderId="0" xfId="0" quotePrefix="1" applyNumberFormat="1" applyFont="1" applyBorder="1" applyProtection="1"/>
    <xf numFmtId="49" fontId="1" fillId="0" borderId="0" xfId="0" quotePrefix="1" applyNumberFormat="1" applyFont="1" applyFill="1" applyBorder="1" applyProtection="1"/>
    <xf numFmtId="37" fontId="6" fillId="0" borderId="0" xfId="0" applyFont="1" applyFill="1" applyBorder="1" applyProtection="1"/>
    <xf numFmtId="0" fontId="1" fillId="0" borderId="0" xfId="0" quotePrefix="1" applyNumberFormat="1" applyFont="1" applyFill="1" applyBorder="1" applyAlignment="1" applyProtection="1">
      <alignment horizontal="left"/>
    </xf>
    <xf numFmtId="37" fontId="1" fillId="0" borderId="0" xfId="0" quotePrefix="1" applyFont="1" applyBorder="1" applyProtection="1"/>
    <xf numFmtId="37" fontId="1" fillId="0" borderId="0" xfId="0" quotePrefix="1" applyFont="1" applyFill="1" applyBorder="1" applyProtection="1"/>
    <xf numFmtId="37" fontId="13" fillId="0" borderId="0" xfId="0" quotePrefix="1" applyFont="1" applyBorder="1" applyProtection="1"/>
    <xf numFmtId="37" fontId="13" fillId="0" borderId="0" xfId="0" applyFont="1" applyBorder="1" applyProtection="1"/>
    <xf numFmtId="37" fontId="1" fillId="2" borderId="0" xfId="0" applyFont="1" applyFill="1" applyBorder="1" applyProtection="1"/>
    <xf numFmtId="37" fontId="14" fillId="0" borderId="0" xfId="0" applyFont="1" applyFill="1" applyBorder="1"/>
    <xf numFmtId="37" fontId="14" fillId="0" borderId="0" xfId="0" applyFont="1" applyBorder="1"/>
    <xf numFmtId="37" fontId="1" fillId="0" borderId="4" xfId="3" applyNumberFormat="1" applyFont="1" applyBorder="1" applyAlignment="1" applyProtection="1"/>
    <xf numFmtId="37" fontId="7" fillId="0" borderId="4" xfId="0" applyFont="1" applyBorder="1" applyAlignment="1" applyProtection="1">
      <alignment horizontal="left"/>
    </xf>
    <xf numFmtId="167" fontId="10" fillId="0" borderId="0" xfId="2" applyNumberFormat="1" applyFont="1" applyFill="1" applyBorder="1" applyAlignment="1" applyProtection="1"/>
    <xf numFmtId="167" fontId="17" fillId="0" borderId="0" xfId="0" applyNumberFormat="1" applyFont="1" applyFill="1"/>
    <xf numFmtId="37" fontId="17" fillId="0" borderId="0" xfId="0" applyFont="1" applyFill="1"/>
    <xf numFmtId="37" fontId="12" fillId="0" borderId="0" xfId="0" applyFont="1" applyAlignment="1" applyProtection="1">
      <alignment horizontal="center"/>
    </xf>
    <xf numFmtId="37" fontId="12" fillId="0" borderId="0" xfId="0" applyFont="1" applyBorder="1" applyAlignment="1" applyProtection="1">
      <alignment horizontal="center"/>
    </xf>
    <xf numFmtId="37" fontId="12" fillId="0" borderId="10" xfId="0" applyFont="1" applyBorder="1" applyAlignment="1">
      <alignment horizontal="center"/>
    </xf>
    <xf numFmtId="37" fontId="12" fillId="0" borderId="10" xfId="0" quotePrefix="1" applyFont="1" applyBorder="1" applyAlignment="1" applyProtection="1">
      <alignment horizontal="center"/>
    </xf>
    <xf numFmtId="164" fontId="14" fillId="0" borderId="0" xfId="0" applyNumberFormat="1" applyFont="1" applyFill="1" applyBorder="1" applyProtection="1"/>
    <xf numFmtId="37" fontId="1" fillId="0" borderId="0" xfId="0" applyNumberFormat="1" applyFont="1" applyFill="1" applyBorder="1" applyProtection="1"/>
    <xf numFmtId="39" fontId="1" fillId="0" borderId="0" xfId="0" applyNumberFormat="1" applyFont="1" applyBorder="1" applyProtection="1"/>
    <xf numFmtId="37" fontId="12" fillId="0" borderId="17" xfId="0" applyFont="1" applyBorder="1" applyAlignment="1" applyProtection="1">
      <alignment horizontal="fill"/>
    </xf>
    <xf numFmtId="164" fontId="14" fillId="0" borderId="17" xfId="0" applyNumberFormat="1" applyFont="1" applyBorder="1" applyProtection="1"/>
    <xf numFmtId="37" fontId="1" fillId="0" borderId="17" xfId="0" applyNumberFormat="1" applyFont="1" applyBorder="1" applyProtection="1"/>
    <xf numFmtId="37" fontId="1" fillId="0" borderId="17" xfId="0" applyFont="1" applyBorder="1"/>
    <xf numFmtId="37" fontId="12" fillId="0" borderId="6" xfId="0" applyFont="1" applyBorder="1" applyAlignment="1" applyProtection="1">
      <alignment horizontal="center"/>
    </xf>
    <xf numFmtId="37" fontId="12" fillId="0" borderId="10" xfId="0" applyFont="1" applyBorder="1" applyAlignment="1" applyProtection="1">
      <alignment horizontal="center"/>
    </xf>
    <xf numFmtId="37" fontId="16" fillId="0" borderId="10" xfId="0" quotePrefix="1" applyFont="1" applyBorder="1" applyAlignment="1" applyProtection="1">
      <alignment horizontal="center"/>
    </xf>
    <xf numFmtId="37" fontId="12" fillId="0" borderId="10" xfId="0" quotePrefix="1" applyFont="1" applyFill="1" applyBorder="1" applyAlignment="1" applyProtection="1">
      <alignment horizontal="center"/>
    </xf>
    <xf numFmtId="37" fontId="12" fillId="0" borderId="19" xfId="0" applyFont="1" applyBorder="1" applyAlignment="1" applyProtection="1">
      <alignment horizontal="center"/>
    </xf>
    <xf numFmtId="37" fontId="12" fillId="0" borderId="10" xfId="0" applyFont="1" applyFill="1" applyBorder="1" applyAlignment="1" applyProtection="1">
      <alignment horizontal="center"/>
    </xf>
    <xf numFmtId="37" fontId="16" fillId="0" borderId="10" xfId="0" applyFont="1" applyBorder="1" applyAlignment="1" applyProtection="1">
      <alignment horizontal="center"/>
    </xf>
    <xf numFmtId="37" fontId="12" fillId="0" borderId="17" xfId="0" applyFont="1" applyBorder="1" applyAlignment="1" applyProtection="1">
      <alignment horizontal="left"/>
    </xf>
    <xf numFmtId="37" fontId="12" fillId="0" borderId="0" xfId="0" quotePrefix="1" applyFont="1" applyBorder="1" applyAlignment="1" applyProtection="1">
      <alignment horizontal="right"/>
    </xf>
    <xf numFmtId="37" fontId="12" fillId="0" borderId="0" xfId="0" quotePrefix="1" applyFont="1" applyBorder="1" applyAlignment="1">
      <alignment horizontal="center"/>
    </xf>
    <xf numFmtId="167" fontId="10" fillId="4" borderId="0" xfId="2" applyNumberFormat="1" applyFont="1" applyFill="1" applyBorder="1" applyAlignment="1" applyProtection="1"/>
    <xf numFmtId="3" fontId="1" fillId="4" borderId="8" xfId="0" applyNumberFormat="1" applyFont="1" applyFill="1" applyBorder="1" applyProtection="1"/>
    <xf numFmtId="3" fontId="1" fillId="4" borderId="8" xfId="0" applyNumberFormat="1" applyFont="1" applyFill="1" applyBorder="1" applyAlignment="1" applyProtection="1">
      <alignment horizontal="right"/>
    </xf>
    <xf numFmtId="3" fontId="1" fillId="4" borderId="0" xfId="0" applyNumberFormat="1" applyFont="1" applyFill="1" applyProtection="1"/>
    <xf numFmtId="3" fontId="1" fillId="4" borderId="0" xfId="0" applyNumberFormat="1" applyFont="1" applyFill="1" applyAlignment="1" applyProtection="1">
      <alignment horizontal="right"/>
    </xf>
    <xf numFmtId="3" fontId="1" fillId="4" borderId="10" xfId="0" applyNumberFormat="1" applyFont="1" applyFill="1" applyBorder="1" applyProtection="1"/>
    <xf numFmtId="165" fontId="1" fillId="0" borderId="0" xfId="2" applyNumberFormat="1" applyFont="1" applyFill="1" applyAlignment="1"/>
    <xf numFmtId="165" fontId="1" fillId="0" borderId="0" xfId="0" applyNumberFormat="1" applyFont="1" applyFill="1" applyBorder="1" applyAlignment="1">
      <alignment horizontal="right"/>
    </xf>
    <xf numFmtId="165" fontId="1" fillId="0" borderId="0" xfId="0" applyNumberFormat="1" applyFont="1"/>
    <xf numFmtId="165" fontId="1" fillId="0" borderId="0" xfId="2" applyNumberFormat="1" applyFont="1" applyAlignment="1"/>
    <xf numFmtId="165" fontId="1" fillId="0" borderId="0" xfId="0" applyNumberFormat="1" applyFont="1" applyFill="1" applyBorder="1"/>
    <xf numFmtId="37" fontId="1" fillId="0" borderId="11" xfId="0" quotePrefix="1" applyFont="1" applyBorder="1" applyAlignment="1">
      <alignment horizontal="centerContinuous"/>
    </xf>
    <xf numFmtId="49" fontId="1" fillId="0" borderId="0" xfId="0" applyNumberFormat="1" applyFont="1"/>
    <xf numFmtId="49" fontId="1" fillId="0" borderId="0" xfId="0" applyNumberFormat="1" applyFont="1" applyFill="1" applyBorder="1"/>
    <xf numFmtId="168" fontId="1" fillId="0" borderId="4" xfId="2" applyNumberFormat="1" applyFont="1" applyFill="1" applyBorder="1" applyAlignment="1"/>
    <xf numFmtId="37" fontId="1" fillId="0" borderId="0" xfId="0" applyFont="1" applyAlignment="1">
      <alignment vertical="top"/>
    </xf>
    <xf numFmtId="37" fontId="1" fillId="0" borderId="0" xfId="0" applyFont="1" applyBorder="1" applyAlignment="1">
      <alignment horizontal="left" vertical="top" wrapText="1"/>
    </xf>
    <xf numFmtId="37" fontId="1" fillId="0" borderId="0" xfId="0" applyFont="1" applyBorder="1" applyAlignment="1">
      <alignment horizontal="left" vertical="top" wrapText="1"/>
    </xf>
    <xf numFmtId="37" fontId="1" fillId="0" borderId="0" xfId="0" applyFont="1" applyBorder="1" applyAlignment="1">
      <alignment vertical="top"/>
    </xf>
    <xf numFmtId="49" fontId="1" fillId="0" borderId="0" xfId="0" applyNumberFormat="1" applyFont="1" applyAlignment="1">
      <alignment vertical="top"/>
    </xf>
    <xf numFmtId="49" fontId="1" fillId="0" borderId="0" xfId="0" applyNumberFormat="1" applyFont="1" applyAlignment="1">
      <alignment horizontal="left" vertical="top"/>
    </xf>
    <xf numFmtId="49" fontId="1" fillId="0" borderId="0" xfId="0" applyNumberFormat="1" applyFont="1" applyAlignment="1">
      <alignment horizontal="centerContinuous" vertical="top"/>
    </xf>
    <xf numFmtId="49" fontId="1" fillId="0" borderId="0" xfId="0" applyNumberFormat="1" applyFont="1" applyBorder="1" applyAlignment="1">
      <alignment horizontal="right" vertical="top"/>
    </xf>
    <xf numFmtId="37" fontId="18" fillId="0" borderId="0" xfId="0" applyFont="1" applyAlignment="1">
      <alignment horizontal="centerContinuous"/>
    </xf>
    <xf numFmtId="169" fontId="0" fillId="0" borderId="1" xfId="0" applyNumberFormat="1" applyBorder="1"/>
    <xf numFmtId="169" fontId="0" fillId="0" borderId="0" xfId="0" applyNumberFormat="1" applyBorder="1"/>
    <xf numFmtId="169" fontId="0" fillId="0" borderId="4" xfId="0" applyNumberFormat="1" applyBorder="1"/>
    <xf numFmtId="37" fontId="5" fillId="0" borderId="0" xfId="1" applyNumberFormat="1" applyBorder="1" applyAlignment="1" applyProtection="1"/>
    <xf numFmtId="49" fontId="1" fillId="0" borderId="0" xfId="0" applyNumberFormat="1" applyFont="1" applyBorder="1" applyAlignment="1">
      <alignment horizontal="center"/>
    </xf>
    <xf numFmtId="49" fontId="1" fillId="0" borderId="11" xfId="0" applyNumberFormat="1" applyFont="1" applyBorder="1" applyAlignment="1">
      <alignment horizontal="center"/>
    </xf>
    <xf numFmtId="165" fontId="1" fillId="3" borderId="6" xfId="2" applyNumberFormat="1" applyFont="1" applyFill="1" applyBorder="1" applyAlignment="1">
      <alignment horizontal="right"/>
    </xf>
    <xf numFmtId="37" fontId="12" fillId="5" borderId="0" xfId="0" quotePrefix="1" applyFont="1" applyFill="1" applyBorder="1" applyAlignment="1" applyProtection="1">
      <alignment horizontal="center"/>
    </xf>
    <xf numFmtId="37" fontId="1" fillId="0" borderId="4" xfId="0" applyFont="1" applyFill="1" applyBorder="1"/>
    <xf numFmtId="37" fontId="12" fillId="5" borderId="8" xfId="0" quotePrefix="1" applyFont="1" applyFill="1" applyBorder="1" applyAlignment="1" applyProtection="1">
      <alignment horizontal="center"/>
    </xf>
    <xf numFmtId="37" fontId="1" fillId="0" borderId="4" xfId="0" applyFont="1" applyBorder="1"/>
    <xf numFmtId="37" fontId="12" fillId="5" borderId="10" xfId="0" applyFont="1" applyFill="1" applyBorder="1" applyAlignment="1">
      <alignment horizontal="center"/>
    </xf>
    <xf numFmtId="37" fontId="12" fillId="5" borderId="0" xfId="0" quotePrefix="1" applyFont="1" applyFill="1" applyBorder="1" applyAlignment="1">
      <alignment horizontal="center"/>
    </xf>
    <xf numFmtId="49" fontId="1" fillId="0" borderId="3" xfId="0" applyNumberFormat="1" applyFont="1" applyFill="1" applyBorder="1" applyAlignment="1">
      <alignment horizontal="center"/>
    </xf>
    <xf numFmtId="49" fontId="1" fillId="0" borderId="9" xfId="0" applyNumberFormat="1" applyFont="1" applyFill="1" applyBorder="1" applyAlignment="1">
      <alignment horizontal="center"/>
    </xf>
    <xf numFmtId="37" fontId="18" fillId="0" borderId="0" xfId="0" applyFont="1" applyAlignment="1">
      <alignment horizontal="left"/>
    </xf>
    <xf numFmtId="37" fontId="12" fillId="0" borderId="0" xfId="0" quotePrefix="1" applyFont="1" applyFill="1" applyBorder="1" applyAlignment="1" applyProtection="1">
      <alignment horizontal="center"/>
    </xf>
    <xf numFmtId="37" fontId="12" fillId="0" borderId="4" xfId="0" quotePrefix="1" applyFont="1" applyFill="1" applyBorder="1" applyAlignment="1" applyProtection="1">
      <alignment horizontal="center"/>
    </xf>
    <xf numFmtId="37" fontId="1" fillId="0" borderId="0" xfId="2" applyNumberFormat="1" applyFont="1" applyFill="1" applyBorder="1" applyAlignment="1"/>
    <xf numFmtId="3" fontId="1" fillId="0" borderId="0" xfId="5" applyNumberFormat="1" applyFont="1" applyFill="1" applyBorder="1" applyAlignment="1"/>
    <xf numFmtId="3" fontId="1" fillId="0" borderId="17" xfId="5" applyNumberFormat="1" applyFont="1" applyFill="1" applyBorder="1" applyAlignment="1"/>
    <xf numFmtId="37" fontId="12" fillId="0" borderId="0" xfId="0" quotePrefix="1" applyFont="1" applyFill="1" applyBorder="1" applyAlignment="1">
      <alignment horizontal="center"/>
    </xf>
    <xf numFmtId="3" fontId="1" fillId="4" borderId="4" xfId="0" applyNumberFormat="1" applyFont="1" applyFill="1" applyBorder="1" applyProtection="1"/>
    <xf numFmtId="37" fontId="12" fillId="0" borderId="10" xfId="0" applyFont="1" applyFill="1" applyBorder="1" applyAlignment="1">
      <alignment horizontal="center"/>
    </xf>
    <xf numFmtId="37" fontId="1" fillId="0" borderId="20" xfId="0" applyFont="1" applyBorder="1"/>
    <xf numFmtId="37" fontId="7" fillId="5" borderId="4" xfId="0" applyFont="1" applyFill="1" applyBorder="1"/>
    <xf numFmtId="49" fontId="12" fillId="5" borderId="0" xfId="0" quotePrefix="1" applyNumberFormat="1" applyFont="1" applyFill="1" applyBorder="1" applyAlignment="1" applyProtection="1">
      <alignment horizontal="center"/>
    </xf>
    <xf numFmtId="37" fontId="1" fillId="0" borderId="8" xfId="0" applyFont="1" applyFill="1" applyBorder="1"/>
    <xf numFmtId="37" fontId="1" fillId="0" borderId="8" xfId="0" applyFont="1" applyBorder="1"/>
    <xf numFmtId="37" fontId="7" fillId="0" borderId="4" xfId="0" applyFont="1" applyFill="1" applyBorder="1"/>
    <xf numFmtId="37" fontId="1" fillId="0" borderId="0" xfId="0" applyFont="1" applyBorder="1" applyAlignment="1">
      <alignment horizontal="left" vertical="top" wrapText="1"/>
    </xf>
  </cellXfs>
  <cellStyles count="6">
    <cellStyle name="Comma 2" xfId="5" xr:uid="{00000000-0005-0000-0000-000000000000}"/>
    <cellStyle name="Hyperlink" xfId="1" builtinId="8"/>
    <cellStyle name="Normal" xfId="0" builtinId="0"/>
    <cellStyle name="Normal 2" xfId="2" xr:uid="{00000000-0005-0000-0000-000003000000}"/>
    <cellStyle name="Normal 2 2" xfId="3" xr:uid="{00000000-0005-0000-0000-000004000000}"/>
    <cellStyle name="Style 1" xfId="4" xr:uid="{00000000-0005-0000-0000-000005000000}"/>
  </cellStyles>
  <dxfs count="0"/>
  <tableStyles count="0" defaultTableStyle="TableStyleMedium9" defaultPivotStyle="PivotStyleLight16"/>
  <colors>
    <mruColors>
      <color rgb="FF006600"/>
      <color rgb="FF990033"/>
      <color rgb="FF003399"/>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overlay val="0"/>
    </c:title>
    <c:autoTitleDeleted val="0"/>
    <c:plotArea>
      <c:layout>
        <c:manualLayout>
          <c:layoutTarget val="inner"/>
          <c:xMode val="edge"/>
          <c:yMode val="edge"/>
          <c:x val="6.4906367041198523E-2"/>
          <c:y val="0.21963511598993823"/>
          <c:w val="0.86069303134860986"/>
          <c:h val="0.68219277363891329"/>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66'!$D$14</c:f>
              <c:numCache>
                <c:formatCode>#,##0.0</c:formatCode>
                <c:ptCount val="1"/>
                <c:pt idx="0">
                  <c:v>-8.7747624107995321</c:v>
                </c:pt>
              </c:numCache>
            </c:numRef>
          </c:val>
          <c:extLst>
            <c:ext xmlns:c16="http://schemas.microsoft.com/office/drawing/2014/chart" uri="{C3380CC4-5D6E-409C-BE32-E72D297353CC}">
              <c16:uniqueId val="{00000000-4100-47A7-9A42-7FB7D9B319A0}"/>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66'!$D$12</c:f>
              <c:numCache>
                <c:formatCode>#,##0.0</c:formatCode>
                <c:ptCount val="1"/>
                <c:pt idx="0">
                  <c:v>-7.3199673227997684</c:v>
                </c:pt>
              </c:numCache>
            </c:numRef>
          </c:val>
          <c:extLst>
            <c:ext xmlns:c16="http://schemas.microsoft.com/office/drawing/2014/chart" uri="{C3380CC4-5D6E-409C-BE32-E72D297353CC}">
              <c16:uniqueId val="{00000001-4100-47A7-9A42-7FB7D9B319A0}"/>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66'!$D$11</c:f>
              <c:numCache>
                <c:formatCode>#,##0.0</c:formatCode>
                <c:ptCount val="1"/>
                <c:pt idx="0">
                  <c:v>-8.596121073316656</c:v>
                </c:pt>
              </c:numCache>
            </c:numRef>
          </c:val>
          <c:extLst>
            <c:ext xmlns:c16="http://schemas.microsoft.com/office/drawing/2014/chart" uri="{C3380CC4-5D6E-409C-BE32-E72D297353CC}">
              <c16:uniqueId val="{00000002-4100-47A7-9A42-7FB7D9B319A0}"/>
            </c:ext>
          </c:extLst>
        </c:ser>
        <c:dLbls>
          <c:showLegendKey val="0"/>
          <c:showVal val="1"/>
          <c:showCatName val="0"/>
          <c:showSerName val="0"/>
          <c:showPercent val="0"/>
          <c:showBubbleSize val="0"/>
        </c:dLbls>
        <c:gapWidth val="50"/>
        <c:axId val="39676544"/>
        <c:axId val="39690624"/>
      </c:barChart>
      <c:catAx>
        <c:axId val="39676544"/>
        <c:scaling>
          <c:orientation val="minMax"/>
        </c:scaling>
        <c:delete val="1"/>
        <c:axPos val="l"/>
        <c:majorTickMark val="out"/>
        <c:minorTickMark val="none"/>
        <c:tickLblPos val="none"/>
        <c:crossAx val="39690624"/>
        <c:crosses val="autoZero"/>
        <c:auto val="1"/>
        <c:lblAlgn val="ctr"/>
        <c:lblOffset val="100"/>
        <c:noMultiLvlLbl val="0"/>
      </c:catAx>
      <c:valAx>
        <c:axId val="39690624"/>
        <c:scaling>
          <c:orientation val="minMax"/>
          <c:max val="30"/>
          <c:min val="-60"/>
        </c:scaling>
        <c:delete val="1"/>
        <c:axPos val="b"/>
        <c:numFmt formatCode="#,##0.0" sourceLinked="1"/>
        <c:majorTickMark val="out"/>
        <c:minorTickMark val="none"/>
        <c:tickLblPos val="none"/>
        <c:crossAx val="39676544"/>
        <c:crosses val="autoZero"/>
        <c:crossBetween val="between"/>
        <c:minorUnit val="2"/>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Perkins Loans</a:t>
            </a:r>
          </a:p>
        </c:rich>
      </c:tx>
      <c:overlay val="0"/>
    </c:title>
    <c:autoTitleDeleted val="0"/>
    <c:plotArea>
      <c:layout>
        <c:manualLayout>
          <c:layoutTarget val="inner"/>
          <c:xMode val="edge"/>
          <c:yMode val="edge"/>
          <c:x val="6.4906367041198551E-2"/>
          <c:y val="0.12867828344561622"/>
          <c:w val="0.8606930313486103"/>
          <c:h val="0.7507361399319664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66'!$F$14</c:f>
              <c:numCache>
                <c:formatCode>#,##0.0</c:formatCode>
                <c:ptCount val="1"/>
                <c:pt idx="0">
                  <c:v>20.234783939583306</c:v>
                </c:pt>
              </c:numCache>
            </c:numRef>
          </c:val>
          <c:extLst>
            <c:ext xmlns:c16="http://schemas.microsoft.com/office/drawing/2014/chart" uri="{C3380CC4-5D6E-409C-BE32-E72D297353CC}">
              <c16:uniqueId val="{00000000-45F7-4921-9918-4CB6B1335A92}"/>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66'!$F$12</c:f>
              <c:numCache>
                <c:formatCode>#,##0.0</c:formatCode>
                <c:ptCount val="1"/>
                <c:pt idx="0">
                  <c:v>21.519571786618698</c:v>
                </c:pt>
              </c:numCache>
            </c:numRef>
          </c:val>
          <c:extLst>
            <c:ext xmlns:c16="http://schemas.microsoft.com/office/drawing/2014/chart" uri="{C3380CC4-5D6E-409C-BE32-E72D297353CC}">
              <c16:uniqueId val="{00000001-45F7-4921-9918-4CB6B1335A92}"/>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66'!$F$11</c:f>
              <c:numCache>
                <c:formatCode>#,##0.0</c:formatCode>
                <c:ptCount val="1"/>
                <c:pt idx="0">
                  <c:v>22.029890631008463</c:v>
                </c:pt>
              </c:numCache>
            </c:numRef>
          </c:val>
          <c:extLst>
            <c:ext xmlns:c16="http://schemas.microsoft.com/office/drawing/2014/chart" uri="{C3380CC4-5D6E-409C-BE32-E72D297353CC}">
              <c16:uniqueId val="{00000002-45F7-4921-9918-4CB6B1335A92}"/>
            </c:ext>
          </c:extLst>
        </c:ser>
        <c:dLbls>
          <c:showLegendKey val="0"/>
          <c:showVal val="1"/>
          <c:showCatName val="0"/>
          <c:showSerName val="0"/>
          <c:showPercent val="0"/>
          <c:showBubbleSize val="0"/>
        </c:dLbls>
        <c:gapWidth val="50"/>
        <c:axId val="41050496"/>
        <c:axId val="41052032"/>
      </c:barChart>
      <c:catAx>
        <c:axId val="41050496"/>
        <c:scaling>
          <c:orientation val="minMax"/>
        </c:scaling>
        <c:delete val="1"/>
        <c:axPos val="l"/>
        <c:majorTickMark val="out"/>
        <c:minorTickMark val="none"/>
        <c:tickLblPos val="none"/>
        <c:crossAx val="41052032"/>
        <c:crosses val="autoZero"/>
        <c:auto val="1"/>
        <c:lblAlgn val="ctr"/>
        <c:lblOffset val="100"/>
        <c:noMultiLvlLbl val="0"/>
      </c:catAx>
      <c:valAx>
        <c:axId val="41052032"/>
        <c:scaling>
          <c:orientation val="minMax"/>
          <c:max val="30"/>
          <c:min val="-60"/>
        </c:scaling>
        <c:delete val="1"/>
        <c:axPos val="b"/>
        <c:numFmt formatCode="#,##0.0" sourceLinked="1"/>
        <c:majorTickMark val="out"/>
        <c:minorTickMark val="none"/>
        <c:tickLblPos val="none"/>
        <c:crossAx val="4105049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 Educational Opportunity Grants</a:t>
            </a:r>
          </a:p>
        </c:rich>
      </c:tx>
      <c:overlay val="0"/>
    </c:title>
    <c:autoTitleDeleted val="0"/>
    <c:plotArea>
      <c:layout>
        <c:manualLayout>
          <c:layoutTarget val="inner"/>
          <c:xMode val="edge"/>
          <c:yMode val="edge"/>
          <c:x val="6.4906367041198579E-2"/>
          <c:y val="0.12867828344561622"/>
          <c:w val="0.86069303134861075"/>
          <c:h val="0.750736139931966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66'!$H$14</c:f>
              <c:numCache>
                <c:formatCode>#,##0.0</c:formatCode>
                <c:ptCount val="1"/>
                <c:pt idx="0">
                  <c:v>-4.0037263619047199</c:v>
                </c:pt>
              </c:numCache>
            </c:numRef>
          </c:val>
          <c:extLst>
            <c:ext xmlns:c16="http://schemas.microsoft.com/office/drawing/2014/chart" uri="{C3380CC4-5D6E-409C-BE32-E72D297353CC}">
              <c16:uniqueId val="{00000000-9044-46F4-95AC-D166BF0FC974}"/>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66'!$H$12</c:f>
              <c:numCache>
                <c:formatCode>#,##0.0</c:formatCode>
                <c:ptCount val="1"/>
                <c:pt idx="0">
                  <c:v>0.61878412494547907</c:v>
                </c:pt>
              </c:numCache>
            </c:numRef>
          </c:val>
          <c:extLst>
            <c:ext xmlns:c16="http://schemas.microsoft.com/office/drawing/2014/chart" uri="{C3380CC4-5D6E-409C-BE32-E72D297353CC}">
              <c16:uniqueId val="{00000001-9044-46F4-95AC-D166BF0FC974}"/>
            </c:ext>
          </c:extLst>
        </c:ser>
        <c:ser>
          <c:idx val="0"/>
          <c:order val="2"/>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66'!$H$11</c:f>
              <c:numCache>
                <c:formatCode>#,##0.0</c:formatCode>
                <c:ptCount val="1"/>
                <c:pt idx="0">
                  <c:v>-2.0326666461037486</c:v>
                </c:pt>
              </c:numCache>
            </c:numRef>
          </c:val>
          <c:extLst>
            <c:ext xmlns:c16="http://schemas.microsoft.com/office/drawing/2014/chart" uri="{C3380CC4-5D6E-409C-BE32-E72D297353CC}">
              <c16:uniqueId val="{00000002-9044-46F4-95AC-D166BF0FC974}"/>
            </c:ext>
          </c:extLst>
        </c:ser>
        <c:dLbls>
          <c:showLegendKey val="0"/>
          <c:showVal val="1"/>
          <c:showCatName val="0"/>
          <c:showSerName val="0"/>
          <c:showPercent val="0"/>
          <c:showBubbleSize val="0"/>
        </c:dLbls>
        <c:gapWidth val="50"/>
        <c:axId val="41088512"/>
        <c:axId val="41090048"/>
      </c:barChart>
      <c:catAx>
        <c:axId val="41088512"/>
        <c:scaling>
          <c:orientation val="minMax"/>
        </c:scaling>
        <c:delete val="1"/>
        <c:axPos val="l"/>
        <c:majorTickMark val="out"/>
        <c:minorTickMark val="none"/>
        <c:tickLblPos val="none"/>
        <c:crossAx val="41090048"/>
        <c:crosses val="autoZero"/>
        <c:auto val="1"/>
        <c:lblAlgn val="ctr"/>
        <c:lblOffset val="100"/>
        <c:noMultiLvlLbl val="0"/>
      </c:catAx>
      <c:valAx>
        <c:axId val="41090048"/>
        <c:scaling>
          <c:orientation val="minMax"/>
          <c:max val="30"/>
          <c:min val="-60"/>
        </c:scaling>
        <c:delete val="1"/>
        <c:axPos val="b"/>
        <c:numFmt formatCode="#,##0.0" sourceLinked="1"/>
        <c:majorTickMark val="out"/>
        <c:minorTickMark val="none"/>
        <c:tickLblPos val="none"/>
        <c:crossAx val="41088512"/>
        <c:crosses val="autoZero"/>
        <c:crossBetween val="between"/>
        <c:majorUnit val="10"/>
        <c:minorUnit val="2"/>
      </c:valAx>
      <c:spPr>
        <a:noFill/>
        <a:ln w="25400">
          <a:noFill/>
        </a:ln>
      </c:spPr>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layout>
        <c:manualLayout>
          <c:xMode val="edge"/>
          <c:yMode val="edge"/>
          <c:x val="0.19683770646493964"/>
          <c:y val="0"/>
        </c:manualLayout>
      </c:layout>
      <c:overlay val="0"/>
    </c:title>
    <c:autoTitleDeleted val="0"/>
    <c:plotArea>
      <c:layout>
        <c:manualLayout>
          <c:layoutTarget val="inner"/>
          <c:xMode val="edge"/>
          <c:yMode val="edge"/>
          <c:x val="7.7850112278307661E-3"/>
          <c:y val="5.0163205204916593E-2"/>
          <c:w val="0.99221498877216918"/>
          <c:h val="0.88653957417154461"/>
        </c:manualLayout>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66'!$I$11</c:f>
              <c:numCache>
                <c:formatCode>"$"#,##0</c:formatCode>
                <c:ptCount val="1"/>
                <c:pt idx="0">
                  <c:v>1741.3051992039279</c:v>
                </c:pt>
              </c:numCache>
            </c:numRef>
          </c:val>
          <c:extLst>
            <c:ext xmlns:c16="http://schemas.microsoft.com/office/drawing/2014/chart" uri="{C3380CC4-5D6E-409C-BE32-E72D297353CC}">
              <c16:uniqueId val="{00000000-1309-4555-A75E-D9E0D389428F}"/>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66'!$I$12</c:f>
              <c:numCache>
                <c:formatCode>#,##0</c:formatCode>
                <c:ptCount val="1"/>
                <c:pt idx="0">
                  <c:v>1804.2380336665999</c:v>
                </c:pt>
              </c:numCache>
            </c:numRef>
          </c:val>
          <c:extLst>
            <c:ext xmlns:c16="http://schemas.microsoft.com/office/drawing/2014/chart" uri="{C3380CC4-5D6E-409C-BE32-E72D297353CC}">
              <c16:uniqueId val="{00000001-1309-4555-A75E-D9E0D389428F}"/>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66'!$I$14</c:f>
              <c:numCache>
                <c:formatCode>#,##0</c:formatCode>
                <c:ptCount val="1"/>
                <c:pt idx="0">
                  <c:v>1762.9444373483204</c:v>
                </c:pt>
              </c:numCache>
            </c:numRef>
          </c:val>
          <c:extLst>
            <c:ext xmlns:c16="http://schemas.microsoft.com/office/drawing/2014/chart" uri="{C3380CC4-5D6E-409C-BE32-E72D297353CC}">
              <c16:uniqueId val="{00000002-1309-4555-A75E-D9E0D389428F}"/>
            </c:ext>
          </c:extLst>
        </c:ser>
        <c:dLbls>
          <c:showLegendKey val="0"/>
          <c:showVal val="1"/>
          <c:showCatName val="0"/>
          <c:showSerName val="0"/>
          <c:showPercent val="0"/>
          <c:showBubbleSize val="0"/>
        </c:dLbls>
        <c:gapWidth val="50"/>
        <c:axId val="41223680"/>
        <c:axId val="41225216"/>
      </c:barChart>
      <c:catAx>
        <c:axId val="41223680"/>
        <c:scaling>
          <c:orientation val="minMax"/>
        </c:scaling>
        <c:delete val="1"/>
        <c:axPos val="b"/>
        <c:majorTickMark val="out"/>
        <c:minorTickMark val="none"/>
        <c:tickLblPos val="none"/>
        <c:crossAx val="41225216"/>
        <c:crosses val="autoZero"/>
        <c:auto val="1"/>
        <c:lblAlgn val="ctr"/>
        <c:lblOffset val="100"/>
        <c:noMultiLvlLbl val="0"/>
      </c:catAx>
      <c:valAx>
        <c:axId val="41225216"/>
        <c:scaling>
          <c:orientation val="minMax"/>
          <c:max val="3000"/>
          <c:min val="0"/>
        </c:scaling>
        <c:delete val="1"/>
        <c:axPos val="l"/>
        <c:numFmt formatCode="&quot;$&quot;#,##0" sourceLinked="1"/>
        <c:majorTickMark val="out"/>
        <c:minorTickMark val="none"/>
        <c:tickLblPos val="none"/>
        <c:crossAx val="41223680"/>
        <c:crosses val="autoZero"/>
        <c:crossBetween val="between"/>
      </c:valAx>
    </c:plotArea>
    <c:legend>
      <c:legendPos val="t"/>
      <c:layout>
        <c:manualLayout>
          <c:xMode val="edge"/>
          <c:yMode val="edge"/>
          <c:x val="7.9592844740232288E-2"/>
          <c:y val="0.16056614001669217"/>
          <c:w val="0.8408145205414278"/>
          <c:h val="5.0821944847759044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Perkins Loans</a:t>
            </a:r>
          </a:p>
        </c:rich>
      </c:tx>
      <c:overlay val="0"/>
    </c:title>
    <c:autoTitleDeleted val="0"/>
    <c:plotArea>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66'!$K$11</c:f>
              <c:numCache>
                <c:formatCode>"$"#,##0</c:formatCode>
                <c:ptCount val="1"/>
                <c:pt idx="0">
                  <c:v>2479.5317716070181</c:v>
                </c:pt>
              </c:numCache>
            </c:numRef>
          </c:val>
          <c:extLst>
            <c:ext xmlns:c16="http://schemas.microsoft.com/office/drawing/2014/chart" uri="{C3380CC4-5D6E-409C-BE32-E72D297353CC}">
              <c16:uniqueId val="{00000000-4460-49BC-827D-AB0F70A68CC0}"/>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66'!$K$12</c:f>
              <c:numCache>
                <c:formatCode>#,##0</c:formatCode>
                <c:ptCount val="1"/>
                <c:pt idx="0">
                  <c:v>3089.0398535114173</c:v>
                </c:pt>
              </c:numCache>
            </c:numRef>
          </c:val>
          <c:extLst>
            <c:ext xmlns:c16="http://schemas.microsoft.com/office/drawing/2014/chart" uri="{C3380CC4-5D6E-409C-BE32-E72D297353CC}">
              <c16:uniqueId val="{00000001-4460-49BC-827D-AB0F70A68CC0}"/>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66'!$K$14</c:f>
              <c:numCache>
                <c:formatCode>#,##0</c:formatCode>
                <c:ptCount val="1"/>
                <c:pt idx="0">
                  <c:v>2854.532196969697</c:v>
                </c:pt>
              </c:numCache>
            </c:numRef>
          </c:val>
          <c:extLst>
            <c:ext xmlns:c16="http://schemas.microsoft.com/office/drawing/2014/chart" uri="{C3380CC4-5D6E-409C-BE32-E72D297353CC}">
              <c16:uniqueId val="{00000002-4460-49BC-827D-AB0F70A68CC0}"/>
            </c:ext>
          </c:extLst>
        </c:ser>
        <c:dLbls>
          <c:showLegendKey val="0"/>
          <c:showVal val="1"/>
          <c:showCatName val="0"/>
          <c:showSerName val="0"/>
          <c:showPercent val="0"/>
          <c:showBubbleSize val="0"/>
        </c:dLbls>
        <c:gapWidth val="50"/>
        <c:axId val="41252736"/>
        <c:axId val="41254272"/>
      </c:barChart>
      <c:catAx>
        <c:axId val="41252736"/>
        <c:scaling>
          <c:orientation val="minMax"/>
        </c:scaling>
        <c:delete val="1"/>
        <c:axPos val="b"/>
        <c:majorTickMark val="out"/>
        <c:minorTickMark val="none"/>
        <c:tickLblPos val="none"/>
        <c:crossAx val="41254272"/>
        <c:crosses val="autoZero"/>
        <c:auto val="1"/>
        <c:lblAlgn val="ctr"/>
        <c:lblOffset val="100"/>
        <c:noMultiLvlLbl val="0"/>
      </c:catAx>
      <c:valAx>
        <c:axId val="41254272"/>
        <c:scaling>
          <c:orientation val="minMax"/>
        </c:scaling>
        <c:delete val="1"/>
        <c:axPos val="l"/>
        <c:numFmt formatCode="&quot;$&quot;#,##0" sourceLinked="1"/>
        <c:majorTickMark val="out"/>
        <c:minorTickMark val="none"/>
        <c:tickLblPos val="none"/>
        <c:crossAx val="4125273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a:t>
            </a:r>
            <a:r>
              <a:rPr lang="en-US" sz="1200" baseline="0"/>
              <a:t> Educational Opportunity Grants</a:t>
            </a:r>
            <a:endParaRPr lang="en-US" sz="1200"/>
          </a:p>
        </c:rich>
      </c:tx>
      <c:layout>
        <c:manualLayout>
          <c:xMode val="edge"/>
          <c:yMode val="edge"/>
          <c:x val="0.23026159494413651"/>
          <c:y val="5.3140096618357474E-2"/>
        </c:manualLayout>
      </c:layout>
      <c:overlay val="0"/>
    </c:title>
    <c:autoTitleDeleted val="0"/>
    <c:plotArea>
      <c:layout/>
      <c:barChart>
        <c:barDir val="col"/>
        <c:grouping val="clustered"/>
        <c:varyColors val="0"/>
        <c:ser>
          <c:idx val="0"/>
          <c:order val="0"/>
          <c:tx>
            <c:strRef>
              <c:f>'TABLE 66'!$A$11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66'!$M$11</c:f>
              <c:numCache>
                <c:formatCode>"$"#,##0</c:formatCode>
                <c:ptCount val="1"/>
                <c:pt idx="0">
                  <c:v>662.24793115603086</c:v>
                </c:pt>
              </c:numCache>
            </c:numRef>
          </c:val>
          <c:extLst>
            <c:ext xmlns:c16="http://schemas.microsoft.com/office/drawing/2014/chart" uri="{C3380CC4-5D6E-409C-BE32-E72D297353CC}">
              <c16:uniqueId val="{00000000-7990-4C4A-83EC-DCD92AFBD2BF}"/>
            </c:ext>
          </c:extLst>
        </c:ser>
        <c:ser>
          <c:idx val="1"/>
          <c:order val="1"/>
          <c:tx>
            <c:strRef>
              <c:f>'TABLE 66'!$A$12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66'!$M$12</c:f>
              <c:numCache>
                <c:formatCode>#,##0</c:formatCode>
                <c:ptCount val="1"/>
                <c:pt idx="0">
                  <c:v>652.09171264260351</c:v>
                </c:pt>
              </c:numCache>
            </c:numRef>
          </c:val>
          <c:extLst>
            <c:ext xmlns:c16="http://schemas.microsoft.com/office/drawing/2014/chart" uri="{C3380CC4-5D6E-409C-BE32-E72D297353CC}">
              <c16:uniqueId val="{00000001-7990-4C4A-83EC-DCD92AFBD2BF}"/>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66'!$M$14</c:f>
              <c:numCache>
                <c:formatCode>#,##0</c:formatCode>
                <c:ptCount val="1"/>
                <c:pt idx="0">
                  <c:v>795.6481226317602</c:v>
                </c:pt>
              </c:numCache>
            </c:numRef>
          </c:val>
          <c:extLst>
            <c:ext xmlns:c16="http://schemas.microsoft.com/office/drawing/2014/chart" uri="{C3380CC4-5D6E-409C-BE32-E72D297353CC}">
              <c16:uniqueId val="{00000002-7990-4C4A-83EC-DCD92AFBD2BF}"/>
            </c:ext>
          </c:extLst>
        </c:ser>
        <c:dLbls>
          <c:showLegendKey val="0"/>
          <c:showVal val="1"/>
          <c:showCatName val="0"/>
          <c:showSerName val="0"/>
          <c:showPercent val="0"/>
          <c:showBubbleSize val="0"/>
        </c:dLbls>
        <c:gapWidth val="50"/>
        <c:axId val="41379712"/>
        <c:axId val="41381248"/>
      </c:barChart>
      <c:catAx>
        <c:axId val="41379712"/>
        <c:scaling>
          <c:orientation val="minMax"/>
        </c:scaling>
        <c:delete val="1"/>
        <c:axPos val="b"/>
        <c:majorTickMark val="out"/>
        <c:minorTickMark val="none"/>
        <c:tickLblPos val="none"/>
        <c:crossAx val="41381248"/>
        <c:crosses val="autoZero"/>
        <c:auto val="1"/>
        <c:lblAlgn val="ctr"/>
        <c:lblOffset val="100"/>
        <c:noMultiLvlLbl val="0"/>
      </c:catAx>
      <c:valAx>
        <c:axId val="41381248"/>
        <c:scaling>
          <c:orientation val="minMax"/>
          <c:max val="3000"/>
          <c:min val="0"/>
        </c:scaling>
        <c:delete val="1"/>
        <c:axPos val="l"/>
        <c:numFmt formatCode="&quot;$&quot;#,##0" sourceLinked="1"/>
        <c:majorTickMark val="out"/>
        <c:minorTickMark val="none"/>
        <c:tickLblPos val="none"/>
        <c:crossAx val="41379712"/>
        <c:crosses val="autoZero"/>
        <c:crossBetween val="between"/>
        <c:majorUnit val="500"/>
        <c:minorUnit val="100"/>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352425</xdr:colOff>
      <xdr:row>6</xdr:row>
      <xdr:rowOff>152400</xdr:rowOff>
    </xdr:from>
    <xdr:to>
      <xdr:col>21</xdr:col>
      <xdr:colOff>504825</xdr:colOff>
      <xdr:row>22</xdr:row>
      <xdr:rowOff>142875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352425</xdr:colOff>
      <xdr:row>22</xdr:row>
      <xdr:rowOff>133350</xdr:rowOff>
    </xdr:from>
    <xdr:to>
      <xdr:col>21</xdr:col>
      <xdr:colOff>504825</xdr:colOff>
      <xdr:row>39</xdr:row>
      <xdr:rowOff>19050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352425</xdr:colOff>
      <xdr:row>38</xdr:row>
      <xdr:rowOff>152400</xdr:rowOff>
    </xdr:from>
    <xdr:to>
      <xdr:col>21</xdr:col>
      <xdr:colOff>504825</xdr:colOff>
      <xdr:row>55</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485774</xdr:colOff>
      <xdr:row>6</xdr:row>
      <xdr:rowOff>152401</xdr:rowOff>
    </xdr:from>
    <xdr:to>
      <xdr:col>26</xdr:col>
      <xdr:colOff>400049</xdr:colOff>
      <xdr:row>22</xdr:row>
      <xdr:rowOff>133350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485775</xdr:colOff>
      <xdr:row>22</xdr:row>
      <xdr:rowOff>133350</xdr:rowOff>
    </xdr:from>
    <xdr:to>
      <xdr:col>26</xdr:col>
      <xdr:colOff>400050</xdr:colOff>
      <xdr:row>39</xdr:row>
      <xdr:rowOff>9525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485775</xdr:colOff>
      <xdr:row>38</xdr:row>
      <xdr:rowOff>152400</xdr:rowOff>
    </xdr:from>
    <xdr:to>
      <xdr:col>26</xdr:col>
      <xdr:colOff>400050</xdr:colOff>
      <xdr:row>55</xdr:row>
      <xdr:rowOff>28575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38100</xdr:colOff>
      <xdr:row>6</xdr:row>
      <xdr:rowOff>9525</xdr:rowOff>
    </xdr:from>
    <xdr:to>
      <xdr:col>16</xdr:col>
      <xdr:colOff>352425</xdr:colOff>
      <xdr:row>17</xdr:row>
      <xdr:rowOff>43390</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0769600" y="993775"/>
          <a:ext cx="1605492" cy="1822448"/>
        </a:xfrm>
        <a:prstGeom prst="wedgeEllipseCallout">
          <a:avLst>
            <a:gd name="adj1" fmla="val 151036"/>
            <a:gd name="adj2" fmla="val 6216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tudentaid.ed.gov/about/data-center/student/title-iv" TargetMode="External"/><Relationship Id="rId7" Type="http://schemas.openxmlformats.org/officeDocument/2006/relationships/vmlDrawing" Target="../drawings/vmlDrawing1.vm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printerSettings" Target="../printerSettings/printerSettings2.bin"/><Relationship Id="rId5" Type="http://schemas.openxmlformats.org/officeDocument/2006/relationships/hyperlink" Target="http://studentaid.ed.gov/about/data-center/student/title-iv" TargetMode="External"/><Relationship Id="rId4" Type="http://schemas.openxmlformats.org/officeDocument/2006/relationships/hyperlink" Target="http://studentaid.ed.gov/about/data-center/student/title-iv"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tabColor indexed="16"/>
    <pageSetUpPr fitToPage="1"/>
  </sheetPr>
  <dimension ref="A1:Z82"/>
  <sheetViews>
    <sheetView showGridLines="0" tabSelected="1" view="pageBreakPreview" zoomScale="90" zoomScaleNormal="80" zoomScaleSheetLayoutView="90" workbookViewId="0">
      <selection activeCell="A2" sqref="A2"/>
    </sheetView>
  </sheetViews>
  <sheetFormatPr defaultColWidth="9.7109375" defaultRowHeight="12.75"/>
  <cols>
    <col min="1" max="1" width="8" style="2" customWidth="1"/>
    <col min="2" max="2" width="12" style="2" customWidth="1"/>
    <col min="3" max="13" width="11.7109375" style="2" customWidth="1"/>
    <col min="14" max="14" width="11.7109375" style="8" customWidth="1"/>
    <col min="15" max="15" width="9.7109375" style="62"/>
    <col min="16" max="16384" width="9.7109375" style="2"/>
  </cols>
  <sheetData>
    <row r="1" spans="1:26">
      <c r="A1" s="4" t="s">
        <v>260</v>
      </c>
      <c r="B1" s="4"/>
      <c r="C1" s="1"/>
      <c r="D1" s="1"/>
      <c r="E1" s="1"/>
      <c r="F1" s="1"/>
      <c r="G1" s="1"/>
      <c r="H1" s="1"/>
      <c r="I1" s="1"/>
      <c r="J1" s="1"/>
      <c r="K1" s="1"/>
      <c r="L1" s="1"/>
      <c r="M1" s="1"/>
      <c r="N1" s="7"/>
    </row>
    <row r="2" spans="1:26">
      <c r="A2" s="4" t="s">
        <v>191</v>
      </c>
      <c r="B2" s="4"/>
      <c r="C2" s="1"/>
      <c r="D2" s="1"/>
      <c r="E2" s="1"/>
      <c r="F2" s="4"/>
      <c r="G2" s="1"/>
      <c r="H2" s="1"/>
      <c r="J2" s="1"/>
      <c r="K2" s="1"/>
      <c r="L2" s="1"/>
      <c r="M2" s="1"/>
      <c r="N2" s="7"/>
    </row>
    <row r="3" spans="1:26">
      <c r="A3" s="1"/>
      <c r="B3" s="1"/>
      <c r="C3" s="1"/>
      <c r="D3" s="1"/>
      <c r="E3" s="1"/>
      <c r="F3" s="1"/>
      <c r="G3" s="1"/>
      <c r="H3" s="1"/>
    </row>
    <row r="4" spans="1:26" ht="13.5" customHeight="1">
      <c r="A4" s="3"/>
      <c r="B4" s="3"/>
      <c r="C4" s="15" t="s">
        <v>140</v>
      </c>
      <c r="D4" s="15"/>
      <c r="E4" s="15"/>
      <c r="F4" s="15"/>
      <c r="G4" s="15"/>
      <c r="H4" s="15"/>
      <c r="I4" s="49" t="s">
        <v>190</v>
      </c>
      <c r="J4" s="15"/>
      <c r="K4" s="15"/>
      <c r="L4" s="15"/>
      <c r="M4" s="15"/>
      <c r="N4" s="15"/>
      <c r="O4" s="62" t="s">
        <v>118</v>
      </c>
    </row>
    <row r="5" spans="1:26" ht="13.5" customHeight="1">
      <c r="A5" s="1"/>
      <c r="B5" s="1"/>
      <c r="C5" s="1" t="s">
        <v>117</v>
      </c>
      <c r="D5" s="5"/>
      <c r="F5" s="5"/>
      <c r="G5" s="1" t="s">
        <v>189</v>
      </c>
      <c r="H5" s="1"/>
      <c r="I5" s="50" t="s">
        <v>117</v>
      </c>
      <c r="J5" s="5"/>
      <c r="L5" s="5"/>
      <c r="M5" s="1" t="s">
        <v>189</v>
      </c>
      <c r="N5" s="7"/>
    </row>
    <row r="6" spans="1:26" ht="13.5" customHeight="1">
      <c r="A6" s="1"/>
      <c r="B6" s="1"/>
      <c r="C6" s="1" t="s">
        <v>226</v>
      </c>
      <c r="D6" s="5"/>
      <c r="E6" s="1" t="s">
        <v>137</v>
      </c>
      <c r="F6" s="5"/>
      <c r="G6" s="1" t="s">
        <v>108</v>
      </c>
      <c r="H6" s="1"/>
      <c r="I6" s="208" t="s">
        <v>226</v>
      </c>
      <c r="J6" s="5"/>
      <c r="K6" s="1" t="s">
        <v>137</v>
      </c>
      <c r="L6" s="5"/>
      <c r="M6" s="1" t="s">
        <v>108</v>
      </c>
      <c r="N6" s="7"/>
      <c r="R6" s="236" t="s">
        <v>256</v>
      </c>
      <c r="S6" s="220"/>
      <c r="T6" s="220"/>
      <c r="U6" s="220"/>
      <c r="W6" s="220" t="s">
        <v>255</v>
      </c>
      <c r="X6" s="220"/>
      <c r="Y6" s="220"/>
      <c r="Z6" s="220"/>
    </row>
    <row r="7" spans="1:26" ht="13.5" customHeight="1">
      <c r="C7" s="11" t="s">
        <v>118</v>
      </c>
      <c r="D7" s="16" t="s">
        <v>109</v>
      </c>
      <c r="E7" s="20" t="s">
        <v>118</v>
      </c>
      <c r="F7" s="16" t="s">
        <v>109</v>
      </c>
      <c r="G7" s="20" t="s">
        <v>118</v>
      </c>
      <c r="H7" s="16" t="s">
        <v>109</v>
      </c>
      <c r="I7" s="20" t="s">
        <v>118</v>
      </c>
      <c r="J7" s="16" t="s">
        <v>109</v>
      </c>
      <c r="K7" s="20" t="s">
        <v>118</v>
      </c>
      <c r="L7" s="16" t="s">
        <v>109</v>
      </c>
      <c r="M7" s="20" t="s">
        <v>118</v>
      </c>
      <c r="N7" s="16" t="s">
        <v>109</v>
      </c>
    </row>
    <row r="8" spans="1:26" ht="13.5" customHeight="1">
      <c r="C8" s="9" t="s">
        <v>118</v>
      </c>
      <c r="D8" s="6" t="s">
        <v>205</v>
      </c>
      <c r="E8" s="21" t="s">
        <v>118</v>
      </c>
      <c r="F8" s="6" t="s">
        <v>205</v>
      </c>
      <c r="G8" s="21" t="s">
        <v>118</v>
      </c>
      <c r="H8" s="6" t="s">
        <v>205</v>
      </c>
      <c r="I8" s="21" t="s">
        <v>118</v>
      </c>
      <c r="J8" s="6" t="s">
        <v>205</v>
      </c>
      <c r="K8" s="21" t="s">
        <v>118</v>
      </c>
      <c r="L8" s="6" t="s">
        <v>205</v>
      </c>
      <c r="M8" s="21" t="s">
        <v>118</v>
      </c>
      <c r="N8" s="6" t="s">
        <v>205</v>
      </c>
    </row>
    <row r="9" spans="1:26" s="114" customFormat="1" ht="13.5" customHeight="1">
      <c r="C9" s="114" t="s">
        <v>118</v>
      </c>
      <c r="D9" s="117" t="s">
        <v>253</v>
      </c>
      <c r="E9" s="114" t="s">
        <v>118</v>
      </c>
      <c r="F9" s="225" t="s">
        <v>253</v>
      </c>
      <c r="G9" s="226" t="s">
        <v>118</v>
      </c>
      <c r="H9" s="117" t="s">
        <v>233</v>
      </c>
      <c r="I9" s="226" t="s">
        <v>118</v>
      </c>
      <c r="J9" s="117" t="s">
        <v>253</v>
      </c>
      <c r="K9" s="226" t="s">
        <v>118</v>
      </c>
      <c r="L9" s="117" t="s">
        <v>233</v>
      </c>
      <c r="M9" s="226" t="s">
        <v>118</v>
      </c>
      <c r="N9" s="117" t="s">
        <v>253</v>
      </c>
      <c r="O9" s="115"/>
    </row>
    <row r="10" spans="1:26" s="114" customFormat="1" ht="13.5" customHeight="1">
      <c r="A10" s="116"/>
      <c r="B10" s="116"/>
      <c r="C10" s="234" t="s">
        <v>252</v>
      </c>
      <c r="D10" s="235" t="s">
        <v>252</v>
      </c>
      <c r="E10" s="234" t="s">
        <v>252</v>
      </c>
      <c r="F10" s="235" t="s">
        <v>252</v>
      </c>
      <c r="G10" s="234" t="s">
        <v>252</v>
      </c>
      <c r="H10" s="235" t="s">
        <v>252</v>
      </c>
      <c r="I10" s="234" t="s">
        <v>252</v>
      </c>
      <c r="J10" s="235" t="s">
        <v>252</v>
      </c>
      <c r="K10" s="234" t="s">
        <v>252</v>
      </c>
      <c r="L10" s="235" t="s">
        <v>252</v>
      </c>
      <c r="M10" s="234" t="s">
        <v>252</v>
      </c>
      <c r="N10" s="235" t="s">
        <v>252</v>
      </c>
      <c r="O10" s="115"/>
    </row>
    <row r="11" spans="1:26">
      <c r="A11" s="24" t="s">
        <v>214</v>
      </c>
      <c r="B11" s="24"/>
      <c r="C11" s="211">
        <f>'College Work-Study'!AG4</f>
        <v>1077061.6939999999</v>
      </c>
      <c r="D11" s="51">
        <f>(('College Work-Study'!AG4-'College Work-Study'!AB4)/'College Work-Study'!AB4)*100</f>
        <v>-8.596121073316656</v>
      </c>
      <c r="E11" s="211">
        <f>'Perkins Loans'!AG4</f>
        <v>1044909.4019999999</v>
      </c>
      <c r="F11" s="51">
        <f>(('Perkins Loans'!AG4-'Perkins Loans'!AB4)/'Perkins Loans'!AB4)*100</f>
        <v>22.029890631008463</v>
      </c>
      <c r="G11" s="211">
        <f>SEOG!AG4</f>
        <v>976961.39299999992</v>
      </c>
      <c r="H11" s="51">
        <f>((SEOG!AG4-SEOG!AB4)/SEOG!AB4)*100</f>
        <v>-2.0326666461037486</v>
      </c>
      <c r="I11" s="211">
        <f>'CWS per-recipient'!AG4</f>
        <v>1741.3051992039279</v>
      </c>
      <c r="J11" s="51">
        <f>(('CWS per-recipient'!AG4-'CWS per-recipient'!AB4)/'CWS per-recipient'!AB4)*100</f>
        <v>3.736236266579628</v>
      </c>
      <c r="K11" s="211">
        <f>'Perkins per-recipient'!AG4</f>
        <v>2479.5317716070181</v>
      </c>
      <c r="L11" s="51">
        <f>(('Perkins per-recipient'!AG4-'Perkins per-recipient'!AB4)/'Perkins per-recipient'!AB4)*100</f>
        <v>33.279201738929451</v>
      </c>
      <c r="M11" s="211">
        <f>'SEOG per-recipient'!AG4</f>
        <v>662.24793115603086</v>
      </c>
      <c r="N11" s="56">
        <f>(('SEOG per-recipient'!AG4-'SEOG per-recipient'!AB4)/'SEOG per-recipient'!AB4)*100</f>
        <v>4.78484290644501</v>
      </c>
      <c r="O11" s="115"/>
    </row>
    <row r="12" spans="1:26">
      <c r="A12" s="29" t="s">
        <v>116</v>
      </c>
      <c r="B12" s="29"/>
      <c r="C12" s="29">
        <f>'College Work-Study'!AG5</f>
        <v>297217.54399999999</v>
      </c>
      <c r="D12" s="52">
        <f>(('College Work-Study'!AG5-'College Work-Study'!AB5)/'College Work-Study'!AB5)*100</f>
        <v>-7.3199673227997684</v>
      </c>
      <c r="E12" s="29">
        <f>'Perkins Loans'!AG5</f>
        <v>215089.845</v>
      </c>
      <c r="F12" s="52">
        <f>(('Perkins Loans'!AG5-'Perkins Loans'!AB5)/'Perkins Loans'!AB5)*100</f>
        <v>21.519571786618698</v>
      </c>
      <c r="G12" s="29">
        <f>SEOG!AG5</f>
        <v>278938.75100000005</v>
      </c>
      <c r="H12" s="52">
        <f>((SEOG!AG5-SEOG!AB5)/SEOG!AB5)*100</f>
        <v>0.61878412494547907</v>
      </c>
      <c r="I12" s="29">
        <f>'CWS per-recipient'!AG5</f>
        <v>1804.2380336665999</v>
      </c>
      <c r="J12" s="52">
        <f>(('CWS per-recipient'!AG5-'CWS per-recipient'!AB5)/'CWS per-recipient'!AB5)*100</f>
        <v>2.8592914245585965</v>
      </c>
      <c r="K12" s="29">
        <f>'Perkins per-recipient'!AG5</f>
        <v>3089.0398535114173</v>
      </c>
      <c r="L12" s="52">
        <f>(('Perkins per-recipient'!AG5-'Perkins per-recipient'!AB5)/'Perkins per-recipient'!AB5)*100</f>
        <v>35.322505769964465</v>
      </c>
      <c r="M12" s="29">
        <f>'SEOG per-recipient'!AG5</f>
        <v>652.09171264260351</v>
      </c>
      <c r="N12" s="57">
        <f>(('SEOG per-recipient'!AG5-'SEOG per-recipient'!AB5)/'SEOG per-recipient'!AB5)*100</f>
        <v>9.2568606384586118</v>
      </c>
      <c r="O12" s="14"/>
    </row>
    <row r="13" spans="1:26" s="205" customFormat="1">
      <c r="A13" s="203" t="s">
        <v>216</v>
      </c>
      <c r="B13" s="203"/>
      <c r="C13" s="203">
        <f>(C12/C$11)*100</f>
        <v>27.59522000046174</v>
      </c>
      <c r="D13" s="52"/>
      <c r="E13" s="203">
        <f>(E12/E$11)*100</f>
        <v>20.584544898180564</v>
      </c>
      <c r="F13" s="52"/>
      <c r="G13" s="203">
        <f>(G12/G$11)*100</f>
        <v>28.551665705381673</v>
      </c>
      <c r="H13" s="52"/>
      <c r="I13" s="203">
        <f>(I12/I$11)*100</f>
        <v>103.6141185641347</v>
      </c>
      <c r="J13" s="52"/>
      <c r="K13" s="203">
        <f>(K12/K$11)*100</f>
        <v>124.58157983228297</v>
      </c>
      <c r="L13" s="52"/>
      <c r="M13" s="203">
        <f>(M12/M$11)*100</f>
        <v>98.466402379589397</v>
      </c>
      <c r="N13" s="57"/>
      <c r="O13" s="204"/>
    </row>
    <row r="14" spans="1:26">
      <c r="A14" s="32" t="s">
        <v>18</v>
      </c>
      <c r="B14" s="32"/>
      <c r="C14" s="32">
        <f>'College Work-Study'!AG7</f>
        <v>13802.092000000001</v>
      </c>
      <c r="D14" s="53">
        <f>(('College Work-Study'!AG7-'College Work-Study'!AB7)/'College Work-Study'!AB7)*100</f>
        <v>-8.7747624107995321</v>
      </c>
      <c r="E14" s="32">
        <f>'Perkins Loans'!AG7</f>
        <v>10550.351000000001</v>
      </c>
      <c r="F14" s="53">
        <f>(('Perkins Loans'!AG7-'Perkins Loans'!AB7)/'Perkins Loans'!AB7)*100</f>
        <v>20.234783939583306</v>
      </c>
      <c r="G14" s="32">
        <f>SEOG!AG7</f>
        <v>13858.599</v>
      </c>
      <c r="H14" s="53">
        <f>((SEOG!AG7-SEOG!AB7)/SEOG!AB7)*100</f>
        <v>-4.0037263619047199</v>
      </c>
      <c r="I14" s="32">
        <f>'CWS per-recipient'!AG7</f>
        <v>1762.9444373483204</v>
      </c>
      <c r="J14" s="53">
        <f>(('CWS per-recipient'!AG7-'CWS per-recipient'!AB7)/'CWS per-recipient'!AB7)*100</f>
        <v>1.3393653484833903</v>
      </c>
      <c r="K14" s="32">
        <f>'Perkins per-recipient'!AG7</f>
        <v>2854.532196969697</v>
      </c>
      <c r="L14" s="53">
        <f>(('Perkins per-recipient'!AG7-'Perkins per-recipient'!AB7)/'Perkins per-recipient'!AB7)*100</f>
        <v>14.184007475091276</v>
      </c>
      <c r="M14" s="32">
        <f>'SEOG per-recipient'!AG7</f>
        <v>795.6481226317602</v>
      </c>
      <c r="N14" s="58">
        <f>(('SEOG per-recipient'!AG7-'SEOG per-recipient'!AB7)/'SEOG per-recipient'!AB7)*100</f>
        <v>29.5382027551838</v>
      </c>
      <c r="O14" s="14"/>
    </row>
    <row r="15" spans="1:26">
      <c r="A15" s="32" t="s">
        <v>19</v>
      </c>
      <c r="B15" s="32"/>
      <c r="C15" s="32">
        <f>'College Work-Study'!AG8</f>
        <v>9215.7649999999994</v>
      </c>
      <c r="D15" s="53">
        <f>(('College Work-Study'!AF8-'College Work-Study'!AA8)/'College Work-Study'!AA8)*100</f>
        <v>-11.029510132330435</v>
      </c>
      <c r="E15" s="32">
        <f>'Perkins Loans'!AG8</f>
        <v>6195.7039999999997</v>
      </c>
      <c r="F15" s="53">
        <f>(('Perkins Loans'!AG8-'Perkins Loans'!AB8)/'Perkins Loans'!AB8)*100</f>
        <v>24.838509160332244</v>
      </c>
      <c r="G15" s="32">
        <f>SEOG!AG8</f>
        <v>5726.8580000000002</v>
      </c>
      <c r="H15" s="53">
        <f>((SEOG!AG8-SEOG!AB8)/SEOG!AB8)*100</f>
        <v>4.6144386484217339</v>
      </c>
      <c r="I15" s="32">
        <f>'CWS per-recipient'!AG8</f>
        <v>1630.8202088125995</v>
      </c>
      <c r="J15" s="53">
        <f>(('CWS per-recipient'!AG8-'CWS per-recipient'!AB8)/'CWS per-recipient'!AB8)*100</f>
        <v>6.7730123466754044</v>
      </c>
      <c r="K15" s="32">
        <f>'Perkins per-recipient'!AG8</f>
        <v>2954.5560324272769</v>
      </c>
      <c r="L15" s="53">
        <f>(('Perkins per-recipient'!AG8-'Perkins per-recipient'!AB8)/'Perkins per-recipient'!AB8)*100</f>
        <v>25.017105024653198</v>
      </c>
      <c r="M15" s="32">
        <f>'SEOG per-recipient'!AG8</f>
        <v>610.66943911281726</v>
      </c>
      <c r="N15" s="58">
        <f>(('SEOG per-recipient'!AG8-'SEOG per-recipient'!AB8)/'SEOG per-recipient'!AB8)*100</f>
        <v>-2.5695769721352688</v>
      </c>
      <c r="O15" s="14"/>
    </row>
    <row r="16" spans="1:26">
      <c r="A16" s="32" t="s">
        <v>113</v>
      </c>
      <c r="B16" s="32"/>
      <c r="C16" s="32">
        <f>'College Work-Study'!AG9</f>
        <v>1767.9259999999999</v>
      </c>
      <c r="D16" s="53">
        <f>(('College Work-Study'!AG9-'College Work-Study'!AB9)/'College Work-Study'!AB9)*100</f>
        <v>7.1462510575680662</v>
      </c>
      <c r="E16" s="32">
        <f>'Perkins Loans'!AG9</f>
        <v>2514.453</v>
      </c>
      <c r="F16" s="53">
        <f>(('Perkins Loans'!AG9-'Perkins Loans'!AB9)/'Perkins Loans'!AB9)*100</f>
        <v>61.226395072003413</v>
      </c>
      <c r="G16" s="32">
        <f>SEOG!AG9</f>
        <v>2294.8150000000001</v>
      </c>
      <c r="H16" s="53">
        <f>((SEOG!AG9-SEOG!AB9)/SEOG!AB9)*100</f>
        <v>4.2253975304537601</v>
      </c>
      <c r="I16" s="32">
        <f>'CWS per-recipient'!AG9</f>
        <v>1644.5823255813953</v>
      </c>
      <c r="J16" s="53">
        <f>(('CWS per-recipient'!AG9-'CWS per-recipient'!AB9)/'CWS per-recipient'!AB9)*100</f>
        <v>13.425519724197621</v>
      </c>
      <c r="K16" s="32">
        <f>'Perkins per-recipient'!AG9</f>
        <v>1994.01506740682</v>
      </c>
      <c r="L16" s="53">
        <f>(('Perkins per-recipient'!AG9-'Perkins per-recipient'!AB9)/'Perkins per-recipient'!AB9)*100</f>
        <v>11.36256154457967</v>
      </c>
      <c r="M16" s="32">
        <f>'SEOG per-recipient'!AG9</f>
        <v>615.39688924644679</v>
      </c>
      <c r="N16" s="58">
        <f>(('SEOG per-recipient'!AG9-'SEOG per-recipient'!AB9)/'SEOG per-recipient'!AB9)*100</f>
        <v>11.9675362046119</v>
      </c>
      <c r="O16" s="14"/>
    </row>
    <row r="17" spans="1:15">
      <c r="A17" s="32" t="s">
        <v>20</v>
      </c>
      <c r="B17" s="32"/>
      <c r="C17" s="32">
        <f>'College Work-Study'!AG10</f>
        <v>41736.909</v>
      </c>
      <c r="D17" s="53">
        <f>(('College Work-Study'!AG10-'College Work-Study'!AB10)/'College Work-Study'!AB10)*100</f>
        <v>-1.6687998075637958</v>
      </c>
      <c r="E17" s="32">
        <f>'Perkins Loans'!AG10</f>
        <v>20660.190999999999</v>
      </c>
      <c r="F17" s="53">
        <f>(('Perkins Loans'!AG10-'Perkins Loans'!AB10)/'Perkins Loans'!AB10)*100</f>
        <v>29.610450796789507</v>
      </c>
      <c r="G17" s="32">
        <f>SEOG!AG10</f>
        <v>47986.432000000001</v>
      </c>
      <c r="H17" s="53">
        <f>((SEOG!AG10-SEOG!AB10)/SEOG!AB10)*100</f>
        <v>3.5247211749425822</v>
      </c>
      <c r="I17" s="32">
        <f>'CWS per-recipient'!AG10</f>
        <v>2363.2245625955497</v>
      </c>
      <c r="J17" s="53">
        <f>(('CWS per-recipient'!AG10-'CWS per-recipient'!AB10)/'CWS per-recipient'!AB10)*100</f>
        <v>20.028538233879161</v>
      </c>
      <c r="K17" s="32">
        <f>'Perkins per-recipient'!AG10</f>
        <v>3071.2339824587484</v>
      </c>
      <c r="L17" s="53">
        <f>(('Perkins per-recipient'!AG10-'Perkins per-recipient'!AB10)/'Perkins per-recipient'!AB10)*100</f>
        <v>47.08580071096938</v>
      </c>
      <c r="M17" s="32">
        <f>'SEOG per-recipient'!AG10</f>
        <v>544.21811170966828</v>
      </c>
      <c r="N17" s="58">
        <f>(('SEOG per-recipient'!AG10-'SEOG per-recipient'!AB10)/'SEOG per-recipient'!AB10)*100</f>
        <v>10.874477393316734</v>
      </c>
      <c r="O17" s="14"/>
    </row>
    <row r="18" spans="1:15">
      <c r="A18" s="34" t="s">
        <v>21</v>
      </c>
      <c r="B18" s="34"/>
      <c r="C18" s="29">
        <f>'College Work-Study'!AG11</f>
        <v>23358.37</v>
      </c>
      <c r="D18" s="52">
        <f>(('College Work-Study'!AG11-'College Work-Study'!AB11)/'College Work-Study'!AB11)*100</f>
        <v>-7.387353296742714</v>
      </c>
      <c r="E18" s="29">
        <f>'Perkins Loans'!AG11</f>
        <v>9827.9920000000002</v>
      </c>
      <c r="F18" s="52">
        <f>(('Perkins Loans'!AG11-'Perkins Loans'!AB11)/'Perkins Loans'!AB11)*100</f>
        <v>45.502534896652861</v>
      </c>
      <c r="G18" s="29">
        <f>SEOG!AG11</f>
        <v>25602.175999999999</v>
      </c>
      <c r="H18" s="52">
        <f>((SEOG!AG11-SEOG!AB11)/SEOG!AB11)*100</f>
        <v>6.532057098992496</v>
      </c>
      <c r="I18" s="29">
        <f>'CWS per-recipient'!AG11</f>
        <v>1885.4120590846719</v>
      </c>
      <c r="J18" s="52">
        <f>(('CWS per-recipient'!AG11-'CWS per-recipient'!AB11)/'CWS per-recipient'!AB11)*100</f>
        <v>4.7003575531376036</v>
      </c>
      <c r="K18" s="29">
        <f>'Perkins per-recipient'!AG11</f>
        <v>3857.1397174254316</v>
      </c>
      <c r="L18" s="52">
        <f>(('Perkins per-recipient'!AG11-'Perkins per-recipient'!AB11)/'Perkins per-recipient'!AB11)*100</f>
        <v>66.117297493863063</v>
      </c>
      <c r="M18" s="29">
        <f>'SEOG per-recipient'!AG11</f>
        <v>638.95220744216226</v>
      </c>
      <c r="N18" s="57">
        <f>(('SEOG per-recipient'!AG11-'SEOG per-recipient'!AB11)/'SEOG per-recipient'!AB11)*100</f>
        <v>0.11126002659071819</v>
      </c>
      <c r="O18" s="14"/>
    </row>
    <row r="19" spans="1:15">
      <c r="A19" s="34" t="s">
        <v>22</v>
      </c>
      <c r="B19" s="34"/>
      <c r="C19" s="29">
        <f>'College Work-Study'!AG12</f>
        <v>15561.544</v>
      </c>
      <c r="D19" s="52">
        <f>(('College Work-Study'!AG12-'College Work-Study'!AB12)/'College Work-Study'!AB12)*100</f>
        <v>-46.272312343163776</v>
      </c>
      <c r="E19" s="29">
        <f>'Perkins Loans'!AG12</f>
        <v>7396.6180000000004</v>
      </c>
      <c r="F19" s="52">
        <f>(('Perkins Loans'!AG12-'Perkins Loans'!AB12)/'Perkins Loans'!AB12)*100</f>
        <v>-24.861921443993381</v>
      </c>
      <c r="G19" s="29">
        <f>SEOG!AG12</f>
        <v>11777.123</v>
      </c>
      <c r="H19" s="52">
        <f>((SEOG!AG12-SEOG!AB12)/SEOG!AB12)*100</f>
        <v>-4.1312355357873995</v>
      </c>
      <c r="I19" s="29">
        <f>'CWS per-recipient'!AG12</f>
        <v>1748.684571300146</v>
      </c>
      <c r="J19" s="52">
        <f>(('CWS per-recipient'!AG12-'CWS per-recipient'!AB12)/'CWS per-recipient'!AB12)*100</f>
        <v>-31.607231624155446</v>
      </c>
      <c r="K19" s="29">
        <f>'Perkins per-recipient'!AG12</f>
        <v>1982.476011793085</v>
      </c>
      <c r="L19" s="52">
        <f>(('Perkins per-recipient'!AG12-'Perkins per-recipient'!AB12)/'Perkins per-recipient'!AB12)*100</f>
        <v>26.190083149809013</v>
      </c>
      <c r="M19" s="29">
        <f>'SEOG per-recipient'!AG12</f>
        <v>601.21103680637088</v>
      </c>
      <c r="N19" s="57">
        <f>(('SEOG per-recipient'!AG12-'SEOG per-recipient'!AB12)/'SEOG per-recipient'!AB12)*100</f>
        <v>16.115284377860423</v>
      </c>
      <c r="O19" s="14"/>
    </row>
    <row r="20" spans="1:15">
      <c r="A20" s="34" t="s">
        <v>23</v>
      </c>
      <c r="B20" s="34"/>
      <c r="C20" s="29">
        <f>'College Work-Study'!AG13</f>
        <v>11497.184999999999</v>
      </c>
      <c r="D20" s="52">
        <f>(('College Work-Study'!AG13-'College Work-Study'!AB13)/'College Work-Study'!AB13)*100</f>
        <v>-19.161616018862603</v>
      </c>
      <c r="E20" s="29">
        <f>'Perkins Loans'!AG13</f>
        <v>16067.366</v>
      </c>
      <c r="F20" s="52">
        <f>(('Perkins Loans'!AG13-'Perkins Loans'!AB13)/'Perkins Loans'!AB13)*100</f>
        <v>22.464110494608221</v>
      </c>
      <c r="G20" s="29">
        <f>SEOG!AG13</f>
        <v>9704.5390000000007</v>
      </c>
      <c r="H20" s="52">
        <f>((SEOG!AG13-SEOG!AB13)/SEOG!AB13)*100</f>
        <v>5.0213862053023828</v>
      </c>
      <c r="I20" s="29">
        <f>'CWS per-recipient'!AG13</f>
        <v>1656.1776145203112</v>
      </c>
      <c r="J20" s="52">
        <f>(('CWS per-recipient'!AG13-'CWS per-recipient'!AB13)/'CWS per-recipient'!AB13)*100</f>
        <v>-1.1470697758750406</v>
      </c>
      <c r="K20" s="29">
        <f>'Perkins per-recipient'!AG13</f>
        <v>3987.929014643832</v>
      </c>
      <c r="L20" s="52">
        <f>(('Perkins per-recipient'!AG13-'Perkins per-recipient'!AB13)/'Perkins per-recipient'!AB13)*100</f>
        <v>45.655998384254801</v>
      </c>
      <c r="M20" s="29">
        <f>'SEOG per-recipient'!AG13</f>
        <v>722.92453814064368</v>
      </c>
      <c r="N20" s="57">
        <f>(('SEOG per-recipient'!AG13-'SEOG per-recipient'!AB13)/'SEOG per-recipient'!AB13)*100</f>
        <v>18.688874413039517</v>
      </c>
      <c r="O20" s="14"/>
    </row>
    <row r="21" spans="1:15">
      <c r="A21" s="34" t="s">
        <v>24</v>
      </c>
      <c r="B21" s="34"/>
      <c r="C21" s="29">
        <f>'College Work-Study'!AG14</f>
        <v>14303.406000000001</v>
      </c>
      <c r="D21" s="52">
        <f>(('College Work-Study'!AG14-'College Work-Study'!AB14)/'College Work-Study'!AB14)*100</f>
        <v>-14.863937052885412</v>
      </c>
      <c r="E21" s="29">
        <f>'Perkins Loans'!AG14</f>
        <v>13930.468000000001</v>
      </c>
      <c r="F21" s="52">
        <f>(('Perkins Loans'!AG14-'Perkins Loans'!AB14)/'Perkins Loans'!AB14)*100</f>
        <v>5.1207874995434635</v>
      </c>
      <c r="G21" s="29">
        <f>SEOG!AG14</f>
        <v>14741.886</v>
      </c>
      <c r="H21" s="52">
        <f>((SEOG!AG14-SEOG!AB14)/SEOG!AB14)*100</f>
        <v>-0.7625429623357215</v>
      </c>
      <c r="I21" s="29">
        <f>'CWS per-recipient'!AG14</f>
        <v>1944.7186947654657</v>
      </c>
      <c r="J21" s="52">
        <f>(('CWS per-recipient'!AG14-'CWS per-recipient'!AB14)/'CWS per-recipient'!AB14)*100</f>
        <v>0.18390548025516373</v>
      </c>
      <c r="K21" s="29">
        <f>'Perkins per-recipient'!AG14</f>
        <v>3522.2422250316054</v>
      </c>
      <c r="L21" s="52">
        <f>(('Perkins per-recipient'!AG14-'Perkins per-recipient'!AB14)/'Perkins per-recipient'!AB14)*100</f>
        <v>72.472513295711124</v>
      </c>
      <c r="M21" s="29">
        <f>'SEOG per-recipient'!AG14</f>
        <v>699.36363205085627</v>
      </c>
      <c r="N21" s="57">
        <f>(('SEOG per-recipient'!AG14-'SEOG per-recipient'!AB14)/'SEOG per-recipient'!AB14)*100</f>
        <v>11.765132599940694</v>
      </c>
      <c r="O21" s="14"/>
    </row>
    <row r="22" spans="1:15">
      <c r="A22" s="32" t="s">
        <v>25</v>
      </c>
      <c r="B22" s="32"/>
      <c r="C22" s="32">
        <f>'College Work-Study'!AG15</f>
        <v>10420.225</v>
      </c>
      <c r="D22" s="53">
        <f>(('College Work-Study'!AG15-'College Work-Study'!AB15)/'College Work-Study'!AB15)*100</f>
        <v>-3.8683127647946325</v>
      </c>
      <c r="E22" s="32">
        <f>'Perkins Loans'!AG15</f>
        <v>10185.867</v>
      </c>
      <c r="F22" s="53">
        <f>(('Perkins Loans'!AG15-'Perkins Loans'!AB15)/'Perkins Loans'!AB15)*100</f>
        <v>50.874441823190217</v>
      </c>
      <c r="G22" s="32">
        <f>SEOG!AG15</f>
        <v>10003.81</v>
      </c>
      <c r="H22" s="53">
        <f>((SEOG!AG15-SEOG!AB15)/SEOG!AB15)*100</f>
        <v>10.472479804211293</v>
      </c>
      <c r="I22" s="32">
        <f>'CWS per-recipient'!AG15</f>
        <v>1580.7380157766991</v>
      </c>
      <c r="J22" s="53">
        <f>(('CWS per-recipient'!AG15-'CWS per-recipient'!AB15)/'CWS per-recipient'!AB15)*100</f>
        <v>2.3440808581115258</v>
      </c>
      <c r="K22" s="32">
        <f>'Perkins per-recipient'!AG15</f>
        <v>3175.1455735660847</v>
      </c>
      <c r="L22" s="53">
        <f>(('Perkins per-recipient'!AG15-'Perkins per-recipient'!AB15)/'Perkins per-recipient'!AB15)*100</f>
        <v>41.233151120648422</v>
      </c>
      <c r="M22" s="32">
        <f>'SEOG per-recipient'!AG15</f>
        <v>704.74181049665378</v>
      </c>
      <c r="N22" s="58">
        <f>(('SEOG per-recipient'!AG15-'SEOG per-recipient'!AB15)/'SEOG per-recipient'!AB15)*100</f>
        <v>11.756591052375803</v>
      </c>
      <c r="O22" s="14"/>
    </row>
    <row r="23" spans="1:15">
      <c r="A23" s="32" t="s">
        <v>26</v>
      </c>
      <c r="B23" s="32"/>
      <c r="C23" s="32">
        <f>'College Work-Study'!AG16</f>
        <v>25645.62</v>
      </c>
      <c r="D23" s="53">
        <f>(('College Work-Study'!AG16-'College Work-Study'!AB16)/'College Work-Study'!AB16)*100</f>
        <v>-6.1930272213974691</v>
      </c>
      <c r="E23" s="32">
        <f>'Perkins Loans'!AG16</f>
        <v>25352.319</v>
      </c>
      <c r="F23" s="53">
        <f>(('Perkins Loans'!AG16-'Perkins Loans'!AB16)/'Perkins Loans'!AB16)*100</f>
        <v>13.543974940382549</v>
      </c>
      <c r="G23" s="32">
        <f>SEOG!AG16</f>
        <v>22942.523000000001</v>
      </c>
      <c r="H23" s="53">
        <f>((SEOG!AG16-SEOG!AB16)/SEOG!AB16)*100</f>
        <v>3.0104062294417129</v>
      </c>
      <c r="I23" s="32">
        <f>'CWS per-recipient'!AG16</f>
        <v>1441.6560795997527</v>
      </c>
      <c r="J23" s="53">
        <f>(('CWS per-recipient'!AG16-'CWS per-recipient'!AB16)/'CWS per-recipient'!AB16)*100</f>
        <v>0.12967559278795332</v>
      </c>
      <c r="K23" s="32">
        <f>'Perkins per-recipient'!AG16</f>
        <v>3043.8610877656383</v>
      </c>
      <c r="L23" s="53">
        <f>(('Perkins per-recipient'!AG16-'Perkins per-recipient'!AB16)/'Perkins per-recipient'!AB16)*100</f>
        <v>13.980210646720915</v>
      </c>
      <c r="M23" s="32">
        <f>'SEOG per-recipient'!AG16</f>
        <v>765.18437114364804</v>
      </c>
      <c r="N23" s="58">
        <f>(('SEOG per-recipient'!AG16-'SEOG per-recipient'!AB16)/'SEOG per-recipient'!AB16)*100</f>
        <v>-1.9506392495068157</v>
      </c>
      <c r="O23" s="14"/>
    </row>
    <row r="24" spans="1:15">
      <c r="A24" s="32" t="s">
        <v>27</v>
      </c>
      <c r="B24" s="32"/>
      <c r="C24" s="32">
        <f>'College Work-Study'!AG17</f>
        <v>10580.329</v>
      </c>
      <c r="D24" s="53">
        <f>(('College Work-Study'!AG17-'College Work-Study'!AB17)/'College Work-Study'!AB17)*100</f>
        <v>-8.9556461706498496</v>
      </c>
      <c r="E24" s="32">
        <f>'Perkins Loans'!AG17</f>
        <v>11893.768</v>
      </c>
      <c r="F24" s="53">
        <f>(('Perkins Loans'!AG17-'Perkins Loans'!AB17)/'Perkins Loans'!AB17)*100</f>
        <v>22.736623985602371</v>
      </c>
      <c r="G24" s="32">
        <f>SEOG!AG17</f>
        <v>7884.3819999999996</v>
      </c>
      <c r="H24" s="53">
        <f>((SEOG!AG17-SEOG!AB17)/SEOG!AB17)*100</f>
        <v>-4.6447973098654431</v>
      </c>
      <c r="I24" s="32">
        <f>'CWS per-recipient'!AG17</f>
        <v>1872.2932224385065</v>
      </c>
      <c r="J24" s="53">
        <f>(('CWS per-recipient'!AG17-'CWS per-recipient'!AB17)/'CWS per-recipient'!AB17)*100</f>
        <v>1.4360735638981728</v>
      </c>
      <c r="K24" s="32">
        <f>'Perkins per-recipient'!AG17</f>
        <v>3652.8771498771498</v>
      </c>
      <c r="L24" s="53">
        <f>(('Perkins per-recipient'!AG17-'Perkins per-recipient'!AB17)/'Perkins per-recipient'!AB17)*100</f>
        <v>23.942880732389611</v>
      </c>
      <c r="M24" s="32">
        <f>'SEOG per-recipient'!AG17</f>
        <v>533.41330085921118</v>
      </c>
      <c r="N24" s="58">
        <f>(('SEOG per-recipient'!AG17-'SEOG per-recipient'!AB17)/'SEOG per-recipient'!AB17)*100</f>
        <v>-6.1350247519479169</v>
      </c>
      <c r="O24" s="14"/>
    </row>
    <row r="25" spans="1:15">
      <c r="A25" s="32" t="s">
        <v>28</v>
      </c>
      <c r="B25" s="32"/>
      <c r="C25" s="32">
        <f>'College Work-Study'!AG18</f>
        <v>12601.257</v>
      </c>
      <c r="D25" s="53">
        <f>(('College Work-Study'!AG18-'College Work-Study'!AB18)/'College Work-Study'!AB18)*100</f>
        <v>1.0106712740038633</v>
      </c>
      <c r="E25" s="32">
        <f>'Perkins Loans'!AG18</f>
        <v>7703.03</v>
      </c>
      <c r="F25" s="53">
        <f>(('Perkins Loans'!AG18-'Perkins Loans'!AB18)/'Perkins Loans'!AB18)*100</f>
        <v>3.6828327175604678</v>
      </c>
      <c r="G25" s="32">
        <f>SEOG!AG18</f>
        <v>12714.284</v>
      </c>
      <c r="H25" s="53">
        <f>((SEOG!AG18-SEOG!AB18)/SEOG!AB18)*100</f>
        <v>4.038253538359009</v>
      </c>
      <c r="I25" s="32">
        <f>'CWS per-recipient'!AG18</f>
        <v>1697.1389898989898</v>
      </c>
      <c r="J25" s="53">
        <f>(('CWS per-recipient'!AG18-'CWS per-recipient'!AB18)/'CWS per-recipient'!AB18)*100</f>
        <v>12.057225492790549</v>
      </c>
      <c r="K25" s="32">
        <f>'Perkins per-recipient'!AG18</f>
        <v>2505.8653220559531</v>
      </c>
      <c r="L25" s="53">
        <f>(('Perkins per-recipient'!AG18-'Perkins per-recipient'!AB18)/'Perkins per-recipient'!AB18)*100</f>
        <v>12.08134454146176</v>
      </c>
      <c r="M25" s="32">
        <f>'SEOG per-recipient'!AG18</f>
        <v>842.45189504373172</v>
      </c>
      <c r="N25" s="58">
        <f>(('SEOG per-recipient'!AG18-'SEOG per-recipient'!AB18)/'SEOG per-recipient'!AB18)*100</f>
        <v>-0.11169535046235872</v>
      </c>
      <c r="O25" s="14"/>
    </row>
    <row r="26" spans="1:15">
      <c r="A26" s="35" t="s">
        <v>29</v>
      </c>
      <c r="B26" s="35"/>
      <c r="C26" s="29">
        <f>'College Work-Study'!AG19</f>
        <v>19428.927</v>
      </c>
      <c r="D26" s="52">
        <f>(('College Work-Study'!AG19-'College Work-Study'!AB19)/'College Work-Study'!AB19)*100</f>
        <v>-7.395958761424283</v>
      </c>
      <c r="E26" s="29">
        <f>'Perkins Loans'!AG19</f>
        <v>17355.34</v>
      </c>
      <c r="F26" s="52">
        <f>(('Perkins Loans'!AG19-'Perkins Loans'!AB19)/'Perkins Loans'!AB19)*100</f>
        <v>19.914685706345843</v>
      </c>
      <c r="G26" s="29">
        <f>SEOG!AG19</f>
        <v>15165.287</v>
      </c>
      <c r="H26" s="52">
        <f>((SEOG!AG19-SEOG!AB19)/SEOG!AB19)*100</f>
        <v>-8.3637839983414537</v>
      </c>
      <c r="I26" s="29">
        <f>'CWS per-recipient'!AG19</f>
        <v>1559.3039325842697</v>
      </c>
      <c r="J26" s="52">
        <f>(('CWS per-recipient'!AG19-'CWS per-recipient'!AB19)/'CWS per-recipient'!AB19)*100</f>
        <v>-3.5386957274900226</v>
      </c>
      <c r="K26" s="29">
        <f>'Perkins per-recipient'!AG19</f>
        <v>3463.4484134903214</v>
      </c>
      <c r="L26" s="52">
        <f>(('Perkins per-recipient'!AG19-'Perkins per-recipient'!AB19)/'Perkins per-recipient'!AB19)*100</f>
        <v>42.959555459930165</v>
      </c>
      <c r="M26" s="29">
        <f>'SEOG per-recipient'!AG19</f>
        <v>723.77640433350837</v>
      </c>
      <c r="N26" s="57">
        <f>(('SEOG per-recipient'!AG19-'SEOG per-recipient'!AB19)/'SEOG per-recipient'!AB19)*100</f>
        <v>28.434150494950909</v>
      </c>
      <c r="O26" s="14"/>
    </row>
    <row r="27" spans="1:15">
      <c r="A27" s="35" t="s">
        <v>30</v>
      </c>
      <c r="B27" s="35"/>
      <c r="C27" s="29">
        <f>'College Work-Study'!AG20</f>
        <v>55880.214999999997</v>
      </c>
      <c r="D27" s="52">
        <f>(('College Work-Study'!AG20-'College Work-Study'!AB20)/'College Work-Study'!AB20)*100</f>
        <v>1.8301178033986791</v>
      </c>
      <c r="E27" s="29">
        <f>'Perkins Loans'!AG20</f>
        <v>30630.669000000002</v>
      </c>
      <c r="F27" s="52">
        <f>(('Perkins Loans'!AG20-'Perkins Loans'!AB20)/'Perkins Loans'!AB20)*100</f>
        <v>67.751738763836329</v>
      </c>
      <c r="G27" s="29">
        <f>SEOG!AG20</f>
        <v>50037.955999999998</v>
      </c>
      <c r="H27" s="52">
        <f>((SEOG!AG20-SEOG!AB20)/SEOG!AB20)*100</f>
        <v>-6.2272889623492587</v>
      </c>
      <c r="I27" s="29">
        <f>'CWS per-recipient'!AG20</f>
        <v>1992.6618050850479</v>
      </c>
      <c r="J27" s="52">
        <f>(('CWS per-recipient'!AG20-'CWS per-recipient'!AB20)/'CWS per-recipient'!AB20)*100</f>
        <v>7.959606048313181</v>
      </c>
      <c r="K27" s="29">
        <f>'Perkins per-recipient'!AG20</f>
        <v>3657.8300692620014</v>
      </c>
      <c r="L27" s="52">
        <f>(('Perkins per-recipient'!AG20-'Perkins per-recipient'!AB20)/'Perkins per-recipient'!AB20)*100</f>
        <v>49.381981844032417</v>
      </c>
      <c r="M27" s="29">
        <f>'SEOG per-recipient'!AG20</f>
        <v>741.4238764835751</v>
      </c>
      <c r="N27" s="57">
        <f>(('SEOG per-recipient'!AG20-'SEOG per-recipient'!AB20)/'SEOG per-recipient'!AB20)*100</f>
        <v>16.65281346407571</v>
      </c>
      <c r="O27" s="14"/>
    </row>
    <row r="28" spans="1:15">
      <c r="A28" s="35" t="s">
        <v>31</v>
      </c>
      <c r="B28" s="35"/>
      <c r="C28" s="29">
        <f>'College Work-Study'!AG21</f>
        <v>25551.187000000002</v>
      </c>
      <c r="D28" s="52">
        <f>(('College Work-Study'!AG21-'College Work-Study'!AB21)/'College Work-Study'!AB21)*100</f>
        <v>8.3510754394195441</v>
      </c>
      <c r="E28" s="29">
        <f>'Perkins Loans'!AG21</f>
        <v>16828.304</v>
      </c>
      <c r="F28" s="52">
        <f>(('Perkins Loans'!AG21-'Perkins Loans'!AB21)/'Perkins Loans'!AB21)*100</f>
        <v>7.2950108083679908</v>
      </c>
      <c r="G28" s="29">
        <f>SEOG!AG21</f>
        <v>22538.286</v>
      </c>
      <c r="H28" s="52">
        <f>((SEOG!AG21-SEOG!AB21)/SEOG!AB21)*100</f>
        <v>14.018335481921184</v>
      </c>
      <c r="I28" s="29">
        <f>'CWS per-recipient'!AG21</f>
        <v>1735.6964200801576</v>
      </c>
      <c r="J28" s="52">
        <f>(('CWS per-recipient'!AG21-'CWS per-recipient'!AB21)/'CWS per-recipient'!AB21)*100</f>
        <v>9.1239076465480604</v>
      </c>
      <c r="K28" s="29">
        <f>'Perkins per-recipient'!AG21</f>
        <v>2611.4686530105523</v>
      </c>
      <c r="L28" s="52">
        <f>(('Perkins per-recipient'!AG21-'Perkins per-recipient'!AB21)/'Perkins per-recipient'!AB21)*100</f>
        <v>22.613354995782412</v>
      </c>
      <c r="M28" s="29">
        <f>'SEOG per-recipient'!AG21</f>
        <v>501.86568393863143</v>
      </c>
      <c r="N28" s="57">
        <f>(('SEOG per-recipient'!AG21-'SEOG per-recipient'!AB21)/'SEOG per-recipient'!AB21)*100</f>
        <v>-0.14097015798785012</v>
      </c>
      <c r="O28" s="14"/>
    </row>
    <row r="29" spans="1:15">
      <c r="A29" s="38" t="s">
        <v>32</v>
      </c>
      <c r="B29" s="38"/>
      <c r="C29" s="24">
        <f>'College Work-Study'!AG22</f>
        <v>5866.5870000000004</v>
      </c>
      <c r="D29" s="55">
        <f>(('College Work-Study'!AG22-'College Work-Study'!AB22)/'College Work-Study'!AB22)*100</f>
        <v>-8.6020883875506797</v>
      </c>
      <c r="E29" s="24">
        <f>'Perkins Loans'!AG22</f>
        <v>7997.4049999999997</v>
      </c>
      <c r="F29" s="55">
        <f>(('Perkins Loans'!AG22-'Perkins Loans'!AB22)/'Perkins Loans'!AB22)*100</f>
        <v>-2.185218570780338</v>
      </c>
      <c r="G29" s="24">
        <f>SEOG!AG22</f>
        <v>5959.7950000000001</v>
      </c>
      <c r="H29" s="55">
        <f>((SEOG!AG22-SEOG!AB22)/SEOG!AB22)*100</f>
        <v>-13.009091300536927</v>
      </c>
      <c r="I29" s="24">
        <f>'CWS per-recipient'!AG22</f>
        <v>1380.0486944248412</v>
      </c>
      <c r="J29" s="55">
        <f>(('CWS per-recipient'!AG22-'CWS per-recipient'!AB22)/'CWS per-recipient'!AB22)*100</f>
        <v>19.520345954741405</v>
      </c>
      <c r="K29" s="24">
        <f>'Perkins per-recipient'!AG22</f>
        <v>2055.8881748071981</v>
      </c>
      <c r="L29" s="55">
        <f>(('Perkins per-recipient'!AG22-'Perkins per-recipient'!AB22)/'Perkins per-recipient'!AB22)*100</f>
        <v>5.5594993418673946</v>
      </c>
      <c r="M29" s="24">
        <f>'SEOG per-recipient'!AG22</f>
        <v>794.95731625983728</v>
      </c>
      <c r="N29" s="61">
        <f>(('SEOG per-recipient'!AG22-'SEOG per-recipient'!AB22)/'SEOG per-recipient'!AB22)*100</f>
        <v>3.4909850194092553</v>
      </c>
      <c r="O29" s="14"/>
    </row>
    <row r="30" spans="1:15">
      <c r="A30" s="29" t="s">
        <v>217</v>
      </c>
      <c r="B30" s="29"/>
      <c r="C30" s="29">
        <f>'College Work-Study'!AG23</f>
        <v>218445.30499999996</v>
      </c>
      <c r="D30" s="52">
        <f>(('College Work-Study'!AG23-'College Work-Study'!AB23)/'College Work-Study'!AB23)*100</f>
        <v>-3.1420923850534361</v>
      </c>
      <c r="E30" s="29">
        <f>'Perkins Loans'!AG23</f>
        <v>190300.228</v>
      </c>
      <c r="F30" s="52">
        <f>(('Perkins Loans'!AG23-'Perkins Loans'!AB23)/'Perkins Loans'!AB23)*100</f>
        <v>19.170552406887822</v>
      </c>
      <c r="G30" s="29">
        <f>SEOG!AG23</f>
        <v>210671.08799999993</v>
      </c>
      <c r="H30" s="52">
        <f>((SEOG!AG23-SEOG!AB23)/SEOG!AB23)*100</f>
        <v>7.6603447982192847</v>
      </c>
      <c r="I30" s="29">
        <f>'CWS per-recipient'!AG23</f>
        <v>2154.5266744913151</v>
      </c>
      <c r="J30" s="52">
        <f>(('CWS per-recipient'!AG23-'CWS per-recipient'!AB23)/'CWS per-recipient'!AB23)*100</f>
        <v>6.5724532021048425</v>
      </c>
      <c r="K30" s="29">
        <f>'Perkins per-recipient'!AG23</f>
        <v>2512.9108795837792</v>
      </c>
      <c r="L30" s="52">
        <f>(('Perkins per-recipient'!AG23-'Perkins per-recipient'!AB23)/'Perkins per-recipient'!AB23)*100</f>
        <v>30.151446314047071</v>
      </c>
      <c r="M30" s="29">
        <f>'SEOG per-recipient'!AG23</f>
        <v>570.01758178723799</v>
      </c>
      <c r="N30" s="57">
        <f>(('SEOG per-recipient'!AG23-'SEOG per-recipient'!AB23)/'SEOG per-recipient'!AB23)*100</f>
        <v>5.264992647641046</v>
      </c>
    </row>
    <row r="31" spans="1:15" s="205" customFormat="1">
      <c r="A31" s="203" t="s">
        <v>216</v>
      </c>
      <c r="B31" s="203"/>
      <c r="C31" s="203">
        <f>(C30/C$11)*100</f>
        <v>20.281596329801328</v>
      </c>
      <c r="D31" s="52"/>
      <c r="E31" s="203">
        <f>(E30/E$11)*100</f>
        <v>18.21212706439022</v>
      </c>
      <c r="F31" s="52"/>
      <c r="G31" s="203">
        <f>(G30/G$11)*100</f>
        <v>21.563911277300591</v>
      </c>
      <c r="H31" s="52"/>
      <c r="I31" s="203">
        <f>(I30/I$11)*100</f>
        <v>123.73056001189795</v>
      </c>
      <c r="J31" s="52"/>
      <c r="K31" s="203">
        <f>(K30/K$11)*100</f>
        <v>101.34618593554572</v>
      </c>
      <c r="L31" s="52"/>
      <c r="M31" s="203">
        <f>(M30/M$11)*100</f>
        <v>86.07313892128073</v>
      </c>
      <c r="N31" s="57"/>
      <c r="O31" s="62"/>
    </row>
    <row r="32" spans="1:15">
      <c r="A32" s="32" t="s">
        <v>142</v>
      </c>
      <c r="B32" s="32"/>
      <c r="C32" s="32">
        <f>'College Work-Study'!AG25</f>
        <v>793.62900000000002</v>
      </c>
      <c r="D32" s="53">
        <f>(('College Work-Study'!AG25-'College Work-Study'!AB25)/'College Work-Study'!AB25)*100</f>
        <v>-32.420181920674949</v>
      </c>
      <c r="E32" s="32">
        <f>'Perkins Loans'!AG25</f>
        <v>0</v>
      </c>
      <c r="F32" s="227" t="s">
        <v>254</v>
      </c>
      <c r="G32" s="32">
        <f>SEOG!AG25</f>
        <v>1014.162</v>
      </c>
      <c r="H32" s="53">
        <f>((SEOG!AG25-SEOG!AB25)/SEOG!AB25)*100</f>
        <v>1.2056921603065616</v>
      </c>
      <c r="I32" s="32">
        <f>'CWS per-recipient'!AG25</f>
        <v>3465.6288209606987</v>
      </c>
      <c r="J32" s="53">
        <f>(('CWS per-recipient'!AG25-'CWS per-recipient'!AB25)/'CWS per-recipient'!AB25)*100</f>
        <v>16.862916853330653</v>
      </c>
      <c r="K32" s="33">
        <v>0</v>
      </c>
      <c r="L32" s="227" t="str">
        <f>IF('Perkins per-recipient'!AA25=0,"NA",(('Perkins per-recipient'!AE25-'Perkins per-recipient'!AA25)/'Perkins per-recipient'!AA25)*100)</f>
        <v>NA</v>
      </c>
      <c r="M32" s="32">
        <f>'SEOG per-recipient'!AG25</f>
        <v>852.95374264087468</v>
      </c>
      <c r="N32" s="58">
        <f>(('SEOG per-recipient'!AG25-'SEOG per-recipient'!AB25)/'SEOG per-recipient'!AB25)*100</f>
        <v>84.791890395311654</v>
      </c>
    </row>
    <row r="33" spans="1:15">
      <c r="A33" s="32" t="s">
        <v>143</v>
      </c>
      <c r="B33" s="32"/>
      <c r="C33" s="32">
        <f>'College Work-Study'!AG26</f>
        <v>16949.399000000001</v>
      </c>
      <c r="D33" s="53">
        <f>(('College Work-Study'!AG26-'College Work-Study'!AB26)/'College Work-Study'!AB26)*100</f>
        <v>20.46513700605589</v>
      </c>
      <c r="E33" s="32">
        <f>'Perkins Loans'!AG26</f>
        <v>4888.884</v>
      </c>
      <c r="F33" s="53">
        <f>(('Perkins Loans'!AG26-'Perkins Loans'!AB26)/'Perkins Loans'!AB26)*100</f>
        <v>-10.700633987571582</v>
      </c>
      <c r="G33" s="32">
        <f>SEOG!AG26</f>
        <v>28825.453000000001</v>
      </c>
      <c r="H33" s="53">
        <f>((SEOG!AG26-SEOG!AB26)/SEOG!AB26)*100</f>
        <v>4.8421814439929589</v>
      </c>
      <c r="I33" s="32">
        <f>'CWS per-recipient'!AG26</f>
        <v>2425.8478603120079</v>
      </c>
      <c r="J33" s="53">
        <f>(('CWS per-recipient'!AG26-'CWS per-recipient'!AB26)/'CWS per-recipient'!AB26)*100</f>
        <v>4.5858767824151956</v>
      </c>
      <c r="K33" s="32">
        <f>'Perkins per-recipient'!AG26</f>
        <v>2997.4763948497853</v>
      </c>
      <c r="L33" s="53">
        <f>(('Perkins per-recipient'!AG26-'Perkins per-recipient'!AB26)/'Perkins per-recipient'!AB26)*100</f>
        <v>16.072750426945582</v>
      </c>
      <c r="M33" s="32">
        <f>'SEOG per-recipient'!AG26</f>
        <v>576.70513974751418</v>
      </c>
      <c r="N33" s="58">
        <f>(('SEOG per-recipient'!AG26-'SEOG per-recipient'!AB26)/'SEOG per-recipient'!AB26)*100</f>
        <v>3.7619396929244679</v>
      </c>
    </row>
    <row r="34" spans="1:15">
      <c r="A34" s="32" t="s">
        <v>144</v>
      </c>
      <c r="B34" s="32"/>
      <c r="C34" s="32">
        <f>'College Work-Study'!AG27</f>
        <v>126593.311</v>
      </c>
      <c r="D34" s="53">
        <f>(('College Work-Study'!AG27-'College Work-Study'!AB27)/'College Work-Study'!AB27)*100</f>
        <v>-6.2450710333315209</v>
      </c>
      <c r="E34" s="32">
        <f>'Perkins Loans'!AG27</f>
        <v>94804.008000000002</v>
      </c>
      <c r="F34" s="53">
        <f>(('Perkins Loans'!AG27-'Perkins Loans'!AB27)/'Perkins Loans'!AB27)*100</f>
        <v>17.756580088062545</v>
      </c>
      <c r="G34" s="32">
        <f>SEOG!AG27</f>
        <v>107481.016</v>
      </c>
      <c r="H34" s="53">
        <f>((SEOG!AG27-SEOG!AB27)/SEOG!AB27)*100</f>
        <v>7.6617671876960891</v>
      </c>
      <c r="I34" s="32">
        <f>'CWS per-recipient'!AG27</f>
        <v>2238.7668623775335</v>
      </c>
      <c r="J34" s="53">
        <f>(('CWS per-recipient'!AG27-'CWS per-recipient'!AB27)/'CWS per-recipient'!AB27)*100</f>
        <v>6.0061080091244241</v>
      </c>
      <c r="K34" s="32">
        <f>'Perkins per-recipient'!AG27</f>
        <v>2661.9870837311169</v>
      </c>
      <c r="L34" s="53">
        <f>(('Perkins per-recipient'!AG27-'Perkins per-recipient'!AB27)/'Perkins per-recipient'!AB27)*100</f>
        <v>28.26453795631274</v>
      </c>
      <c r="M34" s="32">
        <f>'SEOG per-recipient'!AG27</f>
        <v>533.13731578712407</v>
      </c>
      <c r="N34" s="58">
        <f>(('SEOG per-recipient'!AG27-'SEOG per-recipient'!AB27)/'SEOG per-recipient'!AB27)*100</f>
        <v>6.3213421122196802</v>
      </c>
    </row>
    <row r="35" spans="1:15">
      <c r="A35" s="32" t="s">
        <v>145</v>
      </c>
      <c r="B35" s="32"/>
      <c r="C35" s="32">
        <f>'College Work-Study'!AG28</f>
        <v>14431.166999999999</v>
      </c>
      <c r="D35" s="53">
        <f>(('College Work-Study'!AG28-'College Work-Study'!AB28)/'College Work-Study'!AB28)*100</f>
        <v>-3.6001078683004768</v>
      </c>
      <c r="E35" s="32">
        <f>'Perkins Loans'!AG28</f>
        <v>15017.982</v>
      </c>
      <c r="F35" s="53">
        <f>(('Perkins Loans'!AG28-'Perkins Loans'!AB28)/'Perkins Loans'!AB28)*100</f>
        <v>22.784197561629487</v>
      </c>
      <c r="G35" s="32">
        <f>SEOG!AG28</f>
        <v>14083.732</v>
      </c>
      <c r="H35" s="53">
        <f>((SEOG!AG28-SEOG!AB28)/SEOG!AB28)*100</f>
        <v>1.4912887988712611</v>
      </c>
      <c r="I35" s="32">
        <f>'CWS per-recipient'!AG28</f>
        <v>2120.982804232804</v>
      </c>
      <c r="J35" s="53">
        <f>(('CWS per-recipient'!AG28-'CWS per-recipient'!AB28)/'CWS per-recipient'!AB28)*100</f>
        <v>5.5241617573336219</v>
      </c>
      <c r="K35" s="32">
        <f>'Perkins per-recipient'!AG28</f>
        <v>3072.4185761047465</v>
      </c>
      <c r="L35" s="53">
        <f>(('Perkins per-recipient'!AG28-'Perkins per-recipient'!AB28)/'Perkins per-recipient'!AB28)*100</f>
        <v>29.968379333852489</v>
      </c>
      <c r="M35" s="32">
        <f>'SEOG per-recipient'!AG28</f>
        <v>1023.3039308290344</v>
      </c>
      <c r="N35" s="58">
        <f>(('SEOG per-recipient'!AG28-'SEOG per-recipient'!AB28)/'SEOG per-recipient'!AB28)*100</f>
        <v>42.049458412603158</v>
      </c>
    </row>
    <row r="36" spans="1:15">
      <c r="A36" s="34" t="s">
        <v>148</v>
      </c>
      <c r="B36" s="34"/>
      <c r="C36" s="29">
        <f>'College Work-Study'!AG29</f>
        <v>2160.6880000000001</v>
      </c>
      <c r="D36" s="52">
        <f>(('College Work-Study'!AG29-'College Work-Study'!AB29)/'College Work-Study'!AB29)*100</f>
        <v>4.5188054595621754</v>
      </c>
      <c r="E36" s="29">
        <f>'Perkins Loans'!AG29</f>
        <v>2671.4160000000002</v>
      </c>
      <c r="F36" s="52">
        <f>(('Perkins Loans'!AG29-'Perkins Loans'!AB29)/'Perkins Loans'!AB29)*100</f>
        <v>-18.1288349104844</v>
      </c>
      <c r="G36" s="29">
        <f>SEOG!AG29</f>
        <v>2328.4540000000002</v>
      </c>
      <c r="H36" s="52">
        <f>((SEOG!AG29-SEOG!AB29)/SEOG!AB29)*100</f>
        <v>3.5489277793663994</v>
      </c>
      <c r="I36" s="29">
        <f>'CWS per-recipient'!AG29</f>
        <v>2200.2932790224031</v>
      </c>
      <c r="J36" s="52">
        <f>(('CWS per-recipient'!AG29-'CWS per-recipient'!AB29)/'CWS per-recipient'!AB29)*100</f>
        <v>12.075664102768799</v>
      </c>
      <c r="K36" s="29">
        <f>'Perkins per-recipient'!AG29</f>
        <v>2596.1282798833818</v>
      </c>
      <c r="L36" s="52">
        <f>(('Perkins per-recipient'!AG29-'Perkins per-recipient'!AB29)/'Perkins per-recipient'!AB29)*100</f>
        <v>6.1381285028316839</v>
      </c>
      <c r="M36" s="29">
        <f>'SEOG per-recipient'!AG29</f>
        <v>786.10871033085755</v>
      </c>
      <c r="N36" s="57">
        <f>(('SEOG per-recipient'!AG29-'SEOG per-recipient'!AB29)/'SEOG per-recipient'!AB29)*100</f>
        <v>-19.524094615765893</v>
      </c>
    </row>
    <row r="37" spans="1:15">
      <c r="A37" s="34" t="s">
        <v>149</v>
      </c>
      <c r="B37" s="34"/>
      <c r="C37" s="29">
        <f>'College Work-Study'!AG30</f>
        <v>2644.145</v>
      </c>
      <c r="D37" s="52">
        <f>(('College Work-Study'!AG30-'College Work-Study'!AB30)/'College Work-Study'!AB30)*100</f>
        <v>-1.4209296793969795</v>
      </c>
      <c r="E37" s="29">
        <f>'Perkins Loans'!AG30</f>
        <v>5228.0110000000004</v>
      </c>
      <c r="F37" s="52">
        <f>(('Perkins Loans'!AG30-'Perkins Loans'!AB30)/'Perkins Loans'!AB30)*100</f>
        <v>41.240602102989264</v>
      </c>
      <c r="G37" s="29">
        <f>SEOG!AG30</f>
        <v>2830.5279999999998</v>
      </c>
      <c r="H37" s="52">
        <f>((SEOG!AG30-SEOG!AB30)/SEOG!AB30)*100</f>
        <v>10.067038932354448</v>
      </c>
      <c r="I37" s="29">
        <f>'CWS per-recipient'!AG30</f>
        <v>1457.6323042998897</v>
      </c>
      <c r="J37" s="52">
        <f>(('CWS per-recipient'!AG30-'CWS per-recipient'!AB30)/'CWS per-recipient'!AB30)*100</f>
        <v>9.2303921413517376</v>
      </c>
      <c r="K37" s="29">
        <f>'Perkins per-recipient'!AG30</f>
        <v>2076.2553613979348</v>
      </c>
      <c r="L37" s="52">
        <f>(('Perkins per-recipient'!AG30-'Perkins per-recipient'!AB30)/'Perkins per-recipient'!AB30)*100</f>
        <v>53.69310951635844</v>
      </c>
      <c r="M37" s="29">
        <f>'SEOG per-recipient'!AG30</f>
        <v>464.32545931758528</v>
      </c>
      <c r="N37" s="57">
        <f>(('SEOG per-recipient'!AG30-'SEOG per-recipient'!AB30)/'SEOG per-recipient'!AB30)*100</f>
        <v>21.821245353772223</v>
      </c>
    </row>
    <row r="38" spans="1:15">
      <c r="A38" s="34" t="s">
        <v>159</v>
      </c>
      <c r="B38" s="34"/>
      <c r="C38" s="29">
        <f>'College Work-Study'!AG31</f>
        <v>2964.7939999999999</v>
      </c>
      <c r="D38" s="52">
        <f>(('College Work-Study'!AG31-'College Work-Study'!AB31)/'College Work-Study'!AB31)*100</f>
        <v>-8.8059578915702925</v>
      </c>
      <c r="E38" s="29">
        <f>'Perkins Loans'!AG31</f>
        <v>6601.9250000000002</v>
      </c>
      <c r="F38" s="52">
        <f>(('Perkins Loans'!AG31-'Perkins Loans'!AB31)/'Perkins Loans'!AB31)*100</f>
        <v>31.122869005732973</v>
      </c>
      <c r="G38" s="29">
        <f>SEOG!AG31</f>
        <v>2339.4789999999998</v>
      </c>
      <c r="H38" s="52">
        <f>((SEOG!AG31-SEOG!AB31)/SEOG!AB31)*100</f>
        <v>2.3983623118120323</v>
      </c>
      <c r="I38" s="29">
        <f>'CWS per-recipient'!AG31</f>
        <v>1513.4221541602858</v>
      </c>
      <c r="J38" s="52">
        <f>(('CWS per-recipient'!AG31-'CWS per-recipient'!AB31)/'CWS per-recipient'!AB31)*100</f>
        <v>5.7180549404001422</v>
      </c>
      <c r="K38" s="29">
        <f>'Perkins per-recipient'!AG31</f>
        <v>2271.044031647747</v>
      </c>
      <c r="L38" s="52">
        <f>(('Perkins per-recipient'!AG31-'Perkins per-recipient'!AB31)/'Perkins per-recipient'!AB31)*100</f>
        <v>47.496312916665573</v>
      </c>
      <c r="M38" s="29">
        <f>'SEOG per-recipient'!AG31</f>
        <v>571.58050329831417</v>
      </c>
      <c r="N38" s="57">
        <f>(('SEOG per-recipient'!AG31-'SEOG per-recipient'!AB31)/'SEOG per-recipient'!AB31)*100</f>
        <v>-11.586657119486008</v>
      </c>
    </row>
    <row r="39" spans="1:15">
      <c r="A39" s="34" t="s">
        <v>161</v>
      </c>
      <c r="B39" s="34"/>
      <c r="C39" s="29">
        <f>'College Work-Study'!AG32</f>
        <v>3113.0369999999998</v>
      </c>
      <c r="D39" s="52">
        <f>(('College Work-Study'!AG32-'College Work-Study'!AB32)/'College Work-Study'!AB32)*100</f>
        <v>32.073439256697974</v>
      </c>
      <c r="E39" s="29">
        <f>'Perkins Loans'!AG32</f>
        <v>1135.22</v>
      </c>
      <c r="F39" s="52">
        <f>(('Perkins Loans'!AG32-'Perkins Loans'!AB32)/'Perkins Loans'!AB32)*100</f>
        <v>50.681985908987137</v>
      </c>
      <c r="G39" s="29">
        <f>SEOG!AG32</f>
        <v>3247.8240000000001</v>
      </c>
      <c r="H39" s="52">
        <f>((SEOG!AG32-SEOG!AB32)/SEOG!AB32)*100</f>
        <v>38.238512663682975</v>
      </c>
      <c r="I39" s="29">
        <f>'CWS per-recipient'!AG32</f>
        <v>2598.5283806343905</v>
      </c>
      <c r="J39" s="52">
        <f>(('CWS per-recipient'!AG32-'CWS per-recipient'!AB32)/'CWS per-recipient'!AB32)*100</f>
        <v>29.978785378670224</v>
      </c>
      <c r="K39" s="29">
        <f>'Perkins per-recipient'!AG32</f>
        <v>3118.7362637362639</v>
      </c>
      <c r="L39" s="52">
        <f>(('Perkins per-recipient'!AG32-'Perkins per-recipient'!AB32)/'Perkins per-recipient'!AB32)*100</f>
        <v>63.928753900986024</v>
      </c>
      <c r="M39" s="29">
        <f>'SEOG per-recipient'!AG32</f>
        <v>748.00184246890831</v>
      </c>
      <c r="N39" s="57">
        <f>(('SEOG per-recipient'!AG32-'SEOG per-recipient'!AB32)/'SEOG per-recipient'!AB32)*100</f>
        <v>39.798551152978341</v>
      </c>
    </row>
    <row r="40" spans="1:15">
      <c r="A40" s="32" t="s">
        <v>164</v>
      </c>
      <c r="B40" s="32"/>
      <c r="C40" s="32">
        <f>'College Work-Study'!AG33</f>
        <v>7388.2179999999998</v>
      </c>
      <c r="D40" s="53">
        <f>(('College Work-Study'!AG33-'College Work-Study'!AB33)/'College Work-Study'!AB33)*100</f>
        <v>-0.9470353094361913</v>
      </c>
      <c r="E40" s="32">
        <f>'Perkins Loans'!AG33</f>
        <v>2414.9259999999999</v>
      </c>
      <c r="F40" s="53">
        <f>(('Perkins Loans'!AG33-'Perkins Loans'!AB33)/'Perkins Loans'!AB33)*100</f>
        <v>-23.845050359989013</v>
      </c>
      <c r="G40" s="32">
        <f>SEOG!AG33</f>
        <v>5882.5230000000001</v>
      </c>
      <c r="H40" s="53">
        <f>((SEOG!AG33-SEOG!AB33)/SEOG!AB33)*100</f>
        <v>11.785924473106975</v>
      </c>
      <c r="I40" s="32">
        <f>'CWS per-recipient'!AG33</f>
        <v>2623.6569602272725</v>
      </c>
      <c r="J40" s="53">
        <f>(('CWS per-recipient'!AG33-'CWS per-recipient'!AB33)/'CWS per-recipient'!AB33)*100</f>
        <v>14.565165481948251</v>
      </c>
      <c r="K40" s="32">
        <f>'Perkins per-recipient'!AG33</f>
        <v>2014.116763969975</v>
      </c>
      <c r="L40" s="53">
        <f>(('Perkins per-recipient'!AG33-'Perkins per-recipient'!AB33)/'Perkins per-recipient'!AB33)*100</f>
        <v>-13.110949868611318</v>
      </c>
      <c r="M40" s="32">
        <f>'SEOG per-recipient'!AG33</f>
        <v>709.67824828085418</v>
      </c>
      <c r="N40" s="58">
        <f>(('SEOG per-recipient'!AG33-'SEOG per-recipient'!AB33)/'SEOG per-recipient'!AB33)*100</f>
        <v>-8.1194953027774446</v>
      </c>
    </row>
    <row r="41" spans="1:15">
      <c r="A41" s="32" t="s">
        <v>168</v>
      </c>
      <c r="B41" s="32"/>
      <c r="C41" s="32">
        <f>'College Work-Study'!AG34</f>
        <v>14947.563</v>
      </c>
      <c r="D41" s="53">
        <f>(('College Work-Study'!AG34-'College Work-Study'!AB34)/'College Work-Study'!AB34)*100</f>
        <v>-8.9397044182165626</v>
      </c>
      <c r="E41" s="32">
        <f>'Perkins Loans'!AG34</f>
        <v>17448.178</v>
      </c>
      <c r="F41" s="53">
        <f>(('Perkins Loans'!AG34-'Perkins Loans'!AB34)/'Perkins Loans'!AB34)*100</f>
        <v>21.366311412288653</v>
      </c>
      <c r="G41" s="32">
        <f>SEOG!AG34</f>
        <v>13338.385</v>
      </c>
      <c r="H41" s="53">
        <f>((SEOG!AG34-SEOG!AB34)/SEOG!AB34)*100</f>
        <v>-1.5324193195228759</v>
      </c>
      <c r="I41" s="32">
        <f>'CWS per-recipient'!AG34</f>
        <v>1432.3076849367574</v>
      </c>
      <c r="J41" s="53">
        <f>(('CWS per-recipient'!AG34-'CWS per-recipient'!AB34)/'CWS per-recipient'!AB34)*100</f>
        <v>-0.7899999267077733</v>
      </c>
      <c r="K41" s="32">
        <f>'Perkins per-recipient'!AG34</f>
        <v>1766.1886830650876</v>
      </c>
      <c r="L41" s="53">
        <f>(('Perkins per-recipient'!AG34-'Perkins per-recipient'!AB34)/'Perkins per-recipient'!AB34)*100</f>
        <v>18.356417061037448</v>
      </c>
      <c r="M41" s="32">
        <f>'SEOG per-recipient'!AG34</f>
        <v>605.849609375</v>
      </c>
      <c r="N41" s="58">
        <f>(('SEOG per-recipient'!AG34-'SEOG per-recipient'!AB34)/'SEOG per-recipient'!AB34)*100</f>
        <v>-6.3985497601278505</v>
      </c>
    </row>
    <row r="42" spans="1:15">
      <c r="A42" s="32" t="s">
        <v>172</v>
      </c>
      <c r="B42" s="32"/>
      <c r="C42" s="32">
        <f>'College Work-Study'!AG35</f>
        <v>6121.1090000000004</v>
      </c>
      <c r="D42" s="53">
        <f>(('College Work-Study'!AG35-'College Work-Study'!AB35)/'College Work-Study'!AB35)*100</f>
        <v>-5.1269000049752735</v>
      </c>
      <c r="E42" s="32">
        <f>'Perkins Loans'!AG35</f>
        <v>9714.4269999999997</v>
      </c>
      <c r="F42" s="53">
        <f>(('Perkins Loans'!AG35-'Perkins Loans'!AB35)/'Perkins Loans'!AB35)*100</f>
        <v>19.905928466679914</v>
      </c>
      <c r="G42" s="32">
        <f>SEOG!AG35</f>
        <v>8522.2540000000008</v>
      </c>
      <c r="H42" s="53">
        <f>((SEOG!AG35-SEOG!AB35)/SEOG!AB35)*100</f>
        <v>42.328391012301822</v>
      </c>
      <c r="I42" s="32">
        <f>'CWS per-recipient'!AG35</f>
        <v>2635.0017219113215</v>
      </c>
      <c r="J42" s="53">
        <f>(('CWS per-recipient'!AG35-'CWS per-recipient'!AB35)/'CWS per-recipient'!AB35)*100</f>
        <v>0.99921493228415859</v>
      </c>
      <c r="K42" s="32">
        <f>'Perkins per-recipient'!AG35</f>
        <v>2304.7276393831553</v>
      </c>
      <c r="L42" s="53">
        <f>(('Perkins per-recipient'!AG35-'Perkins per-recipient'!AB35)/'Perkins per-recipient'!AB35)*100</f>
        <v>-3.7907829005192157</v>
      </c>
      <c r="M42" s="32">
        <f>'SEOG per-recipient'!AG35</f>
        <v>435.34194932570495</v>
      </c>
      <c r="N42" s="58">
        <f>(('SEOG per-recipient'!AG35-'SEOG per-recipient'!AB35)/'SEOG per-recipient'!AB35)*100</f>
        <v>19.629717292419997</v>
      </c>
    </row>
    <row r="43" spans="1:15">
      <c r="A43" s="32" t="s">
        <v>174</v>
      </c>
      <c r="B43" s="32"/>
      <c r="C43" s="32">
        <f>'College Work-Study'!AG36</f>
        <v>19206.456999999999</v>
      </c>
      <c r="D43" s="53">
        <f>(('College Work-Study'!AG36-'College Work-Study'!AB36)/'College Work-Study'!AB36)*100</f>
        <v>5.6584804839027676</v>
      </c>
      <c r="E43" s="32">
        <f>'Perkins Loans'!AG36</f>
        <v>29659.863000000001</v>
      </c>
      <c r="F43" s="53">
        <f>(('Perkins Loans'!AG36-'Perkins Loans'!AB36)/'Perkins Loans'!AB36)*100</f>
        <v>44.825063113452465</v>
      </c>
      <c r="G43" s="32">
        <f>SEOG!AG36</f>
        <v>19469.212</v>
      </c>
      <c r="H43" s="53">
        <f>((SEOG!AG36-SEOG!AB36)/SEOG!AB36)*100</f>
        <v>8.8906706840579517</v>
      </c>
      <c r="I43" s="32">
        <f>'CWS per-recipient'!AG36</f>
        <v>2219.3733533626068</v>
      </c>
      <c r="J43" s="53">
        <f>(('CWS per-recipient'!AG36-'CWS per-recipient'!AB36)/'CWS per-recipient'!AB36)*100</f>
        <v>13.435745571520776</v>
      </c>
      <c r="K43" s="32">
        <f>'Perkins per-recipient'!AG36</f>
        <v>2635.7294054918689</v>
      </c>
      <c r="L43" s="53">
        <f>(('Perkins per-recipient'!AG36-'Perkins per-recipient'!AB36)/'Perkins per-recipient'!AB36)*100</f>
        <v>71.568729793427067</v>
      </c>
      <c r="M43" s="32">
        <f>'SEOG per-recipient'!AG36</f>
        <v>565.43947490706319</v>
      </c>
      <c r="N43" s="58">
        <f>(('SEOG per-recipient'!AG36-'SEOG per-recipient'!AB36)/'SEOG per-recipient'!AB36)*100</f>
        <v>-12.503537819010466</v>
      </c>
    </row>
    <row r="44" spans="1:15">
      <c r="A44" s="44" t="s">
        <v>176</v>
      </c>
      <c r="B44" s="44"/>
      <c r="C44" s="44">
        <f>'College Work-Study'!AG37</f>
        <v>1131.788</v>
      </c>
      <c r="D44" s="54">
        <f>(('College Work-Study'!AG37-'College Work-Study'!AB37)/'College Work-Study'!AB37)*100</f>
        <v>-20.866935060976029</v>
      </c>
      <c r="E44" s="44">
        <f>'Perkins Loans'!AG37</f>
        <v>715.38800000000003</v>
      </c>
      <c r="F44" s="54">
        <f>(('Perkins Loans'!AG37-'Perkins Loans'!AB37)/'Perkins Loans'!AB37)*100</f>
        <v>-72.391111131693989</v>
      </c>
      <c r="G44" s="44">
        <f>SEOG!AG37</f>
        <v>1308.066</v>
      </c>
      <c r="H44" s="54">
        <f>((SEOG!AG37-SEOG!AB37)/SEOG!AB37)*100</f>
        <v>-2.8247739749942347</v>
      </c>
      <c r="I44" s="44">
        <f>'CWS per-recipient'!AG37</f>
        <v>1765.6599063962558</v>
      </c>
      <c r="J44" s="54">
        <f>(('CWS per-recipient'!AG37-'CWS per-recipient'!AB37)/'CWS per-recipient'!AB37)*100</f>
        <v>-0.12691180082622952</v>
      </c>
      <c r="K44" s="44">
        <f>'Perkins per-recipient'!AG37</f>
        <v>3083.5689655172414</v>
      </c>
      <c r="L44" s="54">
        <f>(('Perkins per-recipient'!AG37-'Perkins per-recipient'!AB37)/'Perkins per-recipient'!AB37)*100</f>
        <v>38.758467329503496</v>
      </c>
      <c r="M44" s="44">
        <f>'SEOG per-recipient'!AG37</f>
        <v>1050.6554216867469</v>
      </c>
      <c r="N44" s="60">
        <f>(('SEOG per-recipient'!AG37-'SEOG per-recipient'!AB37)/'SEOG per-recipient'!AB37)*100</f>
        <v>97.862809617180375</v>
      </c>
    </row>
    <row r="45" spans="1:15">
      <c r="A45" s="29" t="s">
        <v>218</v>
      </c>
      <c r="B45" s="29"/>
      <c r="C45" s="29">
        <f>'College Work-Study'!AG38</f>
        <v>251814.97</v>
      </c>
      <c r="D45" s="52">
        <f>(('College Work-Study'!AG38-'College Work-Study'!AB38)/'College Work-Study'!AB38)*100</f>
        <v>-14.7925264007258</v>
      </c>
      <c r="E45" s="29">
        <f>'Perkins Loans'!AG38</f>
        <v>318839.61299999995</v>
      </c>
      <c r="F45" s="52">
        <f>(('Perkins Loans'!AG38-'Perkins Loans'!AB38)/'Perkins Loans'!AB38)*100</f>
        <v>25.450390525013695</v>
      </c>
      <c r="G45" s="29">
        <f>SEOG!AG38</f>
        <v>238600.26299999998</v>
      </c>
      <c r="H45" s="52">
        <f>((SEOG!AG38-SEOG!AB38)/SEOG!AB38)*100</f>
        <v>-5.7469512500423443</v>
      </c>
      <c r="I45" s="29">
        <f>'CWS per-recipient'!AG38</f>
        <v>1641.4615179031218</v>
      </c>
      <c r="J45" s="52">
        <f>(('CWS per-recipient'!AG38-'CWS per-recipient'!AB38)/'CWS per-recipient'!AB38)*100</f>
        <v>1.5131388630715912</v>
      </c>
      <c r="K45" s="29">
        <f>'Perkins per-recipient'!AG38</f>
        <v>2202.9960132660813</v>
      </c>
      <c r="L45" s="52">
        <f>(('Perkins per-recipient'!AG38-'Perkins per-recipient'!AB38)/'Perkins per-recipient'!AB38)*100</f>
        <v>40.83416397238426</v>
      </c>
      <c r="M45" s="29">
        <f>'SEOG per-recipient'!AG38</f>
        <v>661.00847452931589</v>
      </c>
      <c r="N45" s="57">
        <f>(('SEOG per-recipient'!AG38-'SEOG per-recipient'!AB38)/'SEOG per-recipient'!AB38)*100</f>
        <v>4.3989260735366225</v>
      </c>
    </row>
    <row r="46" spans="1:15" s="205" customFormat="1">
      <c r="A46" s="203" t="s">
        <v>216</v>
      </c>
      <c r="B46" s="203"/>
      <c r="C46" s="203">
        <f>(C45/C$11)*100</f>
        <v>23.379809290664461</v>
      </c>
      <c r="D46" s="52"/>
      <c r="E46" s="203">
        <f>(E45/E$11)*100</f>
        <v>30.513613179260108</v>
      </c>
      <c r="F46" s="52"/>
      <c r="G46" s="203">
        <f>(G45/G$11)*100</f>
        <v>24.422691081714014</v>
      </c>
      <c r="H46" s="52"/>
      <c r="I46" s="203">
        <f>(I45/I$11)*100</f>
        <v>94.266158434118751</v>
      </c>
      <c r="J46" s="52"/>
      <c r="K46" s="203">
        <f>(K45/K$11)*100</f>
        <v>88.847258925756364</v>
      </c>
      <c r="L46" s="52"/>
      <c r="M46" s="203">
        <f>(M45/M$11)*100</f>
        <v>99.812840996792346</v>
      </c>
      <c r="N46" s="57"/>
      <c r="O46" s="207"/>
    </row>
    <row r="47" spans="1:15">
      <c r="A47" s="32" t="s">
        <v>150</v>
      </c>
      <c r="B47" s="32"/>
      <c r="C47" s="32">
        <f>'College Work-Study'!AG40</f>
        <v>53335.267</v>
      </c>
      <c r="D47" s="53">
        <f>(('College Work-Study'!AG40-'College Work-Study'!AB40)/'College Work-Study'!AB40)*100</f>
        <v>-17.329841493106578</v>
      </c>
      <c r="E47" s="32">
        <f>'Perkins Loans'!AG40</f>
        <v>58583.972999999998</v>
      </c>
      <c r="F47" s="53">
        <f>(('Perkins Loans'!AG40-'Perkins Loans'!AB40)/'Perkins Loans'!AB40)*100</f>
        <v>16.985245462750999</v>
      </c>
      <c r="G47" s="32">
        <f>SEOG!AG40</f>
        <v>45043.476000000002</v>
      </c>
      <c r="H47" s="53">
        <f>((SEOG!AG40-SEOG!AB40)/SEOG!AB40)*100</f>
        <v>-18.50180533338828</v>
      </c>
      <c r="I47" s="32">
        <f>'CWS per-recipient'!AG40</f>
        <v>1892.0595622405904</v>
      </c>
      <c r="J47" s="53">
        <f>(('CWS per-recipient'!AG40-'CWS per-recipient'!AB40)/'CWS per-recipient'!AB40)*100</f>
        <v>-0.76882886092993763</v>
      </c>
      <c r="K47" s="32">
        <f>'Perkins per-recipient'!AG40</f>
        <v>2444.9719544259419</v>
      </c>
      <c r="L47" s="53">
        <f>(('Perkins per-recipient'!AG40-'Perkins per-recipient'!AB40)/'Perkins per-recipient'!AB40)*100</f>
        <v>56.737086728045369</v>
      </c>
      <c r="M47" s="32">
        <f>'SEOG per-recipient'!AG40</f>
        <v>826.28870177755766</v>
      </c>
      <c r="N47" s="58">
        <f>(('SEOG per-recipient'!AG40-'SEOG per-recipient'!AB40)/'SEOG per-recipient'!AB40)*100</f>
        <v>-13.409756628776917</v>
      </c>
    </row>
    <row r="48" spans="1:15">
      <c r="A48" s="32" t="s">
        <v>151</v>
      </c>
      <c r="B48" s="32"/>
      <c r="C48" s="32">
        <f>'College Work-Study'!AG41</f>
        <v>19547.585999999999</v>
      </c>
      <c r="D48" s="53">
        <f>(('College Work-Study'!AG41-'College Work-Study'!AB41)/'College Work-Study'!AB41)*100</f>
        <v>-32.512419593549616</v>
      </c>
      <c r="E48" s="32">
        <f>'Perkins Loans'!AG41</f>
        <v>30325.021000000001</v>
      </c>
      <c r="F48" s="53">
        <f>(('Perkins Loans'!AG41-'Perkins Loans'!AB41)/'Perkins Loans'!AB41)*100</f>
        <v>15.439159379665984</v>
      </c>
      <c r="G48" s="32">
        <f>SEOG!AG41</f>
        <v>23243.54</v>
      </c>
      <c r="H48" s="53">
        <f>((SEOG!AG41-SEOG!AB41)/SEOG!AB41)*100</f>
        <v>-5.0980007880075879</v>
      </c>
      <c r="I48" s="32">
        <f>'CWS per-recipient'!AG41</f>
        <v>1445.8273668639054</v>
      </c>
      <c r="J48" s="53">
        <f>(('CWS per-recipient'!AG41-'CWS per-recipient'!AB41)/'CWS per-recipient'!AB41)*100</f>
        <v>-14.522387065084589</v>
      </c>
      <c r="K48" s="32">
        <f>'Perkins per-recipient'!AG41</f>
        <v>2439.0751226574439</v>
      </c>
      <c r="L48" s="53">
        <f>(('Perkins per-recipient'!AG41-'Perkins per-recipient'!AB41)/'Perkins per-recipient'!AB41)*100</f>
        <v>50.888906867123929</v>
      </c>
      <c r="M48" s="32">
        <f>'SEOG per-recipient'!AG41</f>
        <v>565.9631352114734</v>
      </c>
      <c r="N48" s="58">
        <f>(('SEOG per-recipient'!AG41-'SEOG per-recipient'!AB41)/'SEOG per-recipient'!AB41)*100</f>
        <v>8.3415771763194844</v>
      </c>
    </row>
    <row r="49" spans="1:15">
      <c r="A49" s="32" t="s">
        <v>152</v>
      </c>
      <c r="B49" s="32"/>
      <c r="C49" s="32">
        <f>'College Work-Study'!AG42</f>
        <v>16670.559000000001</v>
      </c>
      <c r="D49" s="53">
        <f>(('College Work-Study'!AG42-'College Work-Study'!AB42)/'College Work-Study'!AB42)*100</f>
        <v>-15.765607851776691</v>
      </c>
      <c r="E49" s="32">
        <f>'Perkins Loans'!AG42</f>
        <v>23113.027999999998</v>
      </c>
      <c r="F49" s="53">
        <f>(('Perkins Loans'!AG42-'Perkins Loans'!AB42)/'Perkins Loans'!AB42)*100</f>
        <v>68.959959250237702</v>
      </c>
      <c r="G49" s="32">
        <f>SEOG!AG42</f>
        <v>15344.066000000001</v>
      </c>
      <c r="H49" s="53">
        <f>((SEOG!AG42-SEOG!AB42)/SEOG!AB42)*100</f>
        <v>-19.598356112041802</v>
      </c>
      <c r="I49" s="32">
        <f>'CWS per-recipient'!AG42</f>
        <v>1222.5402610736287</v>
      </c>
      <c r="J49" s="53">
        <f>(('CWS per-recipient'!AG42-'CWS per-recipient'!AB42)/'CWS per-recipient'!AB42)*100</f>
        <v>-5.7582952028971173</v>
      </c>
      <c r="K49" s="32">
        <f>'Perkins per-recipient'!AG42</f>
        <v>2130.0366786471295</v>
      </c>
      <c r="L49" s="53">
        <f>(('Perkins per-recipient'!AG42-'Perkins per-recipient'!AB42)/'Perkins per-recipient'!AB42)*100</f>
        <v>47.472101562897578</v>
      </c>
      <c r="M49" s="32">
        <f>'SEOG per-recipient'!AG42</f>
        <v>454.35628201711529</v>
      </c>
      <c r="N49" s="58">
        <f>(('SEOG per-recipient'!AG42-'SEOG per-recipient'!AB42)/'SEOG per-recipient'!AB42)*100</f>
        <v>-9.453811840134259</v>
      </c>
    </row>
    <row r="50" spans="1:15">
      <c r="A50" s="32" t="s">
        <v>153</v>
      </c>
      <c r="B50" s="32"/>
      <c r="C50" s="32">
        <f>'College Work-Study'!AG43</f>
        <v>9304.08</v>
      </c>
      <c r="D50" s="53">
        <f>(('College Work-Study'!AG43-'College Work-Study'!AB43)/'College Work-Study'!AB43)*100</f>
        <v>-0.59025630483569747</v>
      </c>
      <c r="E50" s="32">
        <f>'Perkins Loans'!AG43</f>
        <v>14406.664000000001</v>
      </c>
      <c r="F50" s="53">
        <f>(('Perkins Loans'!AG43-'Perkins Loans'!AB43)/'Perkins Loans'!AB43)*100</f>
        <v>15.362509537027377</v>
      </c>
      <c r="G50" s="32">
        <f>SEOG!AG43</f>
        <v>8020.4470000000001</v>
      </c>
      <c r="H50" s="53">
        <f>((SEOG!AG43-SEOG!AB43)/SEOG!AB43)*100</f>
        <v>15.601381950470014</v>
      </c>
      <c r="I50" s="32">
        <f>'CWS per-recipient'!AG43</f>
        <v>1540.4105960264901</v>
      </c>
      <c r="J50" s="53">
        <f>(('CWS per-recipient'!AG43-'CWS per-recipient'!AB43)/'CWS per-recipient'!AB43)*100</f>
        <v>3.9523081421618826</v>
      </c>
      <c r="K50" s="32">
        <f>'Perkins per-recipient'!AG43</f>
        <v>2399.1114071606994</v>
      </c>
      <c r="L50" s="53">
        <f>(('Perkins per-recipient'!AG43-'Perkins per-recipient'!AB43)/'Perkins per-recipient'!AB43)*100</f>
        <v>28.983162203430769</v>
      </c>
      <c r="M50" s="32">
        <f>'SEOG per-recipient'!AG43</f>
        <v>544.71930182015751</v>
      </c>
      <c r="N50" s="58">
        <f>(('SEOG per-recipient'!AG43-'SEOG per-recipient'!AB43)/'SEOG per-recipient'!AB43)*100</f>
        <v>20.319965932555892</v>
      </c>
    </row>
    <row r="51" spans="1:15">
      <c r="A51" s="34" t="s">
        <v>156</v>
      </c>
      <c r="B51" s="29"/>
      <c r="C51" s="29">
        <f>'College Work-Study'!AG44</f>
        <v>33668.027000000002</v>
      </c>
      <c r="D51" s="52">
        <f>(('College Work-Study'!AG44-'College Work-Study'!AB44)/'College Work-Study'!AB44)*100</f>
        <v>-13.946991563116054</v>
      </c>
      <c r="E51" s="29">
        <f>'Perkins Loans'!AG44</f>
        <v>37093.906999999999</v>
      </c>
      <c r="F51" s="52">
        <f>(('Perkins Loans'!AG44-'Perkins Loans'!AB44)/'Perkins Loans'!AB44)*100</f>
        <v>27.48106354679231</v>
      </c>
      <c r="G51" s="29">
        <f>SEOG!AG44</f>
        <v>33666.201999999997</v>
      </c>
      <c r="H51" s="52">
        <f>((SEOG!AG44-SEOG!AB44)/SEOG!AB44)*100</f>
        <v>-1.7283028933523201</v>
      </c>
      <c r="I51" s="29">
        <f>'CWS per-recipient'!AG44</f>
        <v>1731.0039588688946</v>
      </c>
      <c r="J51" s="52">
        <f>(('CWS per-recipient'!AG44-'CWS per-recipient'!AB44)/'CWS per-recipient'!AB44)*100</f>
        <v>3.4051883386555946</v>
      </c>
      <c r="K51" s="29">
        <f>'Perkins per-recipient'!AG44</f>
        <v>1916.4035441206861</v>
      </c>
      <c r="L51" s="52">
        <f>(('Perkins per-recipient'!AG44-'Perkins per-recipient'!AB44)/'Perkins per-recipient'!AB44)*100</f>
        <v>80.413761817383843</v>
      </c>
      <c r="M51" s="29">
        <f>'SEOG per-recipient'!AG44</f>
        <v>642.41121245658894</v>
      </c>
      <c r="N51" s="57">
        <f>(('SEOG per-recipient'!AG44-'SEOG per-recipient'!AB44)/'SEOG per-recipient'!AB44)*100</f>
        <v>26.667840855187276</v>
      </c>
    </row>
    <row r="52" spans="1:15">
      <c r="A52" s="34" t="s">
        <v>157</v>
      </c>
      <c r="B52" s="29"/>
      <c r="C52" s="29">
        <f>'College Work-Study'!AG45</f>
        <v>24629.924999999999</v>
      </c>
      <c r="D52" s="52">
        <f>(('College Work-Study'!AG45-'College Work-Study'!AB45)/'College Work-Study'!AB45)*100</f>
        <v>0.23152617064105085</v>
      </c>
      <c r="E52" s="29">
        <f>'Perkins Loans'!AG45</f>
        <v>24062.116999999998</v>
      </c>
      <c r="F52" s="52">
        <f>(('Perkins Loans'!AG45-'Perkins Loans'!AB45)/'Perkins Loans'!AB45)*100</f>
        <v>17.43168844200013</v>
      </c>
      <c r="G52" s="29">
        <f>SEOG!AG45</f>
        <v>24742.277999999998</v>
      </c>
      <c r="H52" s="52">
        <f>((SEOG!AG45-SEOG!AB45)/SEOG!AB45)*100</f>
        <v>0.761645552515961</v>
      </c>
      <c r="I52" s="29">
        <f>'CWS per-recipient'!AG45</f>
        <v>1917.3225128444651</v>
      </c>
      <c r="J52" s="52">
        <f>(('CWS per-recipient'!AG45-'CWS per-recipient'!AB45)/'CWS per-recipient'!AB45)*100</f>
        <v>17.24107988790692</v>
      </c>
      <c r="K52" s="29">
        <f>'Perkins per-recipient'!AG45</f>
        <v>2356.9514154177687</v>
      </c>
      <c r="L52" s="52">
        <f>(('Perkins per-recipient'!AG45-'Perkins per-recipient'!AB45)/'Perkins per-recipient'!AB45)*100</f>
        <v>22.354870208400001</v>
      </c>
      <c r="M52" s="29">
        <f>'SEOG per-recipient'!AG45</f>
        <v>786.01810788487194</v>
      </c>
      <c r="N52" s="57">
        <f>(('SEOG per-recipient'!AG45-'SEOG per-recipient'!AB45)/'SEOG per-recipient'!AB45)*100</f>
        <v>18.90821676533804</v>
      </c>
    </row>
    <row r="53" spans="1:15">
      <c r="A53" s="34" t="s">
        <v>158</v>
      </c>
      <c r="B53" s="29"/>
      <c r="C53" s="29">
        <f>'College Work-Study'!AG46</f>
        <v>21336.223999999998</v>
      </c>
      <c r="D53" s="52">
        <f>(('College Work-Study'!AG46-'College Work-Study'!AB46)/'College Work-Study'!AB46)*100</f>
        <v>-18.647333181122789</v>
      </c>
      <c r="E53" s="29">
        <f>'Perkins Loans'!AG46</f>
        <v>22710.437999999998</v>
      </c>
      <c r="F53" s="52">
        <f>(('Perkins Loans'!AG46-'Perkins Loans'!AB46)/'Perkins Loans'!AB46)*100</f>
        <v>-1.3968124735532783</v>
      </c>
      <c r="G53" s="29">
        <f>SEOG!AG46</f>
        <v>16114.752</v>
      </c>
      <c r="H53" s="52">
        <f>((SEOG!AG46-SEOG!AB46)/SEOG!AB46)*100</f>
        <v>-2.1320420920683576</v>
      </c>
      <c r="I53" s="29">
        <f>'CWS per-recipient'!AG46</f>
        <v>1696.7176143141153</v>
      </c>
      <c r="J53" s="52">
        <f>(('CWS per-recipient'!AG46-'CWS per-recipient'!AB46)/'CWS per-recipient'!AB46)*100</f>
        <v>-0.53949107964863918</v>
      </c>
      <c r="K53" s="29">
        <f>'Perkins per-recipient'!AG46</f>
        <v>2284.0629588655333</v>
      </c>
      <c r="L53" s="52">
        <f>(('Perkins per-recipient'!AG46-'Perkins per-recipient'!AB46)/'Perkins per-recipient'!AB46)*100</f>
        <v>10.166228525726304</v>
      </c>
      <c r="M53" s="29">
        <f>'SEOG per-recipient'!AG46</f>
        <v>687.2841728152855</v>
      </c>
      <c r="N53" s="57">
        <f>(('SEOG per-recipient'!AG46-'SEOG per-recipient'!AB46)/'SEOG per-recipient'!AB46)*100</f>
        <v>3.9578351027826684</v>
      </c>
    </row>
    <row r="54" spans="1:15">
      <c r="A54" s="34" t="s">
        <v>160</v>
      </c>
      <c r="B54" s="29"/>
      <c r="C54" s="29">
        <f>'College Work-Study'!AG47</f>
        <v>5844.8990000000003</v>
      </c>
      <c r="D54" s="52">
        <f>(('College Work-Study'!AG47-'College Work-Study'!AB47)/'College Work-Study'!AB47)*100</f>
        <v>-2.1413254361943705</v>
      </c>
      <c r="E54" s="29">
        <f>'Perkins Loans'!AG47</f>
        <v>11421.647000000001</v>
      </c>
      <c r="F54" s="52">
        <f>(('Perkins Loans'!AG47-'Perkins Loans'!AB47)/'Perkins Loans'!AB47)*100</f>
        <v>38.39840876897707</v>
      </c>
      <c r="G54" s="29">
        <f>SEOG!AG47</f>
        <v>5769.3590000000004</v>
      </c>
      <c r="H54" s="52">
        <f>((SEOG!AG47-SEOG!AB47)/SEOG!AB47)*100</f>
        <v>10.552328678505718</v>
      </c>
      <c r="I54" s="29">
        <f>'CWS per-recipient'!AG47</f>
        <v>1517.3673416407062</v>
      </c>
      <c r="J54" s="52">
        <f>(('CWS per-recipient'!AG47-'CWS per-recipient'!AB47)/'CWS per-recipient'!AB47)*100</f>
        <v>12.974435562108946</v>
      </c>
      <c r="K54" s="29">
        <f>'Perkins per-recipient'!AG47</f>
        <v>2110.4299704360678</v>
      </c>
      <c r="L54" s="52">
        <f>(('Perkins per-recipient'!AG47-'Perkins per-recipient'!AB47)/'Perkins per-recipient'!AB47)*100</f>
        <v>15.204144771663259</v>
      </c>
      <c r="M54" s="29">
        <f>'SEOG per-recipient'!AG47</f>
        <v>694.9360395085522</v>
      </c>
      <c r="N54" s="57">
        <f>(('SEOG per-recipient'!AG47-'SEOG per-recipient'!AB47)/'SEOG per-recipient'!AB47)*100</f>
        <v>-5.0943812946627043</v>
      </c>
    </row>
    <row r="55" spans="1:15">
      <c r="A55" s="32" t="s">
        <v>166</v>
      </c>
      <c r="B55" s="32"/>
      <c r="C55" s="32">
        <f>'College Work-Study'!AG48</f>
        <v>2892.2330000000002</v>
      </c>
      <c r="D55" s="53">
        <f>(('College Work-Study'!AG48-'College Work-Study'!AB48)/'College Work-Study'!AB48)*100</f>
        <v>-7.6392062337874629</v>
      </c>
      <c r="E55" s="32">
        <f>'Perkins Loans'!AG48</f>
        <v>5779.2430000000004</v>
      </c>
      <c r="F55" s="53">
        <f>(('Perkins Loans'!AG48-'Perkins Loans'!AB48)/'Perkins Loans'!AB48)*100</f>
        <v>12.266203660085681</v>
      </c>
      <c r="G55" s="32">
        <f>SEOG!AG48</f>
        <v>3409.05</v>
      </c>
      <c r="H55" s="53">
        <f>((SEOG!AG48-SEOG!AB48)/SEOG!AB48)*100</f>
        <v>-1.3902233860201755E-2</v>
      </c>
      <c r="I55" s="32">
        <f>'CWS per-recipient'!AG48</f>
        <v>1465.163627152989</v>
      </c>
      <c r="J55" s="53">
        <f>(('CWS per-recipient'!AG48-'CWS per-recipient'!AB48)/'CWS per-recipient'!AB48)*100</f>
        <v>13.275320014184672</v>
      </c>
      <c r="K55" s="32">
        <f>'Perkins per-recipient'!AG48</f>
        <v>1872.7294232015554</v>
      </c>
      <c r="L55" s="53">
        <f>(('Perkins per-recipient'!AG48-'Perkins per-recipient'!AB48)/'Perkins per-recipient'!AB48)*100</f>
        <v>3.8262298269230408</v>
      </c>
      <c r="M55" s="32">
        <f>'SEOG per-recipient'!AG48</f>
        <v>442.73376623376623</v>
      </c>
      <c r="N55" s="58">
        <f>(('SEOG per-recipient'!AG48-'SEOG per-recipient'!AB48)/'SEOG per-recipient'!AB48)*100</f>
        <v>-40.112223000332897</v>
      </c>
    </row>
    <row r="56" spans="1:15">
      <c r="A56" s="32" t="s">
        <v>167</v>
      </c>
      <c r="B56" s="32"/>
      <c r="C56" s="32">
        <f>'College Work-Study'!AG49</f>
        <v>39016.214999999997</v>
      </c>
      <c r="D56" s="53">
        <f>(('College Work-Study'!AG49-'College Work-Study'!AB49)/'College Work-Study'!AB49)*100</f>
        <v>-12.779770043530295</v>
      </c>
      <c r="E56" s="32">
        <f>'Perkins Loans'!AG49</f>
        <v>48236.819000000003</v>
      </c>
      <c r="F56" s="53">
        <f>(('Perkins Loans'!AG49-'Perkins Loans'!AB49)/'Perkins Loans'!AB49)*100</f>
        <v>56.791964623007814</v>
      </c>
      <c r="G56" s="32">
        <f>SEOG!AG49</f>
        <v>35478.294000000002</v>
      </c>
      <c r="H56" s="53">
        <f>((SEOG!AG49-SEOG!AB49)/SEOG!AB49)*100</f>
        <v>-8.9852804831174495</v>
      </c>
      <c r="I56" s="32">
        <f>'CWS per-recipient'!AG49</f>
        <v>1649.8737736806495</v>
      </c>
      <c r="J56" s="53">
        <f>(('CWS per-recipient'!AG49-'CWS per-recipient'!AB49)/'CWS per-recipient'!AB49)*100</f>
        <v>7.9446240754397337</v>
      </c>
      <c r="K56" s="32">
        <f>'Perkins per-recipient'!AG49</f>
        <v>2087.3607252585571</v>
      </c>
      <c r="L56" s="53">
        <f>(('Perkins per-recipient'!AG49-'Perkins per-recipient'!AB49)/'Perkins per-recipient'!AB49)*100</f>
        <v>30.17485106482442</v>
      </c>
      <c r="M56" s="32">
        <f>'SEOG per-recipient'!AG49</f>
        <v>668.14112994350285</v>
      </c>
      <c r="N56" s="58">
        <f>(('SEOG per-recipient'!AG49-'SEOG per-recipient'!AB49)/'SEOG per-recipient'!AB49)*100</f>
        <v>10.984823040257284</v>
      </c>
    </row>
    <row r="57" spans="1:15">
      <c r="A57" s="32" t="s">
        <v>171</v>
      </c>
      <c r="B57" s="32"/>
      <c r="C57" s="32">
        <f>'College Work-Study'!AG50</f>
        <v>3978.5030000000002</v>
      </c>
      <c r="D57" s="53">
        <f>(('College Work-Study'!AG50-'College Work-Study'!AB50)/'College Work-Study'!AB50)*100</f>
        <v>-11.079505389201486</v>
      </c>
      <c r="E57" s="32">
        <f>'Perkins Loans'!AG50</f>
        <v>5964.8429999999998</v>
      </c>
      <c r="F57" s="53">
        <f>(('Perkins Loans'!AG50-'Perkins Loans'!AB50)/'Perkins Loans'!AB50)*100</f>
        <v>5.0707436245128976</v>
      </c>
      <c r="G57" s="32">
        <f>SEOG!AG50</f>
        <v>4627.9669999999996</v>
      </c>
      <c r="H57" s="53">
        <f>((SEOG!AG50-SEOG!AB50)/SEOG!AB50)*100</f>
        <v>26.380438964885478</v>
      </c>
      <c r="I57" s="32">
        <f>'CWS per-recipient'!AG50</f>
        <v>1643.3304419661297</v>
      </c>
      <c r="J57" s="53">
        <f>(('CWS per-recipient'!AG50-'CWS per-recipient'!AB50)/'CWS per-recipient'!AB50)*100</f>
        <v>6.1463153346582855</v>
      </c>
      <c r="K57" s="32">
        <f>'Perkins per-recipient'!AG50</f>
        <v>2065.3888504155125</v>
      </c>
      <c r="L57" s="53">
        <f>(('Perkins per-recipient'!AG50-'Perkins per-recipient'!AB50)/'Perkins per-recipient'!AB50)*100</f>
        <v>39.633488237839501</v>
      </c>
      <c r="M57" s="32">
        <f>'SEOG per-recipient'!AG50</f>
        <v>966.1726513569937</v>
      </c>
      <c r="N57" s="58">
        <f>(('SEOG per-recipient'!AG50-'SEOG per-recipient'!AB50)/'SEOG per-recipient'!AB50)*100</f>
        <v>43.582953830251931</v>
      </c>
    </row>
    <row r="58" spans="1:15">
      <c r="A58" s="32" t="s">
        <v>175</v>
      </c>
      <c r="B58" s="32"/>
      <c r="C58" s="44">
        <f>'College Work-Study'!AG51</f>
        <v>21591.452000000001</v>
      </c>
      <c r="D58" s="54">
        <f>(('College Work-Study'!AG51-'College Work-Study'!AB51)/'College Work-Study'!AB51)*100</f>
        <v>-12.461232035639783</v>
      </c>
      <c r="E58" s="44">
        <f>'Perkins Loans'!AG51</f>
        <v>37141.913</v>
      </c>
      <c r="F58" s="54">
        <f>(('Perkins Loans'!AG51-'Perkins Loans'!AB51)/'Perkins Loans'!AB51)*100</f>
        <v>27.292437049266521</v>
      </c>
      <c r="G58" s="44">
        <f>SEOG!AG51</f>
        <v>23140.831999999999</v>
      </c>
      <c r="H58" s="54">
        <f>((SEOG!AG51-SEOG!AB51)/SEOG!AB51)*100</f>
        <v>11.176240771598787</v>
      </c>
      <c r="I58" s="44">
        <f>'CWS per-recipient'!AG51</f>
        <v>1415.0905754358369</v>
      </c>
      <c r="J58" s="54">
        <f>(('CWS per-recipient'!AG51-'CWS per-recipient'!AB51)/'CWS per-recipient'!AB51)*100</f>
        <v>4.020821828213534E-2</v>
      </c>
      <c r="K58" s="44">
        <f>'Perkins per-recipient'!AG51</f>
        <v>2125.1881329747666</v>
      </c>
      <c r="L58" s="54">
        <f>(('Perkins per-recipient'!AG51-'Perkins per-recipient'!AB51)/'Perkins per-recipient'!AB51)*100</f>
        <v>34.138857534836717</v>
      </c>
      <c r="M58" s="44">
        <f>'SEOG per-recipient'!AG51</f>
        <v>648.85688649618658</v>
      </c>
      <c r="N58" s="60">
        <f>(('SEOG per-recipient'!AG51-'SEOG per-recipient'!AB51)/'SEOG per-recipient'!AB51)*100</f>
        <v>-6.0906164971844596</v>
      </c>
    </row>
    <row r="59" spans="1:15">
      <c r="A59" s="45" t="s">
        <v>219</v>
      </c>
      <c r="B59" s="45"/>
      <c r="C59" s="29">
        <f>'College Work-Study'!AG52</f>
        <v>300811.70600000001</v>
      </c>
      <c r="D59" s="52">
        <f>(('College Work-Study'!AG52-'College Work-Study'!AB52)/'College Work-Study'!AB52)*100</f>
        <v>-7.1874199270030896</v>
      </c>
      <c r="E59" s="29">
        <f>'Perkins Loans'!AG52</f>
        <v>307145.58199999994</v>
      </c>
      <c r="F59" s="52">
        <f>(('Perkins Loans'!AG52-'Perkins Loans'!AB52)/'Perkins Loans'!AB52)*100</f>
        <v>20.113581255163449</v>
      </c>
      <c r="G59" s="29">
        <f>SEOG!AG52</f>
        <v>239155.53900000002</v>
      </c>
      <c r="H59" s="52">
        <f>((SEOG!AG52-SEOG!AB52)/SEOG!AB52)*100</f>
        <v>-8.044035701265619</v>
      </c>
      <c r="I59" s="29">
        <f>'CWS per-recipient'!AG52</f>
        <v>1547.5684160162982</v>
      </c>
      <c r="J59" s="52">
        <f>(('CWS per-recipient'!AG52-'CWS per-recipient'!AB52)/'CWS per-recipient'!AB52)*100</f>
        <v>4.617025066821423</v>
      </c>
      <c r="K59" s="29">
        <f>'Perkins per-recipient'!AG52</f>
        <v>2420.9663668823741</v>
      </c>
      <c r="L59" s="52">
        <f>(('Perkins per-recipient'!AG52-'Perkins per-recipient'!AB52)/'Perkins per-recipient'!AB52)*100</f>
        <v>26.861088476041278</v>
      </c>
      <c r="M59" s="29">
        <f>'SEOG per-recipient'!AG52</f>
        <v>776.4891070013897</v>
      </c>
      <c r="N59" s="57">
        <f>(('SEOG per-recipient'!AG52-'SEOG per-recipient'!AB52)/'SEOG per-recipient'!AB52)*100</f>
        <v>-1.239504530950245</v>
      </c>
    </row>
    <row r="60" spans="1:15" s="205" customFormat="1">
      <c r="A60" s="206" t="s">
        <v>216</v>
      </c>
      <c r="B60" s="206"/>
      <c r="C60" s="203">
        <f>(C59/C$11)*100</f>
        <v>27.928920662180751</v>
      </c>
      <c r="D60" s="52"/>
      <c r="E60" s="203">
        <f>(E59/E$11)*100</f>
        <v>29.394470124597461</v>
      </c>
      <c r="F60" s="52"/>
      <c r="G60" s="203">
        <f>(G59/G$11)*100</f>
        <v>24.479528128088479</v>
      </c>
      <c r="H60" s="52"/>
      <c r="I60" s="203">
        <f>(I59/I$11)*100</f>
        <v>88.874047853518135</v>
      </c>
      <c r="J60" s="52"/>
      <c r="K60" s="203">
        <f>(K59/K$11)*100</f>
        <v>97.638045803837912</v>
      </c>
      <c r="L60" s="52"/>
      <c r="M60" s="203">
        <f>(M59/M$11)*100</f>
        <v>117.25051456875639</v>
      </c>
      <c r="N60" s="59"/>
      <c r="O60" s="207"/>
    </row>
    <row r="61" spans="1:15">
      <c r="A61" s="32" t="s">
        <v>146</v>
      </c>
      <c r="B61" s="32"/>
      <c r="C61" s="32">
        <f>'College Work-Study'!AG54</f>
        <v>13744.608</v>
      </c>
      <c r="D61" s="53">
        <f>(('College Work-Study'!AG54-'College Work-Study'!AB54)/'College Work-Study'!AB54)*100</f>
        <v>-11.233789290582427</v>
      </c>
      <c r="E61" s="32">
        <f>'Perkins Loans'!AG54</f>
        <v>12743.398999999999</v>
      </c>
      <c r="F61" s="53">
        <f>(('Perkins Loans'!AG54-'Perkins Loans'!AB54)/'Perkins Loans'!AB54)*100</f>
        <v>7.5977616178386942</v>
      </c>
      <c r="G61" s="32">
        <f>SEOG!AG54</f>
        <v>13915.486999999999</v>
      </c>
      <c r="H61" s="53">
        <f>((SEOG!AG54-SEOG!AB54)/SEOG!AB54)*100</f>
        <v>6.7135873045720036</v>
      </c>
      <c r="I61" s="32">
        <f>'CWS per-recipient'!AG54</f>
        <v>1638.9945146673026</v>
      </c>
      <c r="J61" s="53">
        <f>(('CWS per-recipient'!AG54-'CWS per-recipient'!AB54)/'CWS per-recipient'!AB54)*100</f>
        <v>8.8142912106859868</v>
      </c>
      <c r="K61" s="32">
        <f>'Perkins per-recipient'!AG54</f>
        <v>3239.2981698017284</v>
      </c>
      <c r="L61" s="53">
        <f>(('Perkins per-recipient'!AG54-'Perkins per-recipient'!AB54)/'Perkins per-recipient'!AB54)*100</f>
        <v>54.121348936583892</v>
      </c>
      <c r="M61" s="32">
        <f>'SEOG per-recipient'!AG54</f>
        <v>686.87926353719331</v>
      </c>
      <c r="N61" s="58">
        <f>(('SEOG per-recipient'!AG54-'SEOG per-recipient'!AB54)/'SEOG per-recipient'!AB54)*100</f>
        <v>-14.677590840640834</v>
      </c>
    </row>
    <row r="62" spans="1:15">
      <c r="A62" s="32" t="s">
        <v>154</v>
      </c>
      <c r="B62" s="32"/>
      <c r="C62" s="32">
        <f>'College Work-Study'!AG55</f>
        <v>10726.348</v>
      </c>
      <c r="D62" s="53">
        <f>(('College Work-Study'!AG55-'College Work-Study'!AB55)/'College Work-Study'!AB55)*100</f>
        <v>-0.58844246068523898</v>
      </c>
      <c r="E62" s="32">
        <f>'Perkins Loans'!AG55</f>
        <v>8593.9830000000002</v>
      </c>
      <c r="F62" s="53">
        <f>(('Perkins Loans'!AG55-'Perkins Loans'!AB55)/'Perkins Loans'!AB55)*100</f>
        <v>-3.0617281666809113</v>
      </c>
      <c r="G62" s="32">
        <f>SEOG!AG55</f>
        <v>8816.527</v>
      </c>
      <c r="H62" s="53">
        <f>((SEOG!AG55-SEOG!AB55)/SEOG!AB55)*100</f>
        <v>-0.96308096042546454</v>
      </c>
      <c r="I62" s="32">
        <f>'CWS per-recipient'!AG55</f>
        <v>1539.151671688908</v>
      </c>
      <c r="J62" s="53">
        <f>(('CWS per-recipient'!AG55-'CWS per-recipient'!AB55)/'CWS per-recipient'!AB55)*100</f>
        <v>1.3515735854256457</v>
      </c>
      <c r="K62" s="32">
        <f>'Perkins per-recipient'!AG55</f>
        <v>1924.7442329227324</v>
      </c>
      <c r="L62" s="53">
        <f>(('Perkins per-recipient'!AG55-'Perkins per-recipient'!AB55)/'Perkins per-recipient'!AB55)*100</f>
        <v>11.918654266687541</v>
      </c>
      <c r="M62" s="32">
        <f>'SEOG per-recipient'!AG55</f>
        <v>803.4014033169309</v>
      </c>
      <c r="N62" s="58">
        <f>(('SEOG per-recipient'!AG55-'SEOG per-recipient'!AB55)/'SEOG per-recipient'!AB55)*100</f>
        <v>4.3885586414031934</v>
      </c>
    </row>
    <row r="63" spans="1:15">
      <c r="A63" s="32" t="s">
        <v>155</v>
      </c>
      <c r="B63" s="32"/>
      <c r="C63" s="32">
        <f>'College Work-Study'!AG56</f>
        <v>55518.137000000002</v>
      </c>
      <c r="D63" s="53">
        <f>(('College Work-Study'!AG56-'College Work-Study'!AB56)/'College Work-Study'!AB56)*100</f>
        <v>-7.3755015396169687</v>
      </c>
      <c r="E63" s="32">
        <f>'Perkins Loans'!AG56</f>
        <v>59291.472000000002</v>
      </c>
      <c r="F63" s="53">
        <f>(('Perkins Loans'!AG56-'Perkins Loans'!AB56)/'Perkins Loans'!AB56)*100</f>
        <v>7.0354424201706802</v>
      </c>
      <c r="G63" s="32">
        <f>SEOG!AG56</f>
        <v>44536.148999999998</v>
      </c>
      <c r="H63" s="53">
        <f>((SEOG!AG56-SEOG!AB56)/SEOG!AB56)*100</f>
        <v>2.4557292704291203</v>
      </c>
      <c r="I63" s="32">
        <f>'CWS per-recipient'!AG56</f>
        <v>1529.425261707989</v>
      </c>
      <c r="J63" s="53">
        <f>(('CWS per-recipient'!AG56-'CWS per-recipient'!AB56)/'CWS per-recipient'!AB56)*100</f>
        <v>4.2905923160544157</v>
      </c>
      <c r="K63" s="32">
        <f>'Perkins per-recipient'!AG56</f>
        <v>2918.1746234865636</v>
      </c>
      <c r="L63" s="53">
        <f>(('Perkins per-recipient'!AG56-'Perkins per-recipient'!AB56)/'Perkins per-recipient'!AB56)*100</f>
        <v>19.768224403119415</v>
      </c>
      <c r="M63" s="32">
        <f>'SEOG per-recipient'!AG56</f>
        <v>955.32184302537587</v>
      </c>
      <c r="N63" s="58">
        <f>(('SEOG per-recipient'!AG56-'SEOG per-recipient'!AB56)/'SEOG per-recipient'!AB56)*100</f>
        <v>-0.97272131113354188</v>
      </c>
    </row>
    <row r="64" spans="1:15">
      <c r="A64" s="32" t="s">
        <v>162</v>
      </c>
      <c r="B64" s="32"/>
      <c r="C64" s="32">
        <f>'College Work-Study'!AG57</f>
        <v>7484.2629999999999</v>
      </c>
      <c r="D64" s="53">
        <f>(('College Work-Study'!AG57-'College Work-Study'!AB57)/'College Work-Study'!AB57)*100</f>
        <v>-15.679624929472613</v>
      </c>
      <c r="E64" s="32">
        <f>'Perkins Loans'!AG57</f>
        <v>9130.4290000000001</v>
      </c>
      <c r="F64" s="53">
        <f>(('Perkins Loans'!AG57-'Perkins Loans'!AB57)/'Perkins Loans'!AB57)*100</f>
        <v>-10.212366785210923</v>
      </c>
      <c r="G64" s="32">
        <f>SEOG!AG57</f>
        <v>7329.1750000000002</v>
      </c>
      <c r="H64" s="53">
        <f>((SEOG!AG57-SEOG!AB57)/SEOG!AB57)*100</f>
        <v>-5.5878935885417951</v>
      </c>
      <c r="I64" s="32">
        <f>'CWS per-recipient'!AG57</f>
        <v>1203.0642983443176</v>
      </c>
      <c r="J64" s="53">
        <f>(('CWS per-recipient'!AG57-'CWS per-recipient'!AB57)/'CWS per-recipient'!AB57)*100</f>
        <v>-1.7730657231776161</v>
      </c>
      <c r="K64" s="32">
        <f>'Perkins per-recipient'!AG57</f>
        <v>2223.6797369702872</v>
      </c>
      <c r="L64" s="53">
        <f>(('Perkins per-recipient'!AG57-'Perkins per-recipient'!AB57)/'Perkins per-recipient'!AB57)*100</f>
        <v>16.553357290507968</v>
      </c>
      <c r="M64" s="32">
        <f>'SEOG per-recipient'!AG57</f>
        <v>692.93514228987431</v>
      </c>
      <c r="N64" s="58">
        <f>(('SEOG per-recipient'!AG57-'SEOG per-recipient'!AB57)/'SEOG per-recipient'!AB57)*100</f>
        <v>-6.5429938424914891</v>
      </c>
    </row>
    <row r="65" spans="1:16">
      <c r="A65" s="34" t="s">
        <v>163</v>
      </c>
      <c r="B65" s="34"/>
      <c r="C65" s="29">
        <f>'College Work-Study'!AG58</f>
        <v>21945.216</v>
      </c>
      <c r="D65" s="52">
        <f>(('College Work-Study'!AG58-'College Work-Study'!AB58)/'College Work-Study'!AB58)*100</f>
        <v>-2.248232879700403</v>
      </c>
      <c r="E65" s="29">
        <f>'Perkins Loans'!AG58</f>
        <v>16618.998</v>
      </c>
      <c r="F65" s="52">
        <f>(('Perkins Loans'!AG58-'Perkins Loans'!AB58)/'Perkins Loans'!AB58)*100</f>
        <v>10.410049913400615</v>
      </c>
      <c r="G65" s="29">
        <f>SEOG!AG58</f>
        <v>20494.099999999999</v>
      </c>
      <c r="H65" s="52">
        <f>((SEOG!AG58-SEOG!AB58)/SEOG!AB58)*100</f>
        <v>3.771945477005314</v>
      </c>
      <c r="I65" s="29">
        <f>'CWS per-recipient'!AG58</f>
        <v>1738.2349306930694</v>
      </c>
      <c r="J65" s="52">
        <f>(('CWS per-recipient'!AG58-'CWS per-recipient'!AB58)/'CWS per-recipient'!AB58)*100</f>
        <v>12.555836722993687</v>
      </c>
      <c r="K65" s="29">
        <f>'Perkins per-recipient'!AG58</f>
        <v>2194.796354992076</v>
      </c>
      <c r="L65" s="52">
        <f>(('Perkins per-recipient'!AG58-'Perkins per-recipient'!AB58)/'Perkins per-recipient'!AB58)*100</f>
        <v>28.651329950598726</v>
      </c>
      <c r="M65" s="29">
        <f>'SEOG per-recipient'!AG58</f>
        <v>596.81703019889926</v>
      </c>
      <c r="N65" s="57">
        <f>(('SEOG per-recipient'!AG58-'SEOG per-recipient'!AB58)/'SEOG per-recipient'!AB58)*100</f>
        <v>-4.2604908513059394</v>
      </c>
    </row>
    <row r="66" spans="1:16">
      <c r="A66" s="34" t="s">
        <v>165</v>
      </c>
      <c r="B66" s="34"/>
      <c r="C66" s="29">
        <f>'College Work-Study'!AG59</f>
        <v>110846.97</v>
      </c>
      <c r="D66" s="52">
        <f>(('College Work-Study'!AG59-'College Work-Study'!AB59)/'College Work-Study'!AB59)*100</f>
        <v>-2.7325272767693254</v>
      </c>
      <c r="E66" s="29">
        <f>'Perkins Loans'!AG59</f>
        <v>110463.912</v>
      </c>
      <c r="F66" s="52">
        <f>(('Perkins Loans'!AG59-'Perkins Loans'!AB59)/'Perkins Loans'!AB59)*100</f>
        <v>32.844514261843592</v>
      </c>
      <c r="G66" s="29">
        <f>SEOG!AG59</f>
        <v>77103.023000000001</v>
      </c>
      <c r="H66" s="52">
        <f>((SEOG!AG59-SEOG!AB59)/SEOG!AB59)*100</f>
        <v>-13.070417923793705</v>
      </c>
      <c r="I66" s="29">
        <f>'CWS per-recipient'!AG59</f>
        <v>1677.2378156728048</v>
      </c>
      <c r="J66" s="52">
        <f>(('CWS per-recipient'!AG59-'CWS per-recipient'!AB59)/'CWS per-recipient'!AB59)*100</f>
        <v>8.5308897631447902</v>
      </c>
      <c r="K66" s="29">
        <f>'Perkins per-recipient'!AG59</f>
        <v>2464.227184509336</v>
      </c>
      <c r="L66" s="52">
        <f>(('Perkins per-recipient'!AG59-'Perkins per-recipient'!AB59)/'Perkins per-recipient'!AB59)*100</f>
        <v>26.215179744616385</v>
      </c>
      <c r="M66" s="29">
        <f>'SEOG per-recipient'!AG59</f>
        <v>736.24978992399065</v>
      </c>
      <c r="N66" s="57">
        <f>(('SEOG per-recipient'!AG59-'SEOG per-recipient'!AB59)/'SEOG per-recipient'!AB59)*100</f>
        <v>-4.9721309720398708</v>
      </c>
    </row>
    <row r="67" spans="1:16">
      <c r="A67" s="34" t="s">
        <v>169</v>
      </c>
      <c r="B67" s="34"/>
      <c r="C67" s="29">
        <f>'College Work-Study'!AG60</f>
        <v>63222.305999999997</v>
      </c>
      <c r="D67" s="52">
        <f>(('College Work-Study'!AG60-'College Work-Study'!AB60)/'College Work-Study'!AB60)*100</f>
        <v>-13.929840948229296</v>
      </c>
      <c r="E67" s="29">
        <f>'Perkins Loans'!AG60</f>
        <v>67051.073000000004</v>
      </c>
      <c r="F67" s="52">
        <f>(('Perkins Loans'!AG60-'Perkins Loans'!AB60)/'Perkins Loans'!AB60)*100</f>
        <v>36.46054446417839</v>
      </c>
      <c r="G67" s="29">
        <f>SEOG!AG60</f>
        <v>52750.625</v>
      </c>
      <c r="H67" s="52">
        <f>((SEOG!AG60-SEOG!AB60)/SEOG!AB60)*100</f>
        <v>-15.385043297401468</v>
      </c>
      <c r="I67" s="29">
        <f>'CWS per-recipient'!AG60</f>
        <v>1378.3832820982407</v>
      </c>
      <c r="J67" s="52">
        <f>(('CWS per-recipient'!AG60-'CWS per-recipient'!AB60)/'CWS per-recipient'!AB60)*100</f>
        <v>-2.698892730014721</v>
      </c>
      <c r="K67" s="29">
        <f>'Perkins per-recipient'!AG60</f>
        <v>2190.6388199163621</v>
      </c>
      <c r="L67" s="52">
        <f>(('Perkins per-recipient'!AG60-'Perkins per-recipient'!AB60)/'Perkins per-recipient'!AB60)*100</f>
        <v>37.526085176637203</v>
      </c>
      <c r="M67" s="29">
        <f>'SEOG per-recipient'!AG60</f>
        <v>854.16430526094211</v>
      </c>
      <c r="N67" s="57">
        <f>(('SEOG per-recipient'!AG60-'SEOG per-recipient'!AB60)/'SEOG per-recipient'!AB60)*100</f>
        <v>10.289773705529282</v>
      </c>
    </row>
    <row r="68" spans="1:16">
      <c r="A68" s="34" t="s">
        <v>170</v>
      </c>
      <c r="B68" s="34"/>
      <c r="C68" s="29">
        <f>'College Work-Study'!AG61</f>
        <v>10859.199000000001</v>
      </c>
      <c r="D68" s="52">
        <f>(('College Work-Study'!AG61-'College Work-Study'!AB61)/'College Work-Study'!AB61)*100</f>
        <v>-8.4234464738570978</v>
      </c>
      <c r="E68" s="29">
        <f>'Perkins Loans'!AG61</f>
        <v>14942.569</v>
      </c>
      <c r="F68" s="52">
        <f>(('Perkins Loans'!AG61-'Perkins Loans'!AB61)/'Perkins Loans'!AB61)*100</f>
        <v>-5.1169794135434143</v>
      </c>
      <c r="G68" s="29">
        <f>SEOG!AG61</f>
        <v>7012.4949999999999</v>
      </c>
      <c r="H68" s="52">
        <f>((SEOG!AG61-SEOG!AB61)/SEOG!AB61)*100</f>
        <v>-15.742385509290028</v>
      </c>
      <c r="I68" s="29">
        <f>'CWS per-recipient'!AG61</f>
        <v>1568.3418544194108</v>
      </c>
      <c r="J68" s="52">
        <f>(('CWS per-recipient'!AG61-'CWS per-recipient'!AB61)/'CWS per-recipient'!AB61)*100</f>
        <v>1.681187681829388</v>
      </c>
      <c r="K68" s="29">
        <f>'Perkins per-recipient'!AG61</f>
        <v>2005.4447725137566</v>
      </c>
      <c r="L68" s="52">
        <f>(('Perkins per-recipient'!AG61-'Perkins per-recipient'!AB61)/'Perkins per-recipient'!AB61)*100</f>
        <v>15.066833179334555</v>
      </c>
      <c r="M68" s="29">
        <f>'SEOG per-recipient'!AG61</f>
        <v>537.23243698766566</v>
      </c>
      <c r="N68" s="57">
        <f>(('SEOG per-recipient'!AG61-'SEOG per-recipient'!AB61)/'SEOG per-recipient'!AB61)*100</f>
        <v>-5.5498800867181224</v>
      </c>
    </row>
    <row r="69" spans="1:16">
      <c r="A69" s="24" t="s">
        <v>173</v>
      </c>
      <c r="B69" s="24"/>
      <c r="C69" s="24">
        <f>'College Work-Study'!AG62</f>
        <v>6464.6589999999997</v>
      </c>
      <c r="D69" s="55">
        <f>(('College Work-Study'!AG62-'College Work-Study'!AB62)/'College Work-Study'!AB62)*100</f>
        <v>-11.375381318452938</v>
      </c>
      <c r="E69" s="24">
        <f>'Perkins Loans'!AG62</f>
        <v>8309.7469999999994</v>
      </c>
      <c r="F69" s="55">
        <f>(('Perkins Loans'!AG62-'Perkins Loans'!AB62)/'Perkins Loans'!AB62)*100</f>
        <v>30.834280506846323</v>
      </c>
      <c r="G69" s="24">
        <f>SEOG!AG62</f>
        <v>7197.9579999999996</v>
      </c>
      <c r="H69" s="55">
        <f>((SEOG!AG62-SEOG!AB62)/SEOG!AB62)*100</f>
        <v>-7.6290887167593402</v>
      </c>
      <c r="I69" s="24">
        <f>'CWS per-recipient'!AG62</f>
        <v>1293.9669735788632</v>
      </c>
      <c r="J69" s="55">
        <f>(('CWS per-recipient'!AG62-'CWS per-recipient'!AB62)/'CWS per-recipient'!AB62)*100</f>
        <v>2.4611284036460952</v>
      </c>
      <c r="K69" s="24">
        <f>'Perkins per-recipient'!AG62</f>
        <v>2315.9829988851725</v>
      </c>
      <c r="L69" s="55">
        <f>(('Perkins per-recipient'!AG62-'Perkins per-recipient'!AB62)/'Perkins per-recipient'!AB62)*100</f>
        <v>40.205632259984419</v>
      </c>
      <c r="M69" s="24">
        <f>'SEOG per-recipient'!AG62</f>
        <v>1264.1303126097646</v>
      </c>
      <c r="N69" s="61">
        <f>(('SEOG per-recipient'!AG62-'SEOG per-recipient'!AB62)/'SEOG per-recipient'!AB62)*100</f>
        <v>0.64438595033807577</v>
      </c>
    </row>
    <row r="70" spans="1:16">
      <c r="A70" s="48" t="s">
        <v>147</v>
      </c>
      <c r="B70" s="48"/>
      <c r="C70" s="44">
        <f>'College Work-Study'!AG63</f>
        <v>8772.1689999999999</v>
      </c>
      <c r="D70" s="54">
        <f>(('College Work-Study'!AG63-'College Work-Study'!AB63)/'College Work-Study'!AB63)*100</f>
        <v>-29.780448858546027</v>
      </c>
      <c r="E70" s="44">
        <f>'Perkins Loans'!AG63</f>
        <v>13534.134</v>
      </c>
      <c r="F70" s="54">
        <f>(('Perkins Loans'!AG63-'Perkins Loans'!AB63)/'Perkins Loans'!AB63)*100</f>
        <v>39.278549607432666</v>
      </c>
      <c r="G70" s="44">
        <f>SEOG!AG63</f>
        <v>9595.7520000000004</v>
      </c>
      <c r="H70" s="54">
        <f>((SEOG!AG63-SEOG!AB63)/SEOG!AB63)*100</f>
        <v>-13.571062887233442</v>
      </c>
      <c r="I70" s="44">
        <f>'CWS per-recipient'!AG63</f>
        <v>1895.0462302873191</v>
      </c>
      <c r="J70" s="54">
        <f>(('CWS per-recipient'!AG63-'CWS per-recipient'!AB63)/'CWS per-recipient'!AB63)*100</f>
        <v>-12.896810832959883</v>
      </c>
      <c r="K70" s="44">
        <f>'Perkins per-recipient'!AG63</f>
        <v>3037.283213644524</v>
      </c>
      <c r="L70" s="54">
        <f>(('Perkins per-recipient'!AG63-'Perkins per-recipient'!AB63)/'Perkins per-recipient'!AB63)*100</f>
        <v>10.710193606267175</v>
      </c>
      <c r="M70" s="44">
        <f>'SEOG per-recipient'!AG63</f>
        <v>1076.6018175698418</v>
      </c>
      <c r="N70" s="60">
        <f>(('SEOG per-recipient'!AG63-'SEOG per-recipient'!AB63)/'SEOG per-recipient'!AB63)*100</f>
        <v>107.76690301561047</v>
      </c>
    </row>
    <row r="71" spans="1:16" ht="15" customHeight="1">
      <c r="A71" s="212" t="s">
        <v>248</v>
      </c>
      <c r="B71" s="212"/>
      <c r="C71" s="212"/>
      <c r="D71" s="212"/>
      <c r="E71" s="212"/>
      <c r="F71" s="212"/>
      <c r="G71" s="212"/>
      <c r="H71" s="212"/>
      <c r="I71" s="212"/>
      <c r="J71" s="212"/>
      <c r="K71" s="212"/>
      <c r="L71" s="212"/>
      <c r="M71" s="212"/>
      <c r="N71" s="215"/>
    </row>
    <row r="72" spans="1:16" ht="45" customHeight="1">
      <c r="A72" s="10" t="s">
        <v>138</v>
      </c>
      <c r="B72" s="251" t="s">
        <v>249</v>
      </c>
      <c r="C72" s="251"/>
      <c r="D72" s="251"/>
      <c r="E72" s="251"/>
      <c r="F72" s="251"/>
      <c r="G72" s="251"/>
      <c r="H72" s="251"/>
      <c r="I72" s="251"/>
      <c r="J72" s="251"/>
      <c r="K72" s="251"/>
      <c r="L72" s="251"/>
      <c r="M72" s="251"/>
      <c r="N72" s="251"/>
      <c r="O72" s="17"/>
      <c r="P72" s="17"/>
    </row>
    <row r="73" spans="1:16" s="19" customFormat="1" ht="30" customHeight="1">
      <c r="A73" s="10"/>
      <c r="B73" s="251" t="s">
        <v>139</v>
      </c>
      <c r="C73" s="251"/>
      <c r="D73" s="251"/>
      <c r="E73" s="251"/>
      <c r="F73" s="251"/>
      <c r="G73" s="251"/>
      <c r="H73" s="251"/>
      <c r="I73" s="251"/>
      <c r="J73" s="251"/>
      <c r="K73" s="251"/>
      <c r="L73" s="251"/>
      <c r="M73" s="251"/>
      <c r="N73" s="251"/>
      <c r="O73" s="63"/>
    </row>
    <row r="74" spans="1:16" ht="30" customHeight="1">
      <c r="A74" s="10"/>
      <c r="B74" s="251" t="s">
        <v>208</v>
      </c>
      <c r="C74" s="251"/>
      <c r="D74" s="251"/>
      <c r="E74" s="251"/>
      <c r="F74" s="251"/>
      <c r="G74" s="251"/>
      <c r="H74" s="251"/>
      <c r="I74" s="251"/>
      <c r="J74" s="251"/>
      <c r="K74" s="251"/>
      <c r="L74" s="251"/>
      <c r="M74" s="251"/>
      <c r="N74" s="251"/>
    </row>
    <row r="75" spans="1:16" ht="12.75" customHeight="1">
      <c r="A75" s="10"/>
      <c r="B75" s="213"/>
      <c r="C75" s="213"/>
      <c r="D75" s="213"/>
      <c r="E75" s="213"/>
      <c r="F75" s="213"/>
      <c r="G75" s="213"/>
      <c r="H75" s="213"/>
      <c r="I75" s="213"/>
      <c r="J75" s="213"/>
      <c r="K75" s="213"/>
      <c r="L75" s="213"/>
      <c r="M75" s="213"/>
      <c r="N75" s="214"/>
    </row>
    <row r="76" spans="1:16" ht="30" customHeight="1">
      <c r="A76" s="10" t="s">
        <v>212</v>
      </c>
      <c r="B76" s="251" t="s">
        <v>259</v>
      </c>
      <c r="C76" s="251"/>
      <c r="D76" s="251"/>
      <c r="E76" s="251"/>
      <c r="F76" s="251"/>
      <c r="G76" s="251"/>
      <c r="H76" s="251"/>
      <c r="I76" s="251"/>
      <c r="J76" s="251"/>
      <c r="K76" s="251"/>
      <c r="L76" s="251"/>
      <c r="M76" s="251"/>
      <c r="N76" s="251"/>
    </row>
    <row r="77" spans="1:16" s="209" customFormat="1" ht="12.75" customHeight="1">
      <c r="A77" s="216"/>
      <c r="B77" s="217"/>
      <c r="C77" s="216"/>
      <c r="D77" s="218"/>
      <c r="E77" s="218"/>
      <c r="F77" s="218"/>
      <c r="G77" s="218"/>
      <c r="H77" s="218"/>
      <c r="I77" s="216"/>
      <c r="J77" s="216"/>
      <c r="K77" s="218"/>
      <c r="L77" s="218"/>
      <c r="M77" s="218"/>
      <c r="N77" s="219" t="s">
        <v>251</v>
      </c>
      <c r="O77" s="210"/>
    </row>
    <row r="78" spans="1:16" ht="12.75" customHeight="1">
      <c r="J78" s="1"/>
    </row>
    <row r="79" spans="1:16">
      <c r="B79"/>
    </row>
    <row r="80" spans="1:16">
      <c r="B80"/>
    </row>
    <row r="81" spans="2:2">
      <c r="B81" s="18"/>
    </row>
    <row r="82" spans="2:2">
      <c r="B82"/>
    </row>
  </sheetData>
  <mergeCells count="4">
    <mergeCell ref="B76:N76"/>
    <mergeCell ref="B72:N72"/>
    <mergeCell ref="B73:N73"/>
    <mergeCell ref="B74:N74"/>
  </mergeCells>
  <phoneticPr fontId="3" type="noConversion"/>
  <printOptions horizontalCentered="1"/>
  <pageMargins left="0.5" right="0.66" top="0.5" bottom="0.3" header="0.5" footer="0.5"/>
  <pageSetup scale="59"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tabColor indexed="62"/>
  </sheetPr>
  <dimension ref="A1:BM122"/>
  <sheetViews>
    <sheetView zoomScale="80" zoomScaleNormal="80" workbookViewId="0">
      <pane xSplit="1" ySplit="6" topLeftCell="B55" activePane="bottomRight" state="frozen"/>
      <selection pane="topRight" activeCell="B1" sqref="B1"/>
      <selection pane="bottomLeft" activeCell="A7" sqref="A7"/>
      <selection pane="bottomRight" activeCell="AG72" sqref="AG72"/>
    </sheetView>
  </sheetViews>
  <sheetFormatPr defaultColWidth="9.7109375" defaultRowHeight="12.75"/>
  <cols>
    <col min="1" max="1" width="21.85546875" style="62" customWidth="1"/>
    <col min="2" max="2" width="11.5703125" style="2" customWidth="1"/>
    <col min="3" max="3" width="10.140625" style="2" customWidth="1"/>
    <col min="4" max="12" width="9.140625" style="2" customWidth="1"/>
    <col min="13" max="13" width="9.7109375" style="78"/>
    <col min="14" max="15" width="9.140625" style="2" customWidth="1"/>
    <col min="16" max="18" width="10.7109375" style="2" customWidth="1"/>
    <col min="19" max="25" width="10.7109375" style="8" customWidth="1"/>
    <col min="26" max="28" width="11.5703125" style="8" customWidth="1"/>
    <col min="29" max="33" width="12.42578125" style="8" customWidth="1"/>
    <col min="34" max="34" width="10.5703125" style="2" customWidth="1"/>
    <col min="35" max="35" width="9.7109375" style="13"/>
    <col min="36" max="50" width="9.140625" style="2" customWidth="1"/>
    <col min="51" max="56" width="9.7109375" style="62"/>
    <col min="57" max="57" width="10.7109375" style="8" customWidth="1"/>
    <col min="58" max="16384" width="9.7109375" style="62"/>
  </cols>
  <sheetData>
    <row r="1" spans="1:65" s="122" customFormat="1">
      <c r="A1" s="64" t="s">
        <v>0</v>
      </c>
      <c r="B1" s="64" t="s">
        <v>3</v>
      </c>
      <c r="C1" s="118"/>
      <c r="D1" s="118"/>
      <c r="E1" s="118"/>
      <c r="F1" s="118"/>
      <c r="G1" s="118"/>
      <c r="H1" s="118"/>
      <c r="I1" s="118"/>
      <c r="J1" s="118"/>
      <c r="K1" s="118"/>
      <c r="L1" s="118"/>
      <c r="M1" s="119"/>
      <c r="N1" s="118"/>
      <c r="O1" s="118"/>
      <c r="P1" s="118"/>
      <c r="Q1" s="118"/>
      <c r="R1" s="118"/>
      <c r="S1" s="94"/>
      <c r="T1" s="94"/>
      <c r="U1" s="94"/>
      <c r="V1" s="94"/>
      <c r="W1" s="94"/>
      <c r="X1" s="94"/>
      <c r="Y1" s="94"/>
      <c r="Z1" s="94"/>
      <c r="AA1" s="94"/>
      <c r="AB1" s="94"/>
      <c r="AC1" s="94"/>
      <c r="AD1" s="94"/>
      <c r="AE1" s="94"/>
      <c r="AF1" s="94"/>
      <c r="AG1" s="94"/>
      <c r="AH1" s="120"/>
      <c r="AI1" s="121"/>
      <c r="AJ1" s="118"/>
      <c r="AK1" s="118"/>
      <c r="AL1" s="118"/>
      <c r="AM1" s="118"/>
      <c r="AN1" s="118"/>
      <c r="AO1" s="118"/>
      <c r="AP1" s="118"/>
      <c r="AQ1" s="118"/>
      <c r="AR1" s="118"/>
      <c r="AS1" s="118"/>
      <c r="AT1" s="118"/>
      <c r="AU1" s="118"/>
      <c r="AV1" s="118"/>
      <c r="AW1" s="4"/>
      <c r="AX1" s="4"/>
      <c r="BE1" s="94"/>
    </row>
    <row r="2" spans="1:65">
      <c r="A2" s="64" t="s">
        <v>1</v>
      </c>
      <c r="B2" s="64" t="s">
        <v>244</v>
      </c>
      <c r="C2" s="66"/>
      <c r="D2" s="66"/>
      <c r="E2" s="66"/>
      <c r="F2" s="66"/>
      <c r="G2" s="66"/>
      <c r="H2" s="66"/>
      <c r="I2" s="66"/>
      <c r="J2" s="66"/>
      <c r="K2" s="66"/>
      <c r="L2" s="66"/>
      <c r="M2" s="67"/>
      <c r="N2" s="66"/>
      <c r="O2" s="66"/>
      <c r="P2" s="66"/>
      <c r="Q2" s="66"/>
      <c r="R2" s="68"/>
      <c r="S2" s="68"/>
      <c r="T2" s="68"/>
      <c r="U2" s="68"/>
      <c r="V2" s="68"/>
      <c r="W2" s="68"/>
      <c r="X2" s="68"/>
      <c r="Y2" s="68"/>
      <c r="Z2" s="68"/>
      <c r="AA2" s="68"/>
      <c r="AB2" s="68"/>
      <c r="AC2" s="68"/>
      <c r="AD2" s="68"/>
      <c r="AE2" s="68"/>
      <c r="AF2" s="68"/>
      <c r="AG2" s="68"/>
      <c r="AH2" s="113" t="s">
        <v>6</v>
      </c>
      <c r="AI2" s="69"/>
      <c r="AJ2" s="66"/>
      <c r="AK2" s="66"/>
      <c r="AL2" s="66"/>
      <c r="AM2" s="66"/>
      <c r="AN2" s="66"/>
      <c r="AO2" s="66"/>
      <c r="AP2" s="66"/>
      <c r="AQ2" s="66"/>
      <c r="AR2" s="66"/>
      <c r="AS2" s="66"/>
      <c r="AT2" s="66"/>
      <c r="AU2" s="66"/>
      <c r="AV2" s="66"/>
      <c r="AW2" s="66"/>
      <c r="AX2" s="66"/>
      <c r="AY2" s="66"/>
      <c r="AZ2" s="66"/>
      <c r="BE2" s="68"/>
    </row>
    <row r="3" spans="1:65" s="103" customFormat="1">
      <c r="A3" s="71" t="s">
        <v>2</v>
      </c>
      <c r="B3" s="95" t="s">
        <v>7</v>
      </c>
      <c r="C3" s="95" t="s">
        <v>8</v>
      </c>
      <c r="D3" s="95" t="s">
        <v>9</v>
      </c>
      <c r="E3" s="95" t="s">
        <v>10</v>
      </c>
      <c r="F3" s="95" t="s">
        <v>11</v>
      </c>
      <c r="G3" s="95" t="s">
        <v>12</v>
      </c>
      <c r="H3" s="95" t="s">
        <v>13</v>
      </c>
      <c r="I3" s="96" t="s">
        <v>14</v>
      </c>
      <c r="J3" s="96" t="s">
        <v>15</v>
      </c>
      <c r="K3" s="96" t="s">
        <v>16</v>
      </c>
      <c r="L3" s="96" t="s">
        <v>17</v>
      </c>
      <c r="M3" s="97" t="s">
        <v>177</v>
      </c>
      <c r="N3" s="98" t="s">
        <v>114</v>
      </c>
      <c r="O3" s="98" t="s">
        <v>115</v>
      </c>
      <c r="P3" s="99" t="s">
        <v>132</v>
      </c>
      <c r="Q3" s="100" t="s">
        <v>136</v>
      </c>
      <c r="R3" s="101" t="s">
        <v>141</v>
      </c>
      <c r="S3" s="101" t="s">
        <v>192</v>
      </c>
      <c r="T3" s="101" t="s">
        <v>193</v>
      </c>
      <c r="U3" s="101" t="s">
        <v>202</v>
      </c>
      <c r="V3" s="101" t="s">
        <v>203</v>
      </c>
      <c r="W3" s="101" t="s">
        <v>204</v>
      </c>
      <c r="X3" s="101" t="s">
        <v>207</v>
      </c>
      <c r="Y3" s="101" t="s">
        <v>209</v>
      </c>
      <c r="Z3" s="101" t="s">
        <v>213</v>
      </c>
      <c r="AA3" s="101" t="s">
        <v>220</v>
      </c>
      <c r="AB3" s="101" t="s">
        <v>233</v>
      </c>
      <c r="AC3" s="101" t="s">
        <v>236</v>
      </c>
      <c r="AD3" s="237" t="s">
        <v>239</v>
      </c>
      <c r="AE3" s="237" t="s">
        <v>245</v>
      </c>
      <c r="AF3" s="237" t="s">
        <v>250</v>
      </c>
      <c r="AG3" s="247" t="s">
        <v>252</v>
      </c>
      <c r="AH3" s="105" t="s">
        <v>7</v>
      </c>
      <c r="AI3" s="102" t="s">
        <v>8</v>
      </c>
      <c r="AJ3" s="96" t="s">
        <v>9</v>
      </c>
      <c r="AK3" s="96" t="s">
        <v>10</v>
      </c>
      <c r="AL3" s="96" t="s">
        <v>11</v>
      </c>
      <c r="AM3" s="96" t="s">
        <v>12</v>
      </c>
      <c r="AN3" s="96" t="s">
        <v>13</v>
      </c>
      <c r="AO3" s="96" t="s">
        <v>14</v>
      </c>
      <c r="AP3" s="96" t="s">
        <v>15</v>
      </c>
      <c r="AQ3" s="96" t="s">
        <v>16</v>
      </c>
      <c r="AR3" s="96" t="s">
        <v>17</v>
      </c>
      <c r="AS3" s="97" t="s">
        <v>177</v>
      </c>
      <c r="AT3" s="98" t="s">
        <v>114</v>
      </c>
      <c r="AU3" s="98" t="s">
        <v>115</v>
      </c>
      <c r="AV3" s="99" t="s">
        <v>132</v>
      </c>
      <c r="AW3" s="100" t="s">
        <v>136</v>
      </c>
      <c r="AX3" s="100" t="s">
        <v>141</v>
      </c>
      <c r="AY3" s="100" t="s">
        <v>192</v>
      </c>
      <c r="AZ3" s="100" t="s">
        <v>193</v>
      </c>
      <c r="BA3" s="100" t="s">
        <v>202</v>
      </c>
      <c r="BB3" s="100" t="s">
        <v>203</v>
      </c>
      <c r="BC3" s="100" t="s">
        <v>204</v>
      </c>
      <c r="BD3" s="100" t="s">
        <v>207</v>
      </c>
      <c r="BE3" s="101" t="s">
        <v>209</v>
      </c>
      <c r="BF3" s="101" t="s">
        <v>213</v>
      </c>
      <c r="BG3" s="101" t="s">
        <v>220</v>
      </c>
      <c r="BH3" s="101" t="s">
        <v>233</v>
      </c>
      <c r="BI3" s="101" t="s">
        <v>238</v>
      </c>
      <c r="BJ3" s="238" t="s">
        <v>240</v>
      </c>
      <c r="BK3" s="238" t="s">
        <v>247</v>
      </c>
      <c r="BL3" s="237" t="s">
        <v>250</v>
      </c>
      <c r="BM3" s="247" t="s">
        <v>252</v>
      </c>
    </row>
    <row r="4" spans="1:65">
      <c r="A4" s="22" t="s">
        <v>214</v>
      </c>
      <c r="B4" s="23">
        <f>615053-11798.534-229.836-313.954-58.332</f>
        <v>602652.34399999992</v>
      </c>
      <c r="C4" s="23">
        <v>590399</v>
      </c>
      <c r="D4" s="23">
        <f>629235-13109.178-246.101-112.102-48.081</f>
        <v>615719.53800000006</v>
      </c>
      <c r="E4" s="23">
        <f>635073450/1000-13962.235-346.394-386.213-47.105</f>
        <v>620331.50300000003</v>
      </c>
      <c r="F4" s="23">
        <f>625430260/1000-13731.362-576.231-276.326-81.131</f>
        <v>610765.21</v>
      </c>
      <c r="G4" s="23">
        <f>663451378/1000-13729.436-486.293-282.408</f>
        <v>648953.24100000004</v>
      </c>
      <c r="H4" s="23">
        <f>727836971/1000-14575.485-493.186-307.888-78.687</f>
        <v>712381.72499999998</v>
      </c>
      <c r="I4" s="23">
        <f>759845.146-14372.137</f>
        <v>745473.00899999996</v>
      </c>
      <c r="J4" s="23">
        <f>780033.257-13663.934-387.992-326.15-52.704</f>
        <v>765602.47699999996</v>
      </c>
      <c r="K4" s="23">
        <f>771445.222-14120.452-453.387-304.538-49.581</f>
        <v>756517.26399999997</v>
      </c>
      <c r="L4" s="23">
        <f>757276.055-13676.556-437.342-354.399-0</f>
        <v>742807.75800000015</v>
      </c>
      <c r="M4" s="23">
        <f>((N4-L4)/2)+L4</f>
        <v>752414.25950000016</v>
      </c>
      <c r="N4" s="23">
        <f>776118.025-13382.292-357.252-302.583-55.137</f>
        <v>762020.76100000006</v>
      </c>
      <c r="O4" s="23">
        <f>906434.485-15743.853-459.739-302.09-86.779</f>
        <v>889842.02400000009</v>
      </c>
      <c r="P4" s="23">
        <f t="shared" ref="P4:Z4" si="0">P5+P23+P38+P52+P63</f>
        <v>897782.772</v>
      </c>
      <c r="Q4" s="23">
        <f t="shared" si="0"/>
        <v>901383.67500000005</v>
      </c>
      <c r="R4" s="23">
        <f t="shared" si="0"/>
        <v>923333.1590000001</v>
      </c>
      <c r="S4" s="23">
        <f t="shared" si="0"/>
        <v>1014916.8929999999</v>
      </c>
      <c r="T4" s="23">
        <f t="shared" si="0"/>
        <v>1079121.97</v>
      </c>
      <c r="U4" s="23">
        <f t="shared" si="0"/>
        <v>1088258.5370000002</v>
      </c>
      <c r="V4" s="23">
        <f t="shared" si="0"/>
        <v>1064723.5930000001</v>
      </c>
      <c r="W4" s="23">
        <f t="shared" si="0"/>
        <v>1033335.0649999999</v>
      </c>
      <c r="X4" s="23">
        <f t="shared" si="0"/>
        <v>1024700.907</v>
      </c>
      <c r="Y4" s="23">
        <f t="shared" si="0"/>
        <v>1044697.069</v>
      </c>
      <c r="Z4" s="23">
        <f t="shared" si="0"/>
        <v>1094725.3359999999</v>
      </c>
      <c r="AA4" s="23">
        <f t="shared" ref="AA4:AB4" si="1">AA5+AA23+AA38+AA52+AA63</f>
        <v>1226912.861</v>
      </c>
      <c r="AB4" s="23">
        <f t="shared" si="1"/>
        <v>1178354.4709999999</v>
      </c>
      <c r="AC4" s="23">
        <f t="shared" ref="AC4:AD4" si="2">AC5+AC23+AC38+AC52+AC63</f>
        <v>1156848.764</v>
      </c>
      <c r="AD4" s="23">
        <f t="shared" si="2"/>
        <v>1142088.763</v>
      </c>
      <c r="AE4" s="23">
        <f>AE5+AE23+AE38+AE52+AE63</f>
        <v>1101853.889</v>
      </c>
      <c r="AF4" s="23">
        <f>AF5+AF23+AF38+AF52+AF63</f>
        <v>1081343.112</v>
      </c>
      <c r="AG4" s="23">
        <f>AG5+AG23+AG38+AG52+AG63</f>
        <v>1077061.6939999999</v>
      </c>
      <c r="AH4" s="106">
        <f>721836-27642-200-703-70</f>
        <v>693221</v>
      </c>
      <c r="AI4" s="23">
        <v>872660</v>
      </c>
      <c r="AJ4" s="23">
        <f>689812-25096-281-402-59</f>
        <v>663974</v>
      </c>
      <c r="AK4" s="23">
        <f>685505-25739-298-552-53</f>
        <v>658863</v>
      </c>
      <c r="AL4" s="23">
        <f>672692-29542-436-679-67</f>
        <v>641968</v>
      </c>
      <c r="AM4" s="23">
        <f>676650-26244-350-693</f>
        <v>649363</v>
      </c>
      <c r="AN4" s="23">
        <f>687436-26394-354-679-97</f>
        <v>659912</v>
      </c>
      <c r="AO4" s="23">
        <f>697304-26515</f>
        <v>670789</v>
      </c>
      <c r="AP4" s="23">
        <f>714440-27706-226-958-53</f>
        <v>685497</v>
      </c>
      <c r="AQ4" s="23">
        <f>711906-24908-320-1054-57</f>
        <v>685567</v>
      </c>
      <c r="AR4" s="23">
        <f>700805-25673-302-972-0</f>
        <v>673858</v>
      </c>
      <c r="AS4" s="23">
        <f>((AT4-AR4)/2)+AR4</f>
        <v>671505.5</v>
      </c>
      <c r="AT4" s="23">
        <f>691115-20778-259-886-39</f>
        <v>669153</v>
      </c>
      <c r="AU4" s="23">
        <f>745864-23662-344-873-74</f>
        <v>720911</v>
      </c>
      <c r="AV4" s="23">
        <f t="shared" ref="AV4:BG4" si="3">AV5+AV23+AV38+AV52+AV63</f>
        <v>718225</v>
      </c>
      <c r="AW4" s="23">
        <f t="shared" si="3"/>
        <v>708730</v>
      </c>
      <c r="AX4" s="23">
        <f t="shared" si="3"/>
        <v>809007</v>
      </c>
      <c r="AY4" s="23">
        <f t="shared" si="3"/>
        <v>721654</v>
      </c>
      <c r="AZ4" s="23">
        <f t="shared" si="3"/>
        <v>738995</v>
      </c>
      <c r="BA4" s="23">
        <f t="shared" si="3"/>
        <v>744196</v>
      </c>
      <c r="BB4" s="23">
        <f t="shared" si="3"/>
        <v>791994</v>
      </c>
      <c r="BC4" s="23">
        <f t="shared" si="3"/>
        <v>692951</v>
      </c>
      <c r="BD4" s="23">
        <f t="shared" si="3"/>
        <v>676529</v>
      </c>
      <c r="BE4" s="23">
        <f t="shared" si="3"/>
        <v>680023</v>
      </c>
      <c r="BF4" s="23">
        <f t="shared" si="3"/>
        <v>662347</v>
      </c>
      <c r="BG4" s="23">
        <f t="shared" si="3"/>
        <v>716801</v>
      </c>
      <c r="BH4" s="23">
        <f t="shared" ref="BH4:BI4" si="4">BH5+BH23+BH38+BH52+BH63</f>
        <v>701991</v>
      </c>
      <c r="BI4" s="23">
        <f t="shared" si="4"/>
        <v>688227</v>
      </c>
      <c r="BJ4" s="23">
        <f t="shared" ref="BJ4:BK4" si="5">BJ5+BJ23+BJ38+BJ52+BJ63</f>
        <v>676159</v>
      </c>
      <c r="BK4" s="23">
        <f t="shared" si="5"/>
        <v>654732</v>
      </c>
      <c r="BL4" s="23">
        <f t="shared" ref="BL4:BM4" si="6">BL5+BL23+BL38+BL52+BL63</f>
        <v>635397</v>
      </c>
      <c r="BM4" s="23">
        <f t="shared" si="6"/>
        <v>618537</v>
      </c>
    </row>
    <row r="5" spans="1:65">
      <c r="A5" s="26" t="s">
        <v>116</v>
      </c>
      <c r="B5" s="27">
        <f t="shared" ref="B5:BG5" si="7">SUM(B7:B22)</f>
        <v>182767.46899999998</v>
      </c>
      <c r="C5" s="27">
        <f t="shared" si="7"/>
        <v>180094.9645</v>
      </c>
      <c r="D5" s="27">
        <f t="shared" si="7"/>
        <v>185264.46</v>
      </c>
      <c r="E5" s="27">
        <f t="shared" si="7"/>
        <v>186209</v>
      </c>
      <c r="F5" s="27">
        <f t="shared" si="7"/>
        <v>180388.891</v>
      </c>
      <c r="G5" s="27">
        <f t="shared" si="7"/>
        <v>185575.55599999998</v>
      </c>
      <c r="H5" s="27">
        <f t="shared" si="7"/>
        <v>206733.38800000001</v>
      </c>
      <c r="I5" s="27">
        <f t="shared" si="7"/>
        <v>215153.67800000001</v>
      </c>
      <c r="J5" s="27">
        <f t="shared" si="7"/>
        <v>218973.02799999999</v>
      </c>
      <c r="K5" s="27">
        <f t="shared" si="7"/>
        <v>213452.965</v>
      </c>
      <c r="L5" s="27">
        <f t="shared" si="7"/>
        <v>204861.61599999998</v>
      </c>
      <c r="M5" s="27">
        <f t="shared" si="7"/>
        <v>205135.27049999993</v>
      </c>
      <c r="N5" s="27">
        <f t="shared" si="7"/>
        <v>205408.92500000002</v>
      </c>
      <c r="O5" s="27">
        <f t="shared" si="7"/>
        <v>243671.57699999999</v>
      </c>
      <c r="P5" s="27">
        <f t="shared" si="7"/>
        <v>247107.82499999998</v>
      </c>
      <c r="Q5" s="27">
        <f t="shared" si="7"/>
        <v>245987.467</v>
      </c>
      <c r="R5" s="27">
        <f t="shared" si="7"/>
        <v>254065.75800000003</v>
      </c>
      <c r="S5" s="27">
        <f t="shared" si="7"/>
        <v>275390.64099999995</v>
      </c>
      <c r="T5" s="27">
        <f t="shared" si="7"/>
        <v>285175.71299999999</v>
      </c>
      <c r="U5" s="27">
        <f t="shared" si="7"/>
        <v>290063.00300000003</v>
      </c>
      <c r="V5" s="27">
        <f t="shared" si="7"/>
        <v>284072.98400000005</v>
      </c>
      <c r="W5" s="27">
        <f t="shared" si="7"/>
        <v>274198.17599999998</v>
      </c>
      <c r="X5" s="27">
        <f t="shared" si="7"/>
        <v>269649.84499999997</v>
      </c>
      <c r="Y5" s="27">
        <f t="shared" si="7"/>
        <v>275746.897</v>
      </c>
      <c r="Z5" s="27">
        <f t="shared" si="7"/>
        <v>298976.06699999998</v>
      </c>
      <c r="AA5" s="27">
        <f t="shared" ref="AA5:AB5" si="8">SUM(AA7:AA22)</f>
        <v>331202.2</v>
      </c>
      <c r="AB5" s="27">
        <f t="shared" si="8"/>
        <v>320692.10100000002</v>
      </c>
      <c r="AC5" s="27">
        <f t="shared" ref="AC5:AD5" si="9">SUM(AC7:AC22)</f>
        <v>318580.38899999997</v>
      </c>
      <c r="AD5" s="27">
        <f t="shared" si="9"/>
        <v>317014.04000000004</v>
      </c>
      <c r="AE5" s="27">
        <f>SUM(AE7:AE22)</f>
        <v>304711.38199999998</v>
      </c>
      <c r="AF5" s="27">
        <f>SUM(AF7:AF22)</f>
        <v>299377.23500000004</v>
      </c>
      <c r="AG5" s="27">
        <f>SUM(AG7:AG22)</f>
        <v>297217.54399999999</v>
      </c>
      <c r="AH5" s="107">
        <f t="shared" si="7"/>
        <v>215819</v>
      </c>
      <c r="AI5" s="27">
        <f t="shared" si="7"/>
        <v>265996.5</v>
      </c>
      <c r="AJ5" s="27">
        <f t="shared" si="7"/>
        <v>203914</v>
      </c>
      <c r="AK5" s="27">
        <f t="shared" si="7"/>
        <v>203243</v>
      </c>
      <c r="AL5" s="27">
        <f t="shared" si="7"/>
        <v>200081</v>
      </c>
      <c r="AM5" s="27">
        <f t="shared" si="7"/>
        <v>201415</v>
      </c>
      <c r="AN5" s="27">
        <f t="shared" si="7"/>
        <v>203818</v>
      </c>
      <c r="AO5" s="27">
        <f t="shared" si="7"/>
        <v>201161</v>
      </c>
      <c r="AP5" s="27">
        <f t="shared" si="7"/>
        <v>204406</v>
      </c>
      <c r="AQ5" s="27">
        <f t="shared" si="7"/>
        <v>196041</v>
      </c>
      <c r="AR5" s="27">
        <f t="shared" si="7"/>
        <v>190713</v>
      </c>
      <c r="AS5" s="27">
        <f t="shared" si="7"/>
        <v>187964.5</v>
      </c>
      <c r="AT5" s="27">
        <f t="shared" si="7"/>
        <v>185216</v>
      </c>
      <c r="AU5" s="27">
        <f t="shared" si="7"/>
        <v>200097</v>
      </c>
      <c r="AV5" s="27">
        <f t="shared" si="7"/>
        <v>198488</v>
      </c>
      <c r="AW5" s="27">
        <f t="shared" si="7"/>
        <v>199787</v>
      </c>
      <c r="AX5" s="27">
        <f t="shared" si="7"/>
        <v>196614</v>
      </c>
      <c r="AY5" s="27">
        <f t="shared" si="7"/>
        <v>201720</v>
      </c>
      <c r="AZ5" s="27">
        <f t="shared" si="7"/>
        <v>204893</v>
      </c>
      <c r="BA5" s="27">
        <f t="shared" si="7"/>
        <v>205313</v>
      </c>
      <c r="BB5" s="27">
        <f t="shared" si="7"/>
        <v>200033</v>
      </c>
      <c r="BC5" s="27">
        <f t="shared" si="7"/>
        <v>188790</v>
      </c>
      <c r="BD5" s="27">
        <f t="shared" si="7"/>
        <v>183655</v>
      </c>
      <c r="BE5" s="27">
        <f t="shared" si="7"/>
        <v>179374</v>
      </c>
      <c r="BF5" s="27">
        <f t="shared" si="7"/>
        <v>176848</v>
      </c>
      <c r="BG5" s="27">
        <f t="shared" si="7"/>
        <v>186716</v>
      </c>
      <c r="BH5" s="27">
        <f t="shared" ref="BH5:BI5" si="10">SUM(BH7:BH22)</f>
        <v>182826</v>
      </c>
      <c r="BI5" s="27">
        <f t="shared" si="10"/>
        <v>178732</v>
      </c>
      <c r="BJ5" s="27">
        <f t="shared" ref="BJ5:BK5" si="11">SUM(BJ7:BJ22)</f>
        <v>175784</v>
      </c>
      <c r="BK5" s="27">
        <f t="shared" si="11"/>
        <v>170330</v>
      </c>
      <c r="BL5" s="27">
        <f t="shared" ref="BL5:BM5" si="12">SUM(BL7:BL22)</f>
        <v>169258</v>
      </c>
      <c r="BM5" s="27">
        <f t="shared" si="12"/>
        <v>164733</v>
      </c>
    </row>
    <row r="6" spans="1:65">
      <c r="A6" s="30" t="s">
        <v>215</v>
      </c>
      <c r="B6" s="31">
        <f t="shared" ref="B6:BG6" si="13">(B5/B4)*100</f>
        <v>30.327181304384009</v>
      </c>
      <c r="C6" s="31">
        <f t="shared" si="13"/>
        <v>30.503941317651282</v>
      </c>
      <c r="D6" s="31">
        <f t="shared" si="13"/>
        <v>30.089098780555503</v>
      </c>
      <c r="E6" s="31">
        <f t="shared" si="13"/>
        <v>30.017659767313155</v>
      </c>
      <c r="F6" s="31">
        <f t="shared" si="13"/>
        <v>29.534899507455574</v>
      </c>
      <c r="G6" s="31">
        <f t="shared" si="13"/>
        <v>28.596136713030141</v>
      </c>
      <c r="H6" s="31">
        <f t="shared" si="13"/>
        <v>29.020029675803379</v>
      </c>
      <c r="I6" s="31">
        <f t="shared" si="13"/>
        <v>28.861363912908622</v>
      </c>
      <c r="J6" s="31">
        <f t="shared" si="13"/>
        <v>28.601400149336246</v>
      </c>
      <c r="K6" s="31">
        <f t="shared" si="13"/>
        <v>28.21521400204292</v>
      </c>
      <c r="L6" s="31">
        <f t="shared" si="13"/>
        <v>27.57935869592788</v>
      </c>
      <c r="M6" s="31">
        <f t="shared" si="13"/>
        <v>27.263607502111658</v>
      </c>
      <c r="N6" s="31">
        <f t="shared" si="13"/>
        <v>26.95581741505859</v>
      </c>
      <c r="O6" s="31">
        <f t="shared" si="13"/>
        <v>27.383689512061071</v>
      </c>
      <c r="P6" s="31">
        <f t="shared" si="13"/>
        <v>27.524233334252486</v>
      </c>
      <c r="Q6" s="31">
        <f t="shared" si="13"/>
        <v>27.289984700466203</v>
      </c>
      <c r="R6" s="31">
        <f t="shared" si="13"/>
        <v>27.516152271100232</v>
      </c>
      <c r="S6" s="31">
        <f t="shared" si="13"/>
        <v>27.134304581922052</v>
      </c>
      <c r="T6" s="31">
        <f t="shared" si="13"/>
        <v>26.426643227363815</v>
      </c>
      <c r="U6" s="31">
        <f t="shared" si="13"/>
        <v>26.653868831538507</v>
      </c>
      <c r="V6" s="31">
        <f t="shared" si="13"/>
        <v>26.680444189236635</v>
      </c>
      <c r="W6" s="31">
        <f t="shared" si="13"/>
        <v>26.535262886873966</v>
      </c>
      <c r="X6" s="31">
        <f t="shared" si="13"/>
        <v>26.31498061121556</v>
      </c>
      <c r="Y6" s="31">
        <f t="shared" si="13"/>
        <v>26.394914390249909</v>
      </c>
      <c r="Z6" s="31">
        <f t="shared" si="13"/>
        <v>27.310600857419086</v>
      </c>
      <c r="AA6" s="31">
        <f t="shared" ref="AA6:AB6" si="14">(AA5/AA4)*100</f>
        <v>26.994761447854771</v>
      </c>
      <c r="AB6" s="31">
        <f t="shared" si="14"/>
        <v>27.215248797575107</v>
      </c>
      <c r="AC6" s="31">
        <f t="shared" ref="AC6:AD6" si="15">(AC5/AC4)*100</f>
        <v>27.538637626102002</v>
      </c>
      <c r="AD6" s="31">
        <f t="shared" si="15"/>
        <v>27.75739069240803</v>
      </c>
      <c r="AE6" s="31">
        <f>(AE5/AE4)*100</f>
        <v>27.654427237766004</v>
      </c>
      <c r="AF6" s="31">
        <f>(AF5/AF4)*100</f>
        <v>27.685683820215619</v>
      </c>
      <c r="AG6" s="31">
        <f>(AG5/AG4)*100</f>
        <v>27.59522000046174</v>
      </c>
      <c r="AH6" s="108">
        <f t="shared" si="13"/>
        <v>31.132784494410874</v>
      </c>
      <c r="AI6" s="31">
        <f t="shared" si="13"/>
        <v>30.481115210964177</v>
      </c>
      <c r="AJ6" s="31">
        <f t="shared" si="13"/>
        <v>30.711142303764905</v>
      </c>
      <c r="AK6" s="31">
        <f t="shared" si="13"/>
        <v>30.847535830665855</v>
      </c>
      <c r="AL6" s="31">
        <f t="shared" si="13"/>
        <v>31.166818283777388</v>
      </c>
      <c r="AM6" s="31">
        <f t="shared" si="13"/>
        <v>31.017320050572639</v>
      </c>
      <c r="AN6" s="31">
        <f t="shared" si="13"/>
        <v>30.885633235946614</v>
      </c>
      <c r="AO6" s="31">
        <f t="shared" si="13"/>
        <v>29.988714782144609</v>
      </c>
      <c r="AP6" s="31">
        <f t="shared" si="13"/>
        <v>29.818657120308327</v>
      </c>
      <c r="AQ6" s="31">
        <f t="shared" si="13"/>
        <v>28.595454565345179</v>
      </c>
      <c r="AR6" s="31">
        <f t="shared" si="13"/>
        <v>28.301659993648514</v>
      </c>
      <c r="AS6" s="31">
        <f t="shared" si="13"/>
        <v>27.991505654086229</v>
      </c>
      <c r="AT6" s="31">
        <f t="shared" si="13"/>
        <v>27.679170533495327</v>
      </c>
      <c r="AU6" s="31">
        <f t="shared" si="13"/>
        <v>27.75613078452125</v>
      </c>
      <c r="AV6" s="31">
        <f t="shared" si="13"/>
        <v>27.635907967558914</v>
      </c>
      <c r="AW6" s="31">
        <f t="shared" si="13"/>
        <v>28.189437444442877</v>
      </c>
      <c r="AX6" s="31">
        <f t="shared" si="13"/>
        <v>24.303127167008441</v>
      </c>
      <c r="AY6" s="31">
        <f t="shared" si="13"/>
        <v>27.952453668932758</v>
      </c>
      <c r="AZ6" s="31">
        <f t="shared" si="13"/>
        <v>27.725898010135385</v>
      </c>
      <c r="BA6" s="31">
        <f t="shared" si="13"/>
        <v>27.588565377938068</v>
      </c>
      <c r="BB6" s="31">
        <f t="shared" si="13"/>
        <v>25.256883259216611</v>
      </c>
      <c r="BC6" s="31">
        <f t="shared" si="13"/>
        <v>27.244350610649239</v>
      </c>
      <c r="BD6" s="31">
        <f t="shared" si="13"/>
        <v>27.146655945273597</v>
      </c>
      <c r="BE6" s="31">
        <f t="shared" si="13"/>
        <v>26.377637226976148</v>
      </c>
      <c r="BF6" s="31">
        <f t="shared" si="13"/>
        <v>26.700203971634206</v>
      </c>
      <c r="BG6" s="31">
        <f t="shared" si="13"/>
        <v>26.048512767141784</v>
      </c>
      <c r="BH6" s="31">
        <f t="shared" ref="BH6:BI6" si="16">(BH5/BH4)*100</f>
        <v>26.043923640046668</v>
      </c>
      <c r="BI6" s="31">
        <f t="shared" si="16"/>
        <v>25.9699198084353</v>
      </c>
      <c r="BJ6" s="31">
        <f t="shared" ref="BJ6:BK6" si="17">(BJ5/BJ4)*100</f>
        <v>25.997435514427821</v>
      </c>
      <c r="BK6" s="31">
        <f t="shared" si="17"/>
        <v>26.015224549892167</v>
      </c>
      <c r="BL6" s="31">
        <f t="shared" ref="BL6:BM6" si="18">(BL5/BL4)*100</f>
        <v>26.638149062711975</v>
      </c>
      <c r="BM6" s="31">
        <f t="shared" si="18"/>
        <v>26.632683250961541</v>
      </c>
    </row>
    <row r="7" spans="1:65">
      <c r="A7" s="26" t="s">
        <v>18</v>
      </c>
      <c r="B7" s="28">
        <f>ROUND(11582,0)</f>
        <v>11582</v>
      </c>
      <c r="C7" s="28">
        <f>ROUND(11743,0)</f>
        <v>11743</v>
      </c>
      <c r="D7" s="28">
        <f>ROUND(12455,0)</f>
        <v>12455</v>
      </c>
      <c r="E7" s="28">
        <f>ROUND(11901029/1000,0)</f>
        <v>11901</v>
      </c>
      <c r="F7" s="28">
        <f>ROUND(11523340/1000,0)</f>
        <v>11523</v>
      </c>
      <c r="G7" s="28">
        <f>ROUND(12008448/1000,0)</f>
        <v>12008</v>
      </c>
      <c r="H7" s="28">
        <f>ROUND(12421842/1000,0)</f>
        <v>12422</v>
      </c>
      <c r="I7" s="28">
        <f>ROUND(12594.009,0)</f>
        <v>12594</v>
      </c>
      <c r="J7" s="28">
        <f>ROUND(12641.341,0)</f>
        <v>12641</v>
      </c>
      <c r="K7" s="28">
        <v>12008.156000000001</v>
      </c>
      <c r="L7" s="28">
        <v>11125.414000000001</v>
      </c>
      <c r="M7" s="28">
        <f t="shared" ref="M7:M22" si="19">((N7-L7)/2)+L7</f>
        <v>11341.515500000001</v>
      </c>
      <c r="N7" s="28">
        <v>11557.617</v>
      </c>
      <c r="O7" s="28">
        <v>12761.763000000001</v>
      </c>
      <c r="P7" s="28">
        <v>12597.464</v>
      </c>
      <c r="Q7" s="28">
        <v>13548.557000000001</v>
      </c>
      <c r="R7" s="28">
        <v>14174.415000000001</v>
      </c>
      <c r="S7" s="28">
        <v>15378.288</v>
      </c>
      <c r="T7" s="28">
        <v>16260.133</v>
      </c>
      <c r="U7" s="28">
        <v>15663.739</v>
      </c>
      <c r="V7" s="28">
        <v>15466.457</v>
      </c>
      <c r="W7" s="28">
        <v>14635.914000000001</v>
      </c>
      <c r="X7" s="28">
        <v>13361.556</v>
      </c>
      <c r="Y7" s="28">
        <v>13417.632</v>
      </c>
      <c r="Z7" s="28">
        <v>14754.901</v>
      </c>
      <c r="AA7" s="28">
        <v>15865.861000000001</v>
      </c>
      <c r="AB7" s="28">
        <v>15129.686</v>
      </c>
      <c r="AC7" s="221">
        <v>14895.781999999999</v>
      </c>
      <c r="AD7" s="222">
        <v>14430.493</v>
      </c>
      <c r="AE7" s="222">
        <v>13780.759</v>
      </c>
      <c r="AF7" s="222">
        <v>14246.391</v>
      </c>
      <c r="AG7" s="222">
        <v>13802.092000000001</v>
      </c>
      <c r="AH7" s="109">
        <f>ROUND(13842,0)</f>
        <v>13842</v>
      </c>
      <c r="AI7" s="28">
        <f>ROUND(17363,0)</f>
        <v>17363</v>
      </c>
      <c r="AJ7" s="28">
        <f>ROUND(13181,0)</f>
        <v>13181</v>
      </c>
      <c r="AK7" s="28">
        <f>ROUND(12618,0)</f>
        <v>12618</v>
      </c>
      <c r="AL7" s="28">
        <f>ROUND(12501,0)</f>
        <v>12501</v>
      </c>
      <c r="AM7" s="28">
        <f>ROUND(12842,0)</f>
        <v>12842</v>
      </c>
      <c r="AN7" s="28">
        <f>ROUND(12491,0)</f>
        <v>12491</v>
      </c>
      <c r="AO7" s="28">
        <f>ROUND(11438,0)</f>
        <v>11438</v>
      </c>
      <c r="AP7" s="28">
        <f>ROUND(11111,0)</f>
        <v>11111</v>
      </c>
      <c r="AQ7" s="28">
        <v>10747</v>
      </c>
      <c r="AR7" s="28">
        <v>9892</v>
      </c>
      <c r="AS7" s="28">
        <f t="shared" ref="AS7:AS22" si="20">((AT7-AR7)/2)+AR7</f>
        <v>10140</v>
      </c>
      <c r="AT7" s="28">
        <v>10388</v>
      </c>
      <c r="AU7" s="28">
        <v>10301</v>
      </c>
      <c r="AV7" s="28">
        <v>10123</v>
      </c>
      <c r="AW7" s="28">
        <v>10964</v>
      </c>
      <c r="AX7" s="28">
        <v>10821</v>
      </c>
      <c r="AY7" s="28">
        <v>10021</v>
      </c>
      <c r="AZ7" s="28">
        <v>10986</v>
      </c>
      <c r="BA7" s="28">
        <v>11050</v>
      </c>
      <c r="BB7" s="28">
        <v>10727</v>
      </c>
      <c r="BC7" s="28">
        <v>10224</v>
      </c>
      <c r="BD7" s="28">
        <v>9405</v>
      </c>
      <c r="BE7" s="28">
        <v>10250</v>
      </c>
      <c r="BF7" s="28">
        <v>8863</v>
      </c>
      <c r="BG7" s="28">
        <v>8692</v>
      </c>
      <c r="BH7" s="28">
        <v>8697</v>
      </c>
      <c r="BI7" s="28">
        <v>8157</v>
      </c>
      <c r="BJ7" s="62">
        <v>8085</v>
      </c>
      <c r="BK7" s="62">
        <v>7751</v>
      </c>
      <c r="BL7" s="62">
        <v>7960</v>
      </c>
      <c r="BM7" s="62">
        <v>7829</v>
      </c>
    </row>
    <row r="8" spans="1:65">
      <c r="A8" s="26" t="s">
        <v>19</v>
      </c>
      <c r="B8" s="28">
        <f>ROUND(6832,0)</f>
        <v>6832</v>
      </c>
      <c r="C8" s="28">
        <f>ROUND(6192,0)</f>
        <v>6192</v>
      </c>
      <c r="D8" s="28">
        <f>ROUND(6483,0)</f>
        <v>6483</v>
      </c>
      <c r="E8" s="28">
        <f>ROUND(7136194/1000,0)</f>
        <v>7136</v>
      </c>
      <c r="F8" s="28">
        <f>ROUND(6638354/1000,0)</f>
        <v>6638</v>
      </c>
      <c r="G8" s="28">
        <f>ROUND(7555623/1000,0)</f>
        <v>7556</v>
      </c>
      <c r="H8" s="28">
        <f>ROUND(7945535/1000,0)</f>
        <v>7946</v>
      </c>
      <c r="I8" s="28">
        <f>ROUND(8579.038,0)</f>
        <v>8579</v>
      </c>
      <c r="J8" s="28">
        <f>ROUND(8108.248,0)</f>
        <v>8108</v>
      </c>
      <c r="K8" s="28">
        <v>7505.8419999999996</v>
      </c>
      <c r="L8" s="28">
        <v>7107.5969999999998</v>
      </c>
      <c r="M8" s="28">
        <f t="shared" si="19"/>
        <v>7057.5185000000001</v>
      </c>
      <c r="N8" s="28">
        <v>7007.44</v>
      </c>
      <c r="O8" s="28">
        <v>7862.4309999999996</v>
      </c>
      <c r="P8" s="28">
        <v>7580.1589999999997</v>
      </c>
      <c r="Q8" s="28">
        <v>7702.6490000000003</v>
      </c>
      <c r="R8" s="28">
        <v>8064.87</v>
      </c>
      <c r="S8" s="28">
        <v>8563.8029999999999</v>
      </c>
      <c r="T8" s="28">
        <v>8208.5889999999999</v>
      </c>
      <c r="U8" s="28">
        <v>7942.6289999999999</v>
      </c>
      <c r="V8" s="28">
        <v>8037.0079999999998</v>
      </c>
      <c r="W8" s="28">
        <v>7768.1319999999996</v>
      </c>
      <c r="X8" s="28">
        <v>8167.4219999999996</v>
      </c>
      <c r="Y8" s="28">
        <v>8357.1530000000002</v>
      </c>
      <c r="Z8" s="28">
        <v>8340.6610000000001</v>
      </c>
      <c r="AA8" s="28">
        <v>9485.7250000000004</v>
      </c>
      <c r="AB8" s="28">
        <v>8127.1419999999998</v>
      </c>
      <c r="AC8" s="222">
        <v>8319.0589999999993</v>
      </c>
      <c r="AD8" s="222">
        <v>8288.0229999999992</v>
      </c>
      <c r="AE8" s="222">
        <v>8410.35</v>
      </c>
      <c r="AF8" s="222">
        <v>8439.4959999999992</v>
      </c>
      <c r="AG8" s="222">
        <v>9215.7649999999994</v>
      </c>
      <c r="AH8" s="109">
        <f>ROUND(8534,0)</f>
        <v>8534</v>
      </c>
      <c r="AI8" s="28">
        <f>ROUND(9166,0)</f>
        <v>9166</v>
      </c>
      <c r="AJ8" s="28">
        <f>ROUND(8039,0)</f>
        <v>8039</v>
      </c>
      <c r="AK8" s="28">
        <f>ROUND(8642,0)</f>
        <v>8642</v>
      </c>
      <c r="AL8" s="28">
        <f>ROUND(7664,0)</f>
        <v>7664</v>
      </c>
      <c r="AM8" s="28">
        <f>ROUND(9882,0)</f>
        <v>9882</v>
      </c>
      <c r="AN8" s="28">
        <f>ROUND(7835,0)</f>
        <v>7835</v>
      </c>
      <c r="AO8" s="28">
        <f>ROUND(8171,0)</f>
        <v>8171</v>
      </c>
      <c r="AP8" s="28">
        <f>ROUND(7498,0)</f>
        <v>7498</v>
      </c>
      <c r="AQ8" s="28">
        <v>7189</v>
      </c>
      <c r="AR8" s="28">
        <v>7011</v>
      </c>
      <c r="AS8" s="28">
        <f t="shared" si="20"/>
        <v>6988.5</v>
      </c>
      <c r="AT8" s="28">
        <v>6966</v>
      </c>
      <c r="AU8" s="28">
        <v>7302</v>
      </c>
      <c r="AV8" s="28">
        <v>7110</v>
      </c>
      <c r="AW8" s="28">
        <v>6982</v>
      </c>
      <c r="AX8" s="28">
        <v>6855</v>
      </c>
      <c r="AY8" s="28">
        <v>7149</v>
      </c>
      <c r="AZ8" s="28">
        <v>7392</v>
      </c>
      <c r="BA8" s="28">
        <v>6903</v>
      </c>
      <c r="BB8" s="28">
        <v>6846</v>
      </c>
      <c r="BC8" s="28">
        <v>6683</v>
      </c>
      <c r="BD8" s="28">
        <v>6385</v>
      </c>
      <c r="BE8" s="28">
        <v>5941</v>
      </c>
      <c r="BF8" s="28">
        <v>5677</v>
      </c>
      <c r="BG8" s="28">
        <v>6006</v>
      </c>
      <c r="BH8" s="28">
        <v>5321</v>
      </c>
      <c r="BI8" s="28">
        <v>5577</v>
      </c>
      <c r="BJ8" s="62">
        <v>5418</v>
      </c>
      <c r="BK8" s="62">
        <v>5583</v>
      </c>
      <c r="BL8" s="62">
        <v>5479</v>
      </c>
      <c r="BM8" s="62">
        <v>5651</v>
      </c>
    </row>
    <row r="9" spans="1:65">
      <c r="A9" s="26" t="s">
        <v>113</v>
      </c>
      <c r="B9" s="28">
        <v>1393.4690000000001</v>
      </c>
      <c r="C9" s="28">
        <f>((D9-B9)/2)+B9</f>
        <v>1196.9645</v>
      </c>
      <c r="D9" s="28">
        <v>1000.46</v>
      </c>
      <c r="E9" s="28">
        <f>ROUND(917200/1000,0)</f>
        <v>917</v>
      </c>
      <c r="F9" s="28">
        <v>845.89099999999996</v>
      </c>
      <c r="G9" s="28">
        <v>918.55600000000004</v>
      </c>
      <c r="H9" s="28">
        <v>1105.3879999999999</v>
      </c>
      <c r="I9" s="28">
        <v>1101.6780000000001</v>
      </c>
      <c r="J9" s="28">
        <v>1064.028</v>
      </c>
      <c r="K9" s="28">
        <v>1154.749</v>
      </c>
      <c r="L9" s="28">
        <v>1102.0450000000001</v>
      </c>
      <c r="M9" s="28">
        <f t="shared" si="19"/>
        <v>1108.2445</v>
      </c>
      <c r="N9" s="28">
        <v>1114.444</v>
      </c>
      <c r="O9" s="28">
        <v>1260.5409999999999</v>
      </c>
      <c r="P9" s="28">
        <v>1284.0740000000001</v>
      </c>
      <c r="Q9" s="28">
        <v>1054.635</v>
      </c>
      <c r="R9" s="28">
        <v>1243.444</v>
      </c>
      <c r="S9" s="28">
        <v>1283.6030000000001</v>
      </c>
      <c r="T9" s="28">
        <v>1637.0630000000001</v>
      </c>
      <c r="U9" s="28">
        <v>1632.7940000000001</v>
      </c>
      <c r="V9" s="28">
        <v>1460.1279999999999</v>
      </c>
      <c r="W9" s="28">
        <v>1486.001</v>
      </c>
      <c r="X9" s="28">
        <v>1374.375</v>
      </c>
      <c r="Y9" s="28">
        <v>1512.9349999999999</v>
      </c>
      <c r="Z9" s="28">
        <v>1806.1179999999999</v>
      </c>
      <c r="AA9" s="28">
        <v>1943.577</v>
      </c>
      <c r="AB9" s="28">
        <v>1650.0119999999999</v>
      </c>
      <c r="AC9" s="222">
        <v>1633.9590000000001</v>
      </c>
      <c r="AD9" s="222">
        <v>1844.078</v>
      </c>
      <c r="AE9" s="222">
        <v>1622.7470000000001</v>
      </c>
      <c r="AF9" s="222">
        <v>2056.27</v>
      </c>
      <c r="AG9" s="222">
        <v>1767.9259999999999</v>
      </c>
      <c r="AH9" s="109">
        <v>1857</v>
      </c>
      <c r="AI9" s="28">
        <f>((AJ9-AH9)/2)+AH9</f>
        <v>1590.5</v>
      </c>
      <c r="AJ9" s="28">
        <v>1324</v>
      </c>
      <c r="AK9" s="28">
        <v>1226</v>
      </c>
      <c r="AL9" s="28">
        <v>1064</v>
      </c>
      <c r="AM9" s="28">
        <v>1132</v>
      </c>
      <c r="AN9" s="28">
        <v>1074</v>
      </c>
      <c r="AO9" s="28">
        <v>1103</v>
      </c>
      <c r="AP9" s="28">
        <v>1063</v>
      </c>
      <c r="AQ9" s="28">
        <v>1175</v>
      </c>
      <c r="AR9" s="28">
        <v>1182</v>
      </c>
      <c r="AS9" s="28">
        <f t="shared" si="20"/>
        <v>1265.5</v>
      </c>
      <c r="AT9" s="28">
        <v>1349</v>
      </c>
      <c r="AU9" s="28">
        <v>1240</v>
      </c>
      <c r="AV9" s="28">
        <v>979</v>
      </c>
      <c r="AW9" s="28">
        <v>799</v>
      </c>
      <c r="AX9" s="28">
        <v>1163</v>
      </c>
      <c r="AY9" s="28">
        <v>1098</v>
      </c>
      <c r="AZ9" s="28">
        <v>1307</v>
      </c>
      <c r="BA9" s="28">
        <v>1435</v>
      </c>
      <c r="BB9" s="28">
        <v>1029</v>
      </c>
      <c r="BC9" s="28">
        <v>1098</v>
      </c>
      <c r="BD9" s="28">
        <v>1016</v>
      </c>
      <c r="BE9" s="28">
        <v>1172</v>
      </c>
      <c r="BF9" s="28">
        <v>1321</v>
      </c>
      <c r="BG9" s="28">
        <v>1410</v>
      </c>
      <c r="BH9" s="28">
        <v>1138</v>
      </c>
      <c r="BI9" s="28">
        <v>1085</v>
      </c>
      <c r="BJ9" s="62">
        <v>1181</v>
      </c>
      <c r="BK9" s="62">
        <v>1016</v>
      </c>
      <c r="BL9" s="62">
        <v>1231</v>
      </c>
      <c r="BM9" s="62">
        <v>1075</v>
      </c>
    </row>
    <row r="10" spans="1:65">
      <c r="A10" s="26" t="s">
        <v>20</v>
      </c>
      <c r="B10" s="28">
        <f>ROUND(18000,0)</f>
        <v>18000</v>
      </c>
      <c r="C10" s="28">
        <f>ROUND(17564,0)</f>
        <v>17564</v>
      </c>
      <c r="D10" s="28">
        <f>ROUND(17763,0)</f>
        <v>17763</v>
      </c>
      <c r="E10" s="28">
        <f>ROUND(17591686/1000,0)</f>
        <v>17592</v>
      </c>
      <c r="F10" s="28">
        <f>ROUND(18374731/1000,0)</f>
        <v>18375</v>
      </c>
      <c r="G10" s="28">
        <f>ROUND(18960001/1000,0)</f>
        <v>18960</v>
      </c>
      <c r="H10" s="28">
        <f>ROUND(20803921/1000,0)</f>
        <v>20804</v>
      </c>
      <c r="I10" s="28">
        <f>ROUND(22133.524,0)</f>
        <v>22134</v>
      </c>
      <c r="J10" s="28">
        <f>ROUND(23932.337,0)</f>
        <v>23932</v>
      </c>
      <c r="K10" s="28">
        <v>21756.454000000002</v>
      </c>
      <c r="L10" s="28">
        <v>21642.517</v>
      </c>
      <c r="M10" s="28">
        <f t="shared" si="19"/>
        <v>21555.932000000001</v>
      </c>
      <c r="N10" s="28">
        <v>21469.347000000002</v>
      </c>
      <c r="O10" s="28">
        <v>26465.907999999999</v>
      </c>
      <c r="P10" s="28">
        <v>28523.91</v>
      </c>
      <c r="Q10" s="28">
        <v>30292.126</v>
      </c>
      <c r="R10" s="28">
        <v>31636.986000000001</v>
      </c>
      <c r="S10" s="28">
        <v>35905.442000000003</v>
      </c>
      <c r="T10" s="28">
        <v>39233.627</v>
      </c>
      <c r="U10" s="28">
        <v>40835.088000000003</v>
      </c>
      <c r="V10" s="28">
        <v>37616.953000000001</v>
      </c>
      <c r="W10" s="28">
        <v>35781.906999999999</v>
      </c>
      <c r="X10" s="28">
        <v>35833.866000000002</v>
      </c>
      <c r="Y10" s="28">
        <v>37175.08</v>
      </c>
      <c r="Z10" s="28">
        <v>46528.512999999999</v>
      </c>
      <c r="AA10" s="28">
        <v>44338.347000000002</v>
      </c>
      <c r="AB10" s="28">
        <v>42445.235000000001</v>
      </c>
      <c r="AC10" s="222">
        <v>42247.428</v>
      </c>
      <c r="AD10" s="222">
        <v>42782.985000000001</v>
      </c>
      <c r="AE10" s="222">
        <v>40664.942000000003</v>
      </c>
      <c r="AF10" s="222">
        <v>40351.370000000003</v>
      </c>
      <c r="AG10" s="222">
        <v>41736.909</v>
      </c>
      <c r="AH10" s="109">
        <f>ROUND(19742,0)</f>
        <v>19742</v>
      </c>
      <c r="AI10" s="28">
        <f>ROUND(25930,0)</f>
        <v>25930</v>
      </c>
      <c r="AJ10" s="28">
        <f>ROUND(19478,0)</f>
        <v>19478</v>
      </c>
      <c r="AK10" s="28">
        <f>ROUND(19382,0)</f>
        <v>19382</v>
      </c>
      <c r="AL10" s="28">
        <f>ROUND(20166,0)</f>
        <v>20166</v>
      </c>
      <c r="AM10" s="28">
        <f>ROUND(19945,0)</f>
        <v>19945</v>
      </c>
      <c r="AN10" s="28">
        <f>ROUND(20467,0)</f>
        <v>20467</v>
      </c>
      <c r="AO10" s="28">
        <f>ROUND(21197,0)</f>
        <v>21197</v>
      </c>
      <c r="AP10" s="28">
        <f>ROUND(23718,0)</f>
        <v>23718</v>
      </c>
      <c r="AQ10" s="28">
        <v>17813</v>
      </c>
      <c r="AR10" s="28">
        <v>17863</v>
      </c>
      <c r="AS10" s="28">
        <f t="shared" si="20"/>
        <v>18306.5</v>
      </c>
      <c r="AT10" s="28">
        <v>18750</v>
      </c>
      <c r="AU10" s="28">
        <v>21481</v>
      </c>
      <c r="AV10" s="28">
        <v>20317</v>
      </c>
      <c r="AW10" s="28">
        <v>22903</v>
      </c>
      <c r="AX10" s="28">
        <v>20788</v>
      </c>
      <c r="AY10" s="28">
        <v>22059</v>
      </c>
      <c r="AZ10" s="28">
        <v>22860</v>
      </c>
      <c r="BA10" s="28">
        <v>23963</v>
      </c>
      <c r="BB10" s="28">
        <v>22213</v>
      </c>
      <c r="BC10" s="28">
        <v>19893</v>
      </c>
      <c r="BD10" s="28">
        <v>19595</v>
      </c>
      <c r="BE10" s="28">
        <v>19070</v>
      </c>
      <c r="BF10" s="28">
        <v>19548</v>
      </c>
      <c r="BG10" s="28">
        <v>21913</v>
      </c>
      <c r="BH10" s="28">
        <v>21558</v>
      </c>
      <c r="BI10" s="28">
        <v>21120</v>
      </c>
      <c r="BJ10" s="62">
        <v>21084</v>
      </c>
      <c r="BK10" s="62">
        <v>18469</v>
      </c>
      <c r="BL10" s="62">
        <v>18514</v>
      </c>
      <c r="BM10" s="62">
        <v>17661</v>
      </c>
    </row>
    <row r="11" spans="1:65">
      <c r="A11" s="26" t="s">
        <v>21</v>
      </c>
      <c r="B11" s="28">
        <f>ROUND(12092,0)</f>
        <v>12092</v>
      </c>
      <c r="C11" s="28">
        <f>ROUND(12579,0)</f>
        <v>12579</v>
      </c>
      <c r="D11" s="28">
        <f>ROUND(11168,0)</f>
        <v>11168</v>
      </c>
      <c r="E11" s="28">
        <f>ROUND(11016688/1000,0)</f>
        <v>11017</v>
      </c>
      <c r="F11" s="28">
        <f>ROUND(10461248/1000,0)</f>
        <v>10461</v>
      </c>
      <c r="G11" s="28">
        <f>ROUND(11183348/1000,0)</f>
        <v>11183</v>
      </c>
      <c r="H11" s="28">
        <f>ROUND(13940787/1000,0)</f>
        <v>13941</v>
      </c>
      <c r="I11" s="28">
        <f>ROUND(12614.893,0)</f>
        <v>12615</v>
      </c>
      <c r="J11" s="28">
        <f>ROUND(13833.226,0)</f>
        <v>13833</v>
      </c>
      <c r="K11" s="28">
        <v>13989.244000000001</v>
      </c>
      <c r="L11" s="28">
        <v>14033.648999999999</v>
      </c>
      <c r="M11" s="28">
        <f t="shared" si="19"/>
        <v>13407.806</v>
      </c>
      <c r="N11" s="28">
        <v>12781.963</v>
      </c>
      <c r="O11" s="28">
        <v>16977.053</v>
      </c>
      <c r="P11" s="28">
        <v>17665.081999999999</v>
      </c>
      <c r="Q11" s="28">
        <v>17779.455000000002</v>
      </c>
      <c r="R11" s="28">
        <v>18278.577000000001</v>
      </c>
      <c r="S11" s="28">
        <v>20328.588</v>
      </c>
      <c r="T11" s="28">
        <v>20171.039000000001</v>
      </c>
      <c r="U11" s="28">
        <v>20973.032999999999</v>
      </c>
      <c r="V11" s="28">
        <v>20435.227999999999</v>
      </c>
      <c r="W11" s="28">
        <v>20229.991999999998</v>
      </c>
      <c r="X11" s="28">
        <v>20879.357</v>
      </c>
      <c r="Y11" s="28">
        <v>21739.565999999999</v>
      </c>
      <c r="Z11" s="28">
        <v>21891.147000000001</v>
      </c>
      <c r="AA11" s="28">
        <v>24228.794999999998</v>
      </c>
      <c r="AB11" s="28">
        <v>25221.577000000001</v>
      </c>
      <c r="AC11" s="222">
        <v>25024.545999999998</v>
      </c>
      <c r="AD11" s="222">
        <v>25838.008000000002</v>
      </c>
      <c r="AE11" s="222">
        <v>24259.644</v>
      </c>
      <c r="AF11" s="222">
        <v>23766.321</v>
      </c>
      <c r="AG11" s="222">
        <v>23358.37</v>
      </c>
      <c r="AH11" s="109">
        <f>ROUND(14275,0)</f>
        <v>14275</v>
      </c>
      <c r="AI11" s="28">
        <f>ROUND(18482,0)</f>
        <v>18482</v>
      </c>
      <c r="AJ11" s="28">
        <f>ROUND(12714,0)</f>
        <v>12714</v>
      </c>
      <c r="AK11" s="28">
        <f>ROUND(12302,0)</f>
        <v>12302</v>
      </c>
      <c r="AL11" s="28">
        <f>ROUND(11859,0)</f>
        <v>11859</v>
      </c>
      <c r="AM11" s="28">
        <f>ROUND(11885,0)</f>
        <v>11885</v>
      </c>
      <c r="AN11" s="28">
        <f>ROUND(12817,0)</f>
        <v>12817</v>
      </c>
      <c r="AO11" s="28">
        <f>ROUND(11857,0)</f>
        <v>11857</v>
      </c>
      <c r="AP11" s="28">
        <f>ROUND(13397,0)</f>
        <v>13397</v>
      </c>
      <c r="AQ11" s="28">
        <v>12981</v>
      </c>
      <c r="AR11" s="28">
        <v>13746</v>
      </c>
      <c r="AS11" s="28">
        <f t="shared" si="20"/>
        <v>12840</v>
      </c>
      <c r="AT11" s="28">
        <v>11934</v>
      </c>
      <c r="AU11" s="28">
        <v>13935</v>
      </c>
      <c r="AV11" s="28">
        <v>13471</v>
      </c>
      <c r="AW11" s="28">
        <v>14198</v>
      </c>
      <c r="AX11" s="28">
        <v>13737</v>
      </c>
      <c r="AY11" s="28">
        <v>14288</v>
      </c>
      <c r="AZ11" s="28">
        <v>14101</v>
      </c>
      <c r="BA11" s="28">
        <v>14269</v>
      </c>
      <c r="BB11" s="28">
        <v>13823</v>
      </c>
      <c r="BC11" s="28">
        <v>13486</v>
      </c>
      <c r="BD11" s="28">
        <v>13453</v>
      </c>
      <c r="BE11" s="28">
        <v>13558</v>
      </c>
      <c r="BF11" s="28">
        <v>12781</v>
      </c>
      <c r="BG11" s="28">
        <v>13289</v>
      </c>
      <c r="BH11" s="28">
        <v>14006</v>
      </c>
      <c r="BI11" s="28">
        <v>13480</v>
      </c>
      <c r="BJ11" s="62">
        <v>13489</v>
      </c>
      <c r="BK11" s="62">
        <v>13236</v>
      </c>
      <c r="BL11" s="62">
        <v>12853</v>
      </c>
      <c r="BM11" s="62">
        <v>12389</v>
      </c>
    </row>
    <row r="12" spans="1:65">
      <c r="A12" s="26" t="s">
        <v>22</v>
      </c>
      <c r="B12" s="28">
        <f>ROUND(12683,0)</f>
        <v>12683</v>
      </c>
      <c r="C12" s="28">
        <f>ROUND(9570,0)</f>
        <v>9570</v>
      </c>
      <c r="D12" s="28">
        <f>ROUND(13200,0)</f>
        <v>13200</v>
      </c>
      <c r="E12" s="28">
        <f>ROUND(13565624/1000,0)</f>
        <v>13566</v>
      </c>
      <c r="F12" s="28">
        <f>ROUND(12656566/1000,0)</f>
        <v>12657</v>
      </c>
      <c r="G12" s="28">
        <f>ROUND(13177338/1000,0)</f>
        <v>13177</v>
      </c>
      <c r="H12" s="28">
        <f>ROUND(14446618/1000,0)</f>
        <v>14447</v>
      </c>
      <c r="I12" s="28">
        <f>ROUND(15850.843,0)</f>
        <v>15851</v>
      </c>
      <c r="J12" s="28">
        <f>ROUND(15756.095,0)</f>
        <v>15756</v>
      </c>
      <c r="K12" s="28">
        <v>16115.022000000001</v>
      </c>
      <c r="L12" s="28">
        <v>15445.556</v>
      </c>
      <c r="M12" s="28">
        <f t="shared" si="19"/>
        <v>15289.407999999999</v>
      </c>
      <c r="N12" s="28">
        <v>15133.26</v>
      </c>
      <c r="O12" s="28">
        <v>16724.213</v>
      </c>
      <c r="P12" s="28">
        <v>17082.788</v>
      </c>
      <c r="Q12" s="28">
        <v>16965.690999999999</v>
      </c>
      <c r="R12" s="28">
        <v>17463.328000000001</v>
      </c>
      <c r="S12" s="28">
        <v>18333.651000000002</v>
      </c>
      <c r="T12" s="28">
        <v>19182.661</v>
      </c>
      <c r="U12" s="28">
        <v>19070.39</v>
      </c>
      <c r="V12" s="28">
        <v>19867.677</v>
      </c>
      <c r="W12" s="28">
        <v>21681.9</v>
      </c>
      <c r="X12" s="28">
        <v>20848.062000000002</v>
      </c>
      <c r="Y12" s="28">
        <v>21561.121999999999</v>
      </c>
      <c r="Z12" s="28">
        <v>22490.898000000001</v>
      </c>
      <c r="AA12" s="28">
        <v>26875.739000000001</v>
      </c>
      <c r="AB12" s="28">
        <v>28963.733</v>
      </c>
      <c r="AC12" s="222">
        <v>28702.713</v>
      </c>
      <c r="AD12" s="222">
        <v>29360.413</v>
      </c>
      <c r="AE12" s="222">
        <v>28736.431</v>
      </c>
      <c r="AF12" s="222">
        <v>20522.892</v>
      </c>
      <c r="AG12" s="222">
        <v>15561.544</v>
      </c>
      <c r="AH12" s="109">
        <f>ROUND(12780,0)</f>
        <v>12780</v>
      </c>
      <c r="AI12" s="28">
        <f>ROUND(14153,0)</f>
        <v>14153</v>
      </c>
      <c r="AJ12" s="28">
        <f>ROUND(12362,0)</f>
        <v>12362</v>
      </c>
      <c r="AK12" s="28">
        <f>ROUND(12132,0)</f>
        <v>12132</v>
      </c>
      <c r="AL12" s="28">
        <f>ROUND(11436,0)</f>
        <v>11436</v>
      </c>
      <c r="AM12" s="28">
        <f>ROUND(11615,0)</f>
        <v>11615</v>
      </c>
      <c r="AN12" s="28">
        <f>ROUND(11705,0)</f>
        <v>11705</v>
      </c>
      <c r="AO12" s="28">
        <f>ROUND(11786,0)</f>
        <v>11786</v>
      </c>
      <c r="AP12" s="28">
        <f>ROUND(11495,0)</f>
        <v>11495</v>
      </c>
      <c r="AQ12" s="28">
        <v>11918</v>
      </c>
      <c r="AR12" s="28">
        <v>11621</v>
      </c>
      <c r="AS12" s="28">
        <f t="shared" si="20"/>
        <v>11359</v>
      </c>
      <c r="AT12" s="28">
        <v>11097</v>
      </c>
      <c r="AU12" s="28">
        <v>11665</v>
      </c>
      <c r="AV12" s="28">
        <v>11274</v>
      </c>
      <c r="AW12" s="28">
        <v>11254</v>
      </c>
      <c r="AX12" s="28">
        <v>11230</v>
      </c>
      <c r="AY12" s="28">
        <v>11450</v>
      </c>
      <c r="AZ12" s="28">
        <v>11495</v>
      </c>
      <c r="BA12" s="28">
        <v>11385</v>
      </c>
      <c r="BB12" s="28">
        <v>11676</v>
      </c>
      <c r="BC12" s="28">
        <v>11215</v>
      </c>
      <c r="BD12" s="28">
        <v>10635</v>
      </c>
      <c r="BE12" s="28">
        <v>10407</v>
      </c>
      <c r="BF12" s="28">
        <v>10417</v>
      </c>
      <c r="BG12" s="28">
        <v>10848</v>
      </c>
      <c r="BH12" s="28">
        <v>11328</v>
      </c>
      <c r="BI12" s="28">
        <v>10912</v>
      </c>
      <c r="BJ12" s="62">
        <v>11063</v>
      </c>
      <c r="BK12" s="62">
        <v>10606</v>
      </c>
      <c r="BL12" s="62">
        <v>9748</v>
      </c>
      <c r="BM12" s="62">
        <v>8899</v>
      </c>
    </row>
    <row r="13" spans="1:65">
      <c r="A13" s="26" t="s">
        <v>23</v>
      </c>
      <c r="B13" s="28">
        <f>ROUND(11579,0)</f>
        <v>11579</v>
      </c>
      <c r="C13" s="28">
        <f>ROUND(11402,0)</f>
        <v>11402</v>
      </c>
      <c r="D13" s="28">
        <f>ROUND(11772,0)</f>
        <v>11772</v>
      </c>
      <c r="E13" s="28">
        <f>ROUND(11889474/1000,0)</f>
        <v>11889</v>
      </c>
      <c r="F13" s="28">
        <f>ROUND(11470249/1000,0)</f>
        <v>11470</v>
      </c>
      <c r="G13" s="28">
        <f>ROUND(11691202/1000,0)</f>
        <v>11691</v>
      </c>
      <c r="H13" s="28">
        <f>ROUND(12452118/1000,0)</f>
        <v>12452</v>
      </c>
      <c r="I13" s="28">
        <f>ROUND(12521.847,0)</f>
        <v>12522</v>
      </c>
      <c r="J13" s="28">
        <f>ROUND(12374.082,0)</f>
        <v>12374</v>
      </c>
      <c r="K13" s="28">
        <v>12127.883</v>
      </c>
      <c r="L13" s="28">
        <v>11238.992</v>
      </c>
      <c r="M13" s="28">
        <f t="shared" si="19"/>
        <v>11465.499</v>
      </c>
      <c r="N13" s="28">
        <v>11692.005999999999</v>
      </c>
      <c r="O13" s="28">
        <v>13071.858</v>
      </c>
      <c r="P13" s="28">
        <v>13409.471</v>
      </c>
      <c r="Q13" s="28">
        <v>13327.298000000001</v>
      </c>
      <c r="R13" s="28">
        <v>13253.843999999999</v>
      </c>
      <c r="S13" s="28">
        <v>13532.710999999999</v>
      </c>
      <c r="T13" s="28">
        <v>13934.271000000001</v>
      </c>
      <c r="U13" s="28">
        <v>13955.424999999999</v>
      </c>
      <c r="V13" s="28">
        <v>13562.228999999999</v>
      </c>
      <c r="W13" s="28">
        <v>9285.7839999999997</v>
      </c>
      <c r="X13" s="28">
        <v>11167.29</v>
      </c>
      <c r="Y13" s="28">
        <v>10886.302</v>
      </c>
      <c r="Z13" s="28">
        <v>11798.14</v>
      </c>
      <c r="AA13" s="28">
        <v>13919.365</v>
      </c>
      <c r="AB13" s="28">
        <v>14222.433000000001</v>
      </c>
      <c r="AC13" s="222">
        <v>13312.266</v>
      </c>
      <c r="AD13" s="222">
        <v>12542.239</v>
      </c>
      <c r="AE13" s="222">
        <v>12249.896000000001</v>
      </c>
      <c r="AF13" s="222">
        <v>11043.11</v>
      </c>
      <c r="AG13" s="222">
        <v>11497.184999999999</v>
      </c>
      <c r="AH13" s="109">
        <f>ROUND(14819,0)</f>
        <v>14819</v>
      </c>
      <c r="AI13" s="28">
        <f>ROUND(16770,0)</f>
        <v>16770</v>
      </c>
      <c r="AJ13" s="28">
        <f>ROUND(12410,0)</f>
        <v>12410</v>
      </c>
      <c r="AK13" s="28">
        <f>ROUND(11950,0)</f>
        <v>11950</v>
      </c>
      <c r="AL13" s="28">
        <f>ROUND(12164,0)</f>
        <v>12164</v>
      </c>
      <c r="AM13" s="28">
        <f>ROUND(12388,0)</f>
        <v>12388</v>
      </c>
      <c r="AN13" s="28">
        <f>ROUND(12851,0)</f>
        <v>12851</v>
      </c>
      <c r="AO13" s="28">
        <f>ROUND(12156,0)</f>
        <v>12156</v>
      </c>
      <c r="AP13" s="28">
        <f>ROUND(12178,0)</f>
        <v>12178</v>
      </c>
      <c r="AQ13" s="28">
        <v>12050</v>
      </c>
      <c r="AR13" s="28">
        <v>10625</v>
      </c>
      <c r="AS13" s="28">
        <f t="shared" si="20"/>
        <v>10684.5</v>
      </c>
      <c r="AT13" s="28">
        <v>10744</v>
      </c>
      <c r="AU13" s="28">
        <v>11531</v>
      </c>
      <c r="AV13" s="28">
        <v>11219</v>
      </c>
      <c r="AW13" s="28">
        <v>11459</v>
      </c>
      <c r="AX13" s="28">
        <v>10842</v>
      </c>
      <c r="AY13" s="28">
        <v>11056</v>
      </c>
      <c r="AZ13" s="28">
        <v>11412</v>
      </c>
      <c r="BA13" s="28">
        <v>10959</v>
      </c>
      <c r="BB13" s="28">
        <v>10570</v>
      </c>
      <c r="BC13" s="28">
        <v>8196</v>
      </c>
      <c r="BD13" s="28">
        <v>8733</v>
      </c>
      <c r="BE13" s="28">
        <v>7760</v>
      </c>
      <c r="BF13" s="28">
        <v>7680</v>
      </c>
      <c r="BG13" s="28">
        <v>8803</v>
      </c>
      <c r="BH13" s="28">
        <v>8489</v>
      </c>
      <c r="BI13" s="28">
        <v>7836</v>
      </c>
      <c r="BJ13" s="62">
        <v>7555</v>
      </c>
      <c r="BK13" s="62">
        <v>7498</v>
      </c>
      <c r="BL13" s="62">
        <v>6670</v>
      </c>
      <c r="BM13" s="62">
        <v>6942</v>
      </c>
    </row>
    <row r="14" spans="1:65">
      <c r="A14" s="26" t="s">
        <v>24</v>
      </c>
      <c r="B14" s="28">
        <f>ROUND(9729,0)</f>
        <v>9729</v>
      </c>
      <c r="C14" s="28">
        <f>ROUND(9090,0)</f>
        <v>9090</v>
      </c>
      <c r="D14" s="28">
        <f>ROUND(9416,0)</f>
        <v>9416</v>
      </c>
      <c r="E14" s="28">
        <f>ROUND(9579558/1000,0)</f>
        <v>9580</v>
      </c>
      <c r="F14" s="28">
        <f>ROUND(9133110/1000,0)</f>
        <v>9133</v>
      </c>
      <c r="G14" s="28">
        <f>ROUND(9570060/1000,0)</f>
        <v>9570</v>
      </c>
      <c r="H14" s="28">
        <f>ROUND(9952149/1000,0)</f>
        <v>9952</v>
      </c>
      <c r="I14" s="28">
        <f>ROUND(11526.896,0)</f>
        <v>11527</v>
      </c>
      <c r="J14" s="28">
        <f>ROUND(10951.895,0)</f>
        <v>10952</v>
      </c>
      <c r="K14" s="28">
        <v>10441.959000000001</v>
      </c>
      <c r="L14" s="28">
        <v>10315.656000000001</v>
      </c>
      <c r="M14" s="28">
        <f t="shared" si="19"/>
        <v>10398.4285</v>
      </c>
      <c r="N14" s="28">
        <v>10481.200999999999</v>
      </c>
      <c r="O14" s="28">
        <v>12664.904</v>
      </c>
      <c r="P14" s="28">
        <v>12634.683999999999</v>
      </c>
      <c r="Q14" s="28">
        <v>12123.535</v>
      </c>
      <c r="R14" s="28">
        <v>12654.763000000001</v>
      </c>
      <c r="S14" s="28">
        <v>13746.427</v>
      </c>
      <c r="T14" s="28">
        <v>14348.723</v>
      </c>
      <c r="U14" s="28">
        <v>15078.995000000001</v>
      </c>
      <c r="V14" s="28">
        <v>14805.790999999999</v>
      </c>
      <c r="W14" s="28">
        <v>14852.087</v>
      </c>
      <c r="X14" s="28">
        <v>14752.317999999999</v>
      </c>
      <c r="Y14" s="28">
        <v>14301.409</v>
      </c>
      <c r="Z14" s="28">
        <v>15436.484</v>
      </c>
      <c r="AA14" s="28">
        <v>17008.631000000001</v>
      </c>
      <c r="AB14" s="28">
        <v>16800.643</v>
      </c>
      <c r="AC14" s="222">
        <v>15861.429</v>
      </c>
      <c r="AD14" s="222">
        <v>15613.026</v>
      </c>
      <c r="AE14" s="222">
        <v>15130.272000000001</v>
      </c>
      <c r="AF14" s="222">
        <v>14682.984</v>
      </c>
      <c r="AG14" s="222">
        <v>14303.406000000001</v>
      </c>
      <c r="AH14" s="109">
        <f>ROUND(9516,0)</f>
        <v>9516</v>
      </c>
      <c r="AI14" s="28">
        <f>ROUND(13449,0)</f>
        <v>13449</v>
      </c>
      <c r="AJ14" s="28">
        <f>ROUND(8866,0)</f>
        <v>8866</v>
      </c>
      <c r="AK14" s="28">
        <f>ROUND(8844,0)</f>
        <v>8844</v>
      </c>
      <c r="AL14" s="28">
        <f>ROUND(8452,0)</f>
        <v>8452</v>
      </c>
      <c r="AM14" s="28">
        <f>ROUND(8689,0)</f>
        <v>8689</v>
      </c>
      <c r="AN14" s="28">
        <f>ROUND(8866,0)</f>
        <v>8866</v>
      </c>
      <c r="AO14" s="28">
        <f>ROUND(9049,0)</f>
        <v>9049</v>
      </c>
      <c r="AP14" s="28">
        <f>ROUND(9513,0)</f>
        <v>9513</v>
      </c>
      <c r="AQ14" s="28">
        <v>9033</v>
      </c>
      <c r="AR14" s="28">
        <v>8921</v>
      </c>
      <c r="AS14" s="28">
        <f t="shared" si="20"/>
        <v>8711</v>
      </c>
      <c r="AT14" s="28">
        <v>8501</v>
      </c>
      <c r="AU14" s="28">
        <v>9534</v>
      </c>
      <c r="AV14" s="28">
        <v>9178</v>
      </c>
      <c r="AW14" s="28">
        <v>8648</v>
      </c>
      <c r="AX14" s="28">
        <v>8920</v>
      </c>
      <c r="AY14" s="28">
        <v>8485</v>
      </c>
      <c r="AZ14" s="28">
        <v>8961</v>
      </c>
      <c r="BA14" s="28">
        <v>8850</v>
      </c>
      <c r="BB14" s="28">
        <v>8955</v>
      </c>
      <c r="BC14" s="28">
        <v>8699</v>
      </c>
      <c r="BD14" s="28">
        <v>8427</v>
      </c>
      <c r="BE14" s="28">
        <v>8361</v>
      </c>
      <c r="BF14" s="28">
        <v>8579</v>
      </c>
      <c r="BG14" s="28">
        <v>8968</v>
      </c>
      <c r="BH14" s="28">
        <v>8655</v>
      </c>
      <c r="BI14" s="28">
        <v>8317</v>
      </c>
      <c r="BJ14" s="62">
        <v>8294</v>
      </c>
      <c r="BK14" s="62">
        <v>8115</v>
      </c>
      <c r="BL14" s="62">
        <v>7866</v>
      </c>
      <c r="BM14" s="62">
        <v>7355</v>
      </c>
    </row>
    <row r="15" spans="1:65">
      <c r="A15" s="26" t="s">
        <v>25</v>
      </c>
      <c r="B15" s="28">
        <f>ROUND(9058,0)</f>
        <v>9058</v>
      </c>
      <c r="C15" s="28">
        <f>ROUND(9583,0)</f>
        <v>9583</v>
      </c>
      <c r="D15" s="28">
        <f>ROUND(10151,0)</f>
        <v>10151</v>
      </c>
      <c r="E15" s="28">
        <f>ROUND(10176886/1000,0)</f>
        <v>10177</v>
      </c>
      <c r="F15" s="28">
        <f>ROUND(9489848/1000,0)</f>
        <v>9490</v>
      </c>
      <c r="G15" s="28">
        <f>ROUND(7355280/1000,0)</f>
        <v>7355</v>
      </c>
      <c r="H15" s="28">
        <f>ROUND(10398372/1000,0)</f>
        <v>10398</v>
      </c>
      <c r="I15" s="28">
        <f>ROUND(10227.472,0)</f>
        <v>10227</v>
      </c>
      <c r="J15" s="28">
        <f>ROUND(10436.024,0)</f>
        <v>10436</v>
      </c>
      <c r="K15" s="28">
        <v>10075.708000000001</v>
      </c>
      <c r="L15" s="28">
        <v>9880.732</v>
      </c>
      <c r="M15" s="28">
        <f t="shared" si="19"/>
        <v>9630.4</v>
      </c>
      <c r="N15" s="28">
        <v>9380.0679999999993</v>
      </c>
      <c r="O15" s="28">
        <v>10607.512000000001</v>
      </c>
      <c r="P15" s="28">
        <v>11282.508</v>
      </c>
      <c r="Q15" s="28">
        <v>10838.891</v>
      </c>
      <c r="R15" s="28">
        <v>10610.531000000001</v>
      </c>
      <c r="S15" s="28">
        <v>12492.132</v>
      </c>
      <c r="T15" s="28">
        <v>10936.221</v>
      </c>
      <c r="U15" s="28">
        <v>11141.907999999999</v>
      </c>
      <c r="V15" s="28">
        <v>10749.995999999999</v>
      </c>
      <c r="W15" s="28">
        <v>10512.808000000001</v>
      </c>
      <c r="X15" s="28">
        <v>10609.361999999999</v>
      </c>
      <c r="Y15" s="28">
        <v>10454.123</v>
      </c>
      <c r="Z15" s="28">
        <v>11168.266</v>
      </c>
      <c r="AA15" s="28">
        <v>11665.367</v>
      </c>
      <c r="AB15" s="28">
        <v>10839.531999999999</v>
      </c>
      <c r="AC15" s="222">
        <v>10224.844999999999</v>
      </c>
      <c r="AD15" s="222">
        <v>11236.087</v>
      </c>
      <c r="AE15" s="222">
        <v>10558.387000000001</v>
      </c>
      <c r="AF15" s="222">
        <v>10585.200999999999</v>
      </c>
      <c r="AG15" s="222">
        <v>10420.225</v>
      </c>
      <c r="AH15" s="109">
        <f>ROUND(11674,0)</f>
        <v>11674</v>
      </c>
      <c r="AI15" s="28">
        <f>ROUND(14189,0)</f>
        <v>14189</v>
      </c>
      <c r="AJ15" s="28">
        <f>ROUND(12338,0)</f>
        <v>12338</v>
      </c>
      <c r="AK15" s="28">
        <f>ROUND(11792,0)</f>
        <v>11792</v>
      </c>
      <c r="AL15" s="28">
        <f>ROUND(12055,0)</f>
        <v>12055</v>
      </c>
      <c r="AM15" s="28">
        <f>ROUND(9752,0)</f>
        <v>9752</v>
      </c>
      <c r="AN15" s="28">
        <f>ROUND(12130,0)</f>
        <v>12130</v>
      </c>
      <c r="AO15" s="28">
        <f>ROUND(11370,0)</f>
        <v>11370</v>
      </c>
      <c r="AP15" s="28">
        <f>ROUND(10946,0)</f>
        <v>10946</v>
      </c>
      <c r="AQ15" s="28">
        <v>10137</v>
      </c>
      <c r="AR15" s="28">
        <v>10178</v>
      </c>
      <c r="AS15" s="28">
        <f t="shared" si="20"/>
        <v>9696</v>
      </c>
      <c r="AT15" s="28">
        <v>9214</v>
      </c>
      <c r="AU15" s="28">
        <v>9383</v>
      </c>
      <c r="AV15" s="28">
        <v>10480</v>
      </c>
      <c r="AW15" s="28">
        <v>9250</v>
      </c>
      <c r="AX15" s="28">
        <v>9939</v>
      </c>
      <c r="AY15" s="28">
        <v>10259</v>
      </c>
      <c r="AZ15" s="28">
        <v>9246</v>
      </c>
      <c r="BA15" s="28">
        <v>9585</v>
      </c>
      <c r="BB15" s="28">
        <v>9049</v>
      </c>
      <c r="BC15" s="28">
        <v>8943</v>
      </c>
      <c r="BD15" s="28">
        <v>8609</v>
      </c>
      <c r="BE15" s="28">
        <v>8067</v>
      </c>
      <c r="BF15" s="28">
        <v>7945</v>
      </c>
      <c r="BG15" s="28">
        <v>7636</v>
      </c>
      <c r="BH15" s="28">
        <v>7018</v>
      </c>
      <c r="BI15" s="28">
        <v>6751</v>
      </c>
      <c r="BJ15" s="62">
        <v>7406</v>
      </c>
      <c r="BK15" s="62">
        <v>7131</v>
      </c>
      <c r="BL15" s="62">
        <v>6862</v>
      </c>
      <c r="BM15" s="62">
        <v>6592</v>
      </c>
    </row>
    <row r="16" spans="1:65">
      <c r="A16" s="26" t="s">
        <v>26</v>
      </c>
      <c r="B16" s="28">
        <f>ROUND(14086,0)</f>
        <v>14086</v>
      </c>
      <c r="C16" s="28">
        <f>ROUND(14953,0)</f>
        <v>14953</v>
      </c>
      <c r="D16" s="28">
        <f>ROUND(13892,0)</f>
        <v>13892</v>
      </c>
      <c r="E16" s="28">
        <f>ROUND(13999764/1000,0)</f>
        <v>14000</v>
      </c>
      <c r="F16" s="28">
        <f>ROUND(13856140/1000,0)</f>
        <v>13856</v>
      </c>
      <c r="G16" s="28">
        <f>ROUND(14444637/1000,0)</f>
        <v>14445</v>
      </c>
      <c r="H16" s="28">
        <f>ROUND(15773366/1000,0)</f>
        <v>15773</v>
      </c>
      <c r="I16" s="28">
        <f>ROUND(16149.586,0)</f>
        <v>16150</v>
      </c>
      <c r="J16" s="28">
        <f>ROUND(16262.902,0)</f>
        <v>16263</v>
      </c>
      <c r="K16" s="28">
        <v>15713.404</v>
      </c>
      <c r="L16" s="28">
        <v>14621.088</v>
      </c>
      <c r="M16" s="28">
        <f t="shared" si="19"/>
        <v>14897.864</v>
      </c>
      <c r="N16" s="28">
        <v>15174.64</v>
      </c>
      <c r="O16" s="28">
        <v>17812.216</v>
      </c>
      <c r="P16" s="28">
        <v>18870.594000000001</v>
      </c>
      <c r="Q16" s="28">
        <v>18718.402999999998</v>
      </c>
      <c r="R16" s="28">
        <v>19443.241000000002</v>
      </c>
      <c r="S16" s="28">
        <v>21252.508999999998</v>
      </c>
      <c r="T16" s="28">
        <v>21468.724999999999</v>
      </c>
      <c r="U16" s="28">
        <v>22550.053</v>
      </c>
      <c r="V16" s="28">
        <v>22514.609</v>
      </c>
      <c r="W16" s="28">
        <v>21913.905999999999</v>
      </c>
      <c r="X16" s="28">
        <v>21671.697</v>
      </c>
      <c r="Y16" s="28">
        <v>22377.755000000001</v>
      </c>
      <c r="Z16" s="28">
        <v>23283.073</v>
      </c>
      <c r="AA16" s="28">
        <v>27850.550999999999</v>
      </c>
      <c r="AB16" s="28">
        <v>27338.714</v>
      </c>
      <c r="AC16" s="222">
        <v>27902.813999999998</v>
      </c>
      <c r="AD16" s="222">
        <v>26215.102999999999</v>
      </c>
      <c r="AE16" s="222">
        <v>26181.231</v>
      </c>
      <c r="AF16" s="222">
        <v>25562.251</v>
      </c>
      <c r="AG16" s="222">
        <v>25645.62</v>
      </c>
      <c r="AH16" s="109">
        <f>ROUND(21575,0)</f>
        <v>21575</v>
      </c>
      <c r="AI16" s="28">
        <f>ROUND(22144,0)</f>
        <v>22144</v>
      </c>
      <c r="AJ16" s="28">
        <f>ROUND(18632,0)</f>
        <v>18632</v>
      </c>
      <c r="AK16" s="28">
        <f>ROUND(18360,0)</f>
        <v>18360</v>
      </c>
      <c r="AL16" s="28">
        <f>ROUND(18126,0)</f>
        <v>18126</v>
      </c>
      <c r="AM16" s="28">
        <f>ROUND(18629,0)</f>
        <v>18629</v>
      </c>
      <c r="AN16" s="28">
        <f>ROUND(18334,0)</f>
        <v>18334</v>
      </c>
      <c r="AO16" s="28">
        <f>ROUND(17811,0)</f>
        <v>17811</v>
      </c>
      <c r="AP16" s="28">
        <f>ROUND(18403,0)</f>
        <v>18403</v>
      </c>
      <c r="AQ16" s="28">
        <v>17954</v>
      </c>
      <c r="AR16" s="28">
        <v>18016</v>
      </c>
      <c r="AS16" s="28">
        <f t="shared" si="20"/>
        <v>17478</v>
      </c>
      <c r="AT16" s="28">
        <v>16940</v>
      </c>
      <c r="AU16" s="28">
        <v>17529</v>
      </c>
      <c r="AV16" s="28">
        <v>17966</v>
      </c>
      <c r="AW16" s="28">
        <v>18217</v>
      </c>
      <c r="AX16" s="28">
        <v>18189</v>
      </c>
      <c r="AY16" s="28">
        <v>19146</v>
      </c>
      <c r="AZ16" s="28">
        <v>18692</v>
      </c>
      <c r="BA16" s="28">
        <v>19198</v>
      </c>
      <c r="BB16" s="28">
        <v>19451</v>
      </c>
      <c r="BC16" s="28">
        <v>17907</v>
      </c>
      <c r="BD16" s="28">
        <v>17752</v>
      </c>
      <c r="BE16" s="28">
        <v>17462</v>
      </c>
      <c r="BF16" s="28">
        <v>17078</v>
      </c>
      <c r="BG16" s="28">
        <v>18798</v>
      </c>
      <c r="BH16" s="28">
        <v>18988</v>
      </c>
      <c r="BI16" s="28">
        <v>19343</v>
      </c>
      <c r="BJ16" s="62">
        <v>17605</v>
      </c>
      <c r="BK16" s="62">
        <v>18048</v>
      </c>
      <c r="BL16" s="62">
        <v>18023</v>
      </c>
      <c r="BM16" s="62">
        <v>17789</v>
      </c>
    </row>
    <row r="17" spans="1:65">
      <c r="A17" s="26" t="s">
        <v>27</v>
      </c>
      <c r="B17" s="28">
        <f>ROUND(7159,0)</f>
        <v>7159</v>
      </c>
      <c r="C17" s="28">
        <f>ROUND(7125,0)</f>
        <v>7125</v>
      </c>
      <c r="D17" s="28">
        <f>ROUND(7735,0)</f>
        <v>7735</v>
      </c>
      <c r="E17" s="28">
        <f>ROUND(7440855/1000,0)</f>
        <v>7441</v>
      </c>
      <c r="F17" s="28">
        <f>ROUND(7635561/1000,0)</f>
        <v>7636</v>
      </c>
      <c r="G17" s="28">
        <f>ROUND(8206435/1000,0)</f>
        <v>8206</v>
      </c>
      <c r="H17" s="28">
        <f>ROUND(9394915/1000,0)</f>
        <v>9395</v>
      </c>
      <c r="I17" s="28">
        <f>ROUND(9535.751,0)</f>
        <v>9536</v>
      </c>
      <c r="J17" s="28">
        <f>ROUND(9439.853,0)</f>
        <v>9440</v>
      </c>
      <c r="K17" s="28">
        <v>9451.5229999999992</v>
      </c>
      <c r="L17" s="28">
        <v>9110.2610000000004</v>
      </c>
      <c r="M17" s="28">
        <f t="shared" si="19"/>
        <v>9124.1419999999998</v>
      </c>
      <c r="N17" s="28">
        <v>9138.0229999999992</v>
      </c>
      <c r="O17" s="28">
        <v>10404.716</v>
      </c>
      <c r="P17" s="28">
        <v>10505.835999999999</v>
      </c>
      <c r="Q17" s="28">
        <v>10209.081</v>
      </c>
      <c r="R17" s="28">
        <v>10688.306</v>
      </c>
      <c r="S17" s="28">
        <v>11371.838</v>
      </c>
      <c r="T17" s="28">
        <v>10892.436</v>
      </c>
      <c r="U17" s="28">
        <v>11686.972</v>
      </c>
      <c r="V17" s="28">
        <v>11345.162</v>
      </c>
      <c r="W17" s="28">
        <v>10863.326999999999</v>
      </c>
      <c r="X17" s="28">
        <v>10009.64</v>
      </c>
      <c r="Y17" s="28">
        <v>10490.63</v>
      </c>
      <c r="Z17" s="28">
        <v>10578.378000000001</v>
      </c>
      <c r="AA17" s="28">
        <v>12346.716</v>
      </c>
      <c r="AB17" s="28">
        <v>11621.071</v>
      </c>
      <c r="AC17" s="222">
        <v>11144.949000000001</v>
      </c>
      <c r="AD17" s="222">
        <v>10407.242</v>
      </c>
      <c r="AE17" s="222">
        <v>10266.069</v>
      </c>
      <c r="AF17" s="222">
        <v>10458.388000000001</v>
      </c>
      <c r="AG17" s="222">
        <v>10580.329</v>
      </c>
      <c r="AH17" s="109">
        <f>ROUND(9039,0)</f>
        <v>9039</v>
      </c>
      <c r="AI17" s="28">
        <f>ROUND(10552,0)</f>
        <v>10552</v>
      </c>
      <c r="AJ17" s="28">
        <f>ROUND(9002,0)</f>
        <v>9002</v>
      </c>
      <c r="AK17" s="28">
        <f>ROUND(9221,0)</f>
        <v>9221</v>
      </c>
      <c r="AL17" s="28">
        <f>ROUND(9223,0)</f>
        <v>9223</v>
      </c>
      <c r="AM17" s="28">
        <f>ROUND(9573,0)</f>
        <v>9573</v>
      </c>
      <c r="AN17" s="28">
        <f>ROUND(9717,0)</f>
        <v>9717</v>
      </c>
      <c r="AO17" s="28">
        <f>ROUND(9133,0)</f>
        <v>9133</v>
      </c>
      <c r="AP17" s="28">
        <f>ROUND(8987,0)</f>
        <v>8987</v>
      </c>
      <c r="AQ17" s="28">
        <v>8589</v>
      </c>
      <c r="AR17" s="28">
        <v>8512</v>
      </c>
      <c r="AS17" s="28">
        <f t="shared" si="20"/>
        <v>8232.5</v>
      </c>
      <c r="AT17" s="28">
        <v>7953</v>
      </c>
      <c r="AU17" s="28">
        <v>8281</v>
      </c>
      <c r="AV17" s="28">
        <v>8367</v>
      </c>
      <c r="AW17" s="28">
        <v>7894</v>
      </c>
      <c r="AX17" s="28">
        <v>8083</v>
      </c>
      <c r="AY17" s="28">
        <v>8359</v>
      </c>
      <c r="AZ17" s="28">
        <v>7944</v>
      </c>
      <c r="BA17" s="28">
        <v>8184</v>
      </c>
      <c r="BB17" s="28">
        <v>7716</v>
      </c>
      <c r="BC17" s="28">
        <v>7274</v>
      </c>
      <c r="BD17" s="28">
        <v>6941</v>
      </c>
      <c r="BE17" s="28">
        <v>6969</v>
      </c>
      <c r="BF17" s="28">
        <v>6362</v>
      </c>
      <c r="BG17" s="28">
        <v>6524</v>
      </c>
      <c r="BH17" s="28">
        <v>6296</v>
      </c>
      <c r="BI17" s="28">
        <v>6079</v>
      </c>
      <c r="BJ17" s="62">
        <v>5803</v>
      </c>
      <c r="BK17" s="62">
        <v>5620</v>
      </c>
      <c r="BL17" s="62">
        <v>5592</v>
      </c>
      <c r="BM17" s="62">
        <v>5651</v>
      </c>
    </row>
    <row r="18" spans="1:65">
      <c r="A18" s="26" t="s">
        <v>28</v>
      </c>
      <c r="B18" s="28">
        <f>ROUND(8477,0)</f>
        <v>8477</v>
      </c>
      <c r="C18" s="28">
        <f>ROUND(8702,0)</f>
        <v>8702</v>
      </c>
      <c r="D18" s="28">
        <f>ROUND(9037,0)</f>
        <v>9037</v>
      </c>
      <c r="E18" s="28">
        <f>ROUND(9107676/1000,0)</f>
        <v>9108</v>
      </c>
      <c r="F18" s="28">
        <f>ROUND(8509675/1000,0)</f>
        <v>8510</v>
      </c>
      <c r="G18" s="28">
        <f>ROUND(8229645/1000,0)</f>
        <v>8230</v>
      </c>
      <c r="H18" s="28">
        <f>ROUND(9289161/1000,0)</f>
        <v>9289</v>
      </c>
      <c r="I18" s="28">
        <f>ROUND(9230.368,0)</f>
        <v>9230</v>
      </c>
      <c r="J18" s="28">
        <f>ROUND(9902.765,0)</f>
        <v>9903</v>
      </c>
      <c r="K18" s="28">
        <v>9451.8259999999991</v>
      </c>
      <c r="L18" s="28">
        <v>9033.482</v>
      </c>
      <c r="M18" s="28">
        <f t="shared" si="19"/>
        <v>9053.7394999999997</v>
      </c>
      <c r="N18" s="28">
        <v>9073.9969999999994</v>
      </c>
      <c r="O18" s="28">
        <v>12912.918</v>
      </c>
      <c r="P18" s="28">
        <v>9682.5499999999993</v>
      </c>
      <c r="Q18" s="28">
        <v>10127.163</v>
      </c>
      <c r="R18" s="28">
        <v>10428.725</v>
      </c>
      <c r="S18" s="28">
        <v>10841.584999999999</v>
      </c>
      <c r="T18" s="28">
        <v>11328.343999999999</v>
      </c>
      <c r="U18" s="28">
        <v>11975.883</v>
      </c>
      <c r="V18" s="28">
        <v>11872.848</v>
      </c>
      <c r="W18" s="28">
        <v>12060.652</v>
      </c>
      <c r="X18" s="28">
        <v>11894.431</v>
      </c>
      <c r="Y18" s="28">
        <v>11846.968000000001</v>
      </c>
      <c r="Z18" s="28">
        <v>12527.04</v>
      </c>
      <c r="AA18" s="28">
        <v>13560.1</v>
      </c>
      <c r="AB18" s="28">
        <v>12475.174000000001</v>
      </c>
      <c r="AC18" s="222">
        <v>12229.05</v>
      </c>
      <c r="AD18" s="222">
        <v>11966.695</v>
      </c>
      <c r="AE18" s="222">
        <v>11511.253000000001</v>
      </c>
      <c r="AF18" s="222">
        <v>12034.513999999999</v>
      </c>
      <c r="AG18" s="222">
        <v>12601.257</v>
      </c>
      <c r="AH18" s="109">
        <f>ROUND(10375,0)</f>
        <v>10375</v>
      </c>
      <c r="AI18" s="28">
        <f>ROUND(12882,0)</f>
        <v>12882</v>
      </c>
      <c r="AJ18" s="28">
        <f>ROUND(10516,0)</f>
        <v>10516</v>
      </c>
      <c r="AK18" s="28">
        <f>ROUND(10577,0)</f>
        <v>10577</v>
      </c>
      <c r="AL18" s="28">
        <f>ROUND(9875,0)</f>
        <v>9875</v>
      </c>
      <c r="AM18" s="28">
        <f>ROUND(9236,0)</f>
        <v>9236</v>
      </c>
      <c r="AN18" s="28">
        <f>ROUND(9077,0)</f>
        <v>9077</v>
      </c>
      <c r="AO18" s="28">
        <f>ROUND(9649,0)</f>
        <v>9649</v>
      </c>
      <c r="AP18" s="28">
        <f>ROUND(9495,0)</f>
        <v>9495</v>
      </c>
      <c r="AQ18" s="28">
        <v>9792</v>
      </c>
      <c r="AR18" s="28">
        <v>9545</v>
      </c>
      <c r="AS18" s="28">
        <f t="shared" si="20"/>
        <v>9495.5</v>
      </c>
      <c r="AT18" s="28">
        <v>9446</v>
      </c>
      <c r="AU18" s="28">
        <v>9694</v>
      </c>
      <c r="AV18" s="28">
        <v>8842</v>
      </c>
      <c r="AW18" s="28">
        <v>9448</v>
      </c>
      <c r="AX18" s="28">
        <v>9359</v>
      </c>
      <c r="AY18" s="28">
        <v>9232</v>
      </c>
      <c r="AZ18" s="28">
        <v>9278</v>
      </c>
      <c r="BA18" s="28">
        <v>9469</v>
      </c>
      <c r="BB18" s="28">
        <v>8991</v>
      </c>
      <c r="BC18" s="28">
        <v>9006</v>
      </c>
      <c r="BD18" s="28">
        <v>8942</v>
      </c>
      <c r="BE18" s="28">
        <v>8731</v>
      </c>
      <c r="BF18" s="28">
        <v>8748</v>
      </c>
      <c r="BG18" s="28">
        <v>8610</v>
      </c>
      <c r="BH18" s="28">
        <v>8237</v>
      </c>
      <c r="BI18" s="28">
        <v>7974</v>
      </c>
      <c r="BJ18" s="62">
        <v>7712</v>
      </c>
      <c r="BK18" s="62">
        <v>7297</v>
      </c>
      <c r="BL18" s="62">
        <v>7613</v>
      </c>
      <c r="BM18" s="62">
        <v>7425</v>
      </c>
    </row>
    <row r="19" spans="1:65">
      <c r="A19" s="26" t="s">
        <v>29</v>
      </c>
      <c r="B19" s="28">
        <f>ROUND(10984,0)</f>
        <v>10984</v>
      </c>
      <c r="C19" s="28">
        <f>ROUND(11069,0)</f>
        <v>11069</v>
      </c>
      <c r="D19" s="28">
        <f>ROUND(10557,0)</f>
        <v>10557</v>
      </c>
      <c r="E19" s="28">
        <f>ROUND(10791783/1000,0)</f>
        <v>10792</v>
      </c>
      <c r="F19" s="28">
        <f>ROUND(10079957/1000,0)</f>
        <v>10080</v>
      </c>
      <c r="G19" s="28">
        <f>ROUND(11255562/1000,0)</f>
        <v>11256</v>
      </c>
      <c r="H19" s="28">
        <f>ROUND(12340677/1000,0)</f>
        <v>12341</v>
      </c>
      <c r="I19" s="28">
        <f>ROUND(12669.762,0)</f>
        <v>12670</v>
      </c>
      <c r="J19" s="28">
        <f>ROUND(12670.33,0)</f>
        <v>12670</v>
      </c>
      <c r="K19" s="28">
        <v>13012.364</v>
      </c>
      <c r="L19" s="28">
        <v>11514.495999999999</v>
      </c>
      <c r="M19" s="28">
        <f t="shared" si="19"/>
        <v>11778.9545</v>
      </c>
      <c r="N19" s="28">
        <v>12043.413</v>
      </c>
      <c r="O19" s="28">
        <v>14689.19</v>
      </c>
      <c r="P19" s="28">
        <v>16074.688</v>
      </c>
      <c r="Q19" s="28">
        <v>14148.585999999999</v>
      </c>
      <c r="R19" s="28">
        <v>15774.49</v>
      </c>
      <c r="S19" s="28">
        <v>17896.406999999999</v>
      </c>
      <c r="T19" s="28">
        <v>17876.600999999999</v>
      </c>
      <c r="U19" s="28">
        <v>18500.374</v>
      </c>
      <c r="V19" s="28">
        <v>17597.509999999998</v>
      </c>
      <c r="W19" s="28">
        <v>16636.027999999998</v>
      </c>
      <c r="X19" s="28">
        <v>16903.933000000001</v>
      </c>
      <c r="Y19" s="28">
        <v>17839.738000000001</v>
      </c>
      <c r="Z19" s="28">
        <v>19506.100999999999</v>
      </c>
      <c r="AA19" s="28">
        <v>22176.327000000001</v>
      </c>
      <c r="AB19" s="28">
        <v>20980.647000000001</v>
      </c>
      <c r="AC19" s="222">
        <v>21619.833999999999</v>
      </c>
      <c r="AD19" s="222">
        <v>21613.699000000001</v>
      </c>
      <c r="AE19" s="222">
        <v>19742.623</v>
      </c>
      <c r="AF19" s="222">
        <v>19212.323</v>
      </c>
      <c r="AG19" s="222">
        <v>19428.927</v>
      </c>
      <c r="AH19" s="109">
        <f>ROUND(14743,0)</f>
        <v>14743</v>
      </c>
      <c r="AI19" s="28">
        <f>ROUND(16386,0)</f>
        <v>16386</v>
      </c>
      <c r="AJ19" s="28">
        <f>ROUND(13080,0)</f>
        <v>13080</v>
      </c>
      <c r="AK19" s="28">
        <f>ROUND(13845,0)</f>
        <v>13845</v>
      </c>
      <c r="AL19" s="28">
        <f>ROUND(14037,0)</f>
        <v>14037</v>
      </c>
      <c r="AM19" s="28">
        <f>ROUND(14773,0)</f>
        <v>14773</v>
      </c>
      <c r="AN19" s="28">
        <f>ROUND(13091,0)</f>
        <v>13091</v>
      </c>
      <c r="AO19" s="28">
        <f>ROUND(12405,0)</f>
        <v>12405</v>
      </c>
      <c r="AP19" s="28">
        <f>ROUND(12957,0)</f>
        <v>12957</v>
      </c>
      <c r="AQ19" s="28">
        <v>12950</v>
      </c>
      <c r="AR19" s="28">
        <v>11563</v>
      </c>
      <c r="AS19" s="28">
        <f t="shared" si="20"/>
        <v>11519.5</v>
      </c>
      <c r="AT19" s="28">
        <v>11476</v>
      </c>
      <c r="AU19" s="28">
        <v>12806</v>
      </c>
      <c r="AV19" s="28">
        <v>13561</v>
      </c>
      <c r="AW19" s="28">
        <v>12811</v>
      </c>
      <c r="AX19" s="28">
        <v>13151</v>
      </c>
      <c r="AY19" s="28">
        <v>14060</v>
      </c>
      <c r="AZ19" s="28">
        <v>14124</v>
      </c>
      <c r="BA19" s="28">
        <v>14327</v>
      </c>
      <c r="BB19" s="28">
        <v>14410</v>
      </c>
      <c r="BC19" s="28">
        <v>13212</v>
      </c>
      <c r="BD19" s="28">
        <v>13667</v>
      </c>
      <c r="BE19" s="28">
        <v>13221</v>
      </c>
      <c r="BF19" s="28">
        <v>13042</v>
      </c>
      <c r="BG19" s="28">
        <v>13653</v>
      </c>
      <c r="BH19" s="28">
        <v>12979</v>
      </c>
      <c r="BI19" s="28">
        <v>13404</v>
      </c>
      <c r="BJ19" s="62">
        <v>13898</v>
      </c>
      <c r="BK19" s="62">
        <v>12735</v>
      </c>
      <c r="BL19" s="62">
        <v>12666</v>
      </c>
      <c r="BM19" s="62">
        <v>12460</v>
      </c>
    </row>
    <row r="20" spans="1:65">
      <c r="A20" s="26" t="s">
        <v>30</v>
      </c>
      <c r="B20" s="28">
        <f>ROUND(32018,0)</f>
        <v>32018</v>
      </c>
      <c r="C20" s="28">
        <f>ROUND(32652,0)</f>
        <v>32652</v>
      </c>
      <c r="D20" s="28">
        <f>ROUND(33557,0)</f>
        <v>33557</v>
      </c>
      <c r="E20" s="28">
        <f>ROUND(33680411/1000,0)</f>
        <v>33680</v>
      </c>
      <c r="F20" s="28">
        <f>ROUND(32558128/1000,0)</f>
        <v>32558</v>
      </c>
      <c r="G20" s="28">
        <f>ROUND(32476520/1000,0)</f>
        <v>32477</v>
      </c>
      <c r="H20" s="28">
        <f>ROUND(36538198/1000,0)</f>
        <v>36538</v>
      </c>
      <c r="I20" s="28">
        <f>ROUND(40352.026,0)</f>
        <v>40352</v>
      </c>
      <c r="J20" s="28">
        <f>ROUND(40922.506,0)</f>
        <v>40923</v>
      </c>
      <c r="K20" s="28">
        <v>40161.493999999999</v>
      </c>
      <c r="L20" s="28">
        <v>37890.050000000003</v>
      </c>
      <c r="M20" s="28">
        <f t="shared" si="19"/>
        <v>37794.362999999998</v>
      </c>
      <c r="N20" s="28">
        <v>37698.675999999999</v>
      </c>
      <c r="O20" s="28">
        <v>43958.373</v>
      </c>
      <c r="P20" s="28">
        <v>45091.557999999997</v>
      </c>
      <c r="Q20" s="28">
        <v>45626.517</v>
      </c>
      <c r="R20" s="28">
        <v>46293.720999999998</v>
      </c>
      <c r="S20" s="28">
        <v>48426.538</v>
      </c>
      <c r="T20" s="28">
        <v>52728.046000000002</v>
      </c>
      <c r="U20" s="28">
        <v>51803.822</v>
      </c>
      <c r="V20" s="28">
        <v>51963.711000000003</v>
      </c>
      <c r="W20" s="28">
        <v>52301.938999999998</v>
      </c>
      <c r="X20" s="28">
        <v>48695.326999999997</v>
      </c>
      <c r="Y20" s="28">
        <v>49753.404000000002</v>
      </c>
      <c r="Z20" s="28">
        <v>52916.72</v>
      </c>
      <c r="AA20" s="28">
        <v>60175.055</v>
      </c>
      <c r="AB20" s="28">
        <v>54875.921000000002</v>
      </c>
      <c r="AC20" s="222">
        <v>55242.800999999999</v>
      </c>
      <c r="AD20" s="222">
        <v>55794.548999999999</v>
      </c>
      <c r="AE20" s="222">
        <v>52332.677000000003</v>
      </c>
      <c r="AF20" s="222">
        <v>55750.394</v>
      </c>
      <c r="AG20" s="222">
        <v>55880.214999999997</v>
      </c>
      <c r="AH20" s="109">
        <f>ROUND(31102,0)</f>
        <v>31102</v>
      </c>
      <c r="AI20" s="28">
        <f>ROUND(48257,0)</f>
        <v>48257</v>
      </c>
      <c r="AJ20" s="28">
        <f>ROUND(30901,0)</f>
        <v>30901</v>
      </c>
      <c r="AK20" s="28">
        <f>ROUND(31071,0)</f>
        <v>31071</v>
      </c>
      <c r="AL20" s="28">
        <f>ROUND(30702,0)</f>
        <v>30702</v>
      </c>
      <c r="AM20" s="28">
        <f>ROUND(29468,0)</f>
        <v>29468</v>
      </c>
      <c r="AN20" s="28">
        <f>ROUND(31663,0)</f>
        <v>31663</v>
      </c>
      <c r="AO20" s="28">
        <f>ROUND(33465,0)</f>
        <v>33465</v>
      </c>
      <c r="AP20" s="28">
        <f>ROUND(32480,0)</f>
        <v>32480</v>
      </c>
      <c r="AQ20" s="28">
        <v>31996</v>
      </c>
      <c r="AR20" s="28">
        <v>31144</v>
      </c>
      <c r="AS20" s="28">
        <f t="shared" si="20"/>
        <v>30464</v>
      </c>
      <c r="AT20" s="28">
        <v>29784</v>
      </c>
      <c r="AU20" s="28">
        <v>33483</v>
      </c>
      <c r="AV20" s="28">
        <v>33711</v>
      </c>
      <c r="AW20" s="28">
        <v>33679</v>
      </c>
      <c r="AX20" s="28">
        <v>32606</v>
      </c>
      <c r="AY20" s="28">
        <v>34236</v>
      </c>
      <c r="AZ20" s="28">
        <v>35717</v>
      </c>
      <c r="BA20" s="28">
        <v>34465</v>
      </c>
      <c r="BB20" s="28">
        <v>33979</v>
      </c>
      <c r="BC20" s="28">
        <v>33639</v>
      </c>
      <c r="BD20" s="28">
        <v>32020</v>
      </c>
      <c r="BE20" s="28">
        <v>30548</v>
      </c>
      <c r="BF20" s="28">
        <v>30776</v>
      </c>
      <c r="BG20" s="28">
        <v>31888</v>
      </c>
      <c r="BH20" s="28">
        <v>29731</v>
      </c>
      <c r="BI20" s="28">
        <v>29572</v>
      </c>
      <c r="BJ20" s="62">
        <v>28393</v>
      </c>
      <c r="BK20" s="62">
        <v>27886</v>
      </c>
      <c r="BL20" s="62">
        <v>28474</v>
      </c>
      <c r="BM20" s="62">
        <v>28043</v>
      </c>
    </row>
    <row r="21" spans="1:65">
      <c r="A21" s="26" t="s">
        <v>31</v>
      </c>
      <c r="B21" s="28">
        <f>ROUND(12013,0)</f>
        <v>12013</v>
      </c>
      <c r="C21" s="28">
        <f>ROUND(11780,0)</f>
        <v>11780</v>
      </c>
      <c r="D21" s="28">
        <f>ROUND(11924,0)</f>
        <v>11924</v>
      </c>
      <c r="E21" s="28">
        <f>ROUND(12232154/1000,0)</f>
        <v>12232</v>
      </c>
      <c r="F21" s="28">
        <f>ROUND(12180527/1000,0)</f>
        <v>12181</v>
      </c>
      <c r="G21" s="28">
        <f>ROUND(12918224/1000,0)</f>
        <v>12918</v>
      </c>
      <c r="H21" s="28">
        <f>ROUND(13841318/1000,0)</f>
        <v>13841</v>
      </c>
      <c r="I21" s="28">
        <f>ROUND(13829.926,0)</f>
        <v>13830</v>
      </c>
      <c r="J21" s="28">
        <f>ROUND(14521.548,0)</f>
        <v>14522</v>
      </c>
      <c r="K21" s="28">
        <v>14526.33</v>
      </c>
      <c r="L21" s="28">
        <v>14950.401</v>
      </c>
      <c r="M21" s="28">
        <f t="shared" si="19"/>
        <v>15213.095499999999</v>
      </c>
      <c r="N21" s="28">
        <v>15475.79</v>
      </c>
      <c r="O21" s="28">
        <v>18747.083999999999</v>
      </c>
      <c r="P21" s="28">
        <v>17911.553</v>
      </c>
      <c r="Q21" s="28">
        <v>17225.202000000001</v>
      </c>
      <c r="R21" s="28">
        <v>17892.120999999999</v>
      </c>
      <c r="S21" s="28">
        <v>19606.684000000001</v>
      </c>
      <c r="T21" s="28">
        <v>20556.185000000001</v>
      </c>
      <c r="U21" s="28">
        <v>20858.083999999999</v>
      </c>
      <c r="V21" s="28">
        <v>20411.096000000001</v>
      </c>
      <c r="W21" s="28">
        <v>18208.117999999999</v>
      </c>
      <c r="X21" s="28">
        <v>17750.440999999999</v>
      </c>
      <c r="Y21" s="28">
        <v>17895.170999999998</v>
      </c>
      <c r="Z21" s="28">
        <v>19500.977999999999</v>
      </c>
      <c r="AA21" s="28">
        <v>22990.51</v>
      </c>
      <c r="AB21" s="28">
        <v>23581.848999999998</v>
      </c>
      <c r="AC21" s="222">
        <v>24006.043000000001</v>
      </c>
      <c r="AD21" s="222">
        <v>23413.02</v>
      </c>
      <c r="AE21" s="222">
        <v>22972.954000000002</v>
      </c>
      <c r="AF21" s="222">
        <v>24635.973000000002</v>
      </c>
      <c r="AG21" s="222">
        <v>25551.187000000002</v>
      </c>
      <c r="AH21" s="109">
        <f>ROUND(14394,0)</f>
        <v>14394</v>
      </c>
      <c r="AI21" s="28">
        <f>ROUND(17434,0)</f>
        <v>17434</v>
      </c>
      <c r="AJ21" s="28">
        <f>ROUND(13957,0)</f>
        <v>13957</v>
      </c>
      <c r="AK21" s="28">
        <f>ROUND(13998,0)</f>
        <v>13998</v>
      </c>
      <c r="AL21" s="28">
        <f>ROUND(13503,0)</f>
        <v>13503</v>
      </c>
      <c r="AM21" s="28">
        <f>ROUND(14007,0)</f>
        <v>14007</v>
      </c>
      <c r="AN21" s="28">
        <f>ROUND(14493,0)</f>
        <v>14493</v>
      </c>
      <c r="AO21" s="28">
        <f>ROUND(13771,0)</f>
        <v>13771</v>
      </c>
      <c r="AP21" s="28">
        <f>ROUND(14570,0)</f>
        <v>14570</v>
      </c>
      <c r="AQ21" s="28">
        <v>15112</v>
      </c>
      <c r="AR21" s="28">
        <v>14442</v>
      </c>
      <c r="AS21" s="28">
        <f t="shared" si="20"/>
        <v>14321</v>
      </c>
      <c r="AT21" s="28">
        <v>14200</v>
      </c>
      <c r="AU21" s="28">
        <v>15286</v>
      </c>
      <c r="AV21" s="28">
        <v>14868</v>
      </c>
      <c r="AW21" s="28">
        <v>14543</v>
      </c>
      <c r="AX21" s="28">
        <v>14382</v>
      </c>
      <c r="AY21" s="28">
        <v>14375</v>
      </c>
      <c r="AZ21" s="28">
        <v>14972</v>
      </c>
      <c r="BA21" s="28">
        <v>15084</v>
      </c>
      <c r="BB21" s="28">
        <v>14555</v>
      </c>
      <c r="BC21" s="28">
        <v>13649</v>
      </c>
      <c r="BD21" s="28">
        <v>12755</v>
      </c>
      <c r="BE21" s="28">
        <v>12799</v>
      </c>
      <c r="BF21" s="28">
        <v>13138</v>
      </c>
      <c r="BG21" s="28">
        <v>14585</v>
      </c>
      <c r="BH21" s="28">
        <v>14826</v>
      </c>
      <c r="BI21" s="28">
        <v>14428</v>
      </c>
      <c r="BJ21" s="62">
        <v>14172</v>
      </c>
      <c r="BK21" s="62">
        <v>14172</v>
      </c>
      <c r="BL21" s="62">
        <v>15152</v>
      </c>
      <c r="BM21" s="62">
        <v>14721</v>
      </c>
    </row>
    <row r="22" spans="1:65">
      <c r="A22" s="36" t="s">
        <v>32</v>
      </c>
      <c r="B22" s="37">
        <f>ROUND(5082,0)</f>
        <v>5082</v>
      </c>
      <c r="C22" s="37">
        <f>ROUND(4894,0)</f>
        <v>4894</v>
      </c>
      <c r="D22" s="37">
        <f>ROUND(5154,0)</f>
        <v>5154</v>
      </c>
      <c r="E22" s="37">
        <f>ROUND(5180922/1000,0)</f>
        <v>5181</v>
      </c>
      <c r="F22" s="37">
        <f>ROUND(4975184/1000,0)</f>
        <v>4975</v>
      </c>
      <c r="G22" s="37">
        <f>ROUND(5624523/1000,0)</f>
        <v>5625</v>
      </c>
      <c r="H22" s="37">
        <f>ROUND(6089210/1000,0)</f>
        <v>6089</v>
      </c>
      <c r="I22" s="37">
        <f>ROUND(6234.818,0)</f>
        <v>6235</v>
      </c>
      <c r="J22" s="37">
        <f>ROUND(6155.873,0)</f>
        <v>6156</v>
      </c>
      <c r="K22" s="37">
        <v>5961.0069999999996</v>
      </c>
      <c r="L22" s="37">
        <v>5849.68</v>
      </c>
      <c r="M22" s="37">
        <f t="shared" si="19"/>
        <v>6018.3600000000006</v>
      </c>
      <c r="N22" s="37">
        <v>6187.04</v>
      </c>
      <c r="O22" s="37">
        <v>6750.8969999999999</v>
      </c>
      <c r="P22" s="37">
        <v>6910.9059999999999</v>
      </c>
      <c r="Q22" s="37">
        <v>6299.6779999999999</v>
      </c>
      <c r="R22" s="37">
        <v>6164.3959999999997</v>
      </c>
      <c r="S22" s="37">
        <v>6430.4350000000004</v>
      </c>
      <c r="T22" s="37">
        <v>6413.049</v>
      </c>
      <c r="U22" s="37">
        <v>6393.8140000000003</v>
      </c>
      <c r="V22" s="37">
        <v>6366.5810000000001</v>
      </c>
      <c r="W22" s="37">
        <v>5979.6809999999996</v>
      </c>
      <c r="X22" s="37">
        <v>5730.768</v>
      </c>
      <c r="Y22" s="37">
        <v>6137.9089999999997</v>
      </c>
      <c r="Z22" s="37">
        <v>6448.6490000000003</v>
      </c>
      <c r="AA22" s="37">
        <v>6771.5339999999997</v>
      </c>
      <c r="AB22" s="37">
        <v>6418.732</v>
      </c>
      <c r="AC22" s="223">
        <v>6212.8710000000001</v>
      </c>
      <c r="AD22" s="223">
        <v>5668.38</v>
      </c>
      <c r="AE22" s="223">
        <v>6291.1469999999999</v>
      </c>
      <c r="AF22" s="223">
        <v>6029.357</v>
      </c>
      <c r="AG22" s="223">
        <v>5866.5870000000004</v>
      </c>
      <c r="AH22" s="110">
        <f>ROUND(7552,0)</f>
        <v>7552</v>
      </c>
      <c r="AI22" s="37">
        <f>ROUND(7249,0)</f>
        <v>7249</v>
      </c>
      <c r="AJ22" s="37">
        <f>ROUND(7114,0)</f>
        <v>7114</v>
      </c>
      <c r="AK22" s="37">
        <f>ROUND(7283,0)</f>
        <v>7283</v>
      </c>
      <c r="AL22" s="37">
        <f>ROUND(7254,0)</f>
        <v>7254</v>
      </c>
      <c r="AM22" s="37">
        <f>ROUND(7599,0)</f>
        <v>7599</v>
      </c>
      <c r="AN22" s="37">
        <f>ROUND(7207,0)</f>
        <v>7207</v>
      </c>
      <c r="AO22" s="37">
        <f>ROUND(6800,0)</f>
        <v>6800</v>
      </c>
      <c r="AP22" s="37">
        <f>ROUND(6595,0)</f>
        <v>6595</v>
      </c>
      <c r="AQ22" s="37">
        <v>6605</v>
      </c>
      <c r="AR22" s="37">
        <v>6452</v>
      </c>
      <c r="AS22" s="37">
        <f t="shared" si="20"/>
        <v>6463</v>
      </c>
      <c r="AT22" s="37">
        <v>6474</v>
      </c>
      <c r="AU22" s="37">
        <v>6646</v>
      </c>
      <c r="AV22" s="37">
        <v>7022</v>
      </c>
      <c r="AW22" s="37">
        <v>6738</v>
      </c>
      <c r="AX22" s="37">
        <v>6549</v>
      </c>
      <c r="AY22" s="37">
        <v>6447</v>
      </c>
      <c r="AZ22" s="37">
        <v>6406</v>
      </c>
      <c r="BA22" s="37">
        <v>6187</v>
      </c>
      <c r="BB22" s="37">
        <v>6043</v>
      </c>
      <c r="BC22" s="37">
        <v>5666</v>
      </c>
      <c r="BD22" s="37">
        <v>5320</v>
      </c>
      <c r="BE22" s="37">
        <v>5058</v>
      </c>
      <c r="BF22" s="37">
        <v>4893</v>
      </c>
      <c r="BG22" s="37">
        <v>5093</v>
      </c>
      <c r="BH22" s="37">
        <v>5559</v>
      </c>
      <c r="BI22" s="37">
        <v>4697</v>
      </c>
      <c r="BJ22" s="229">
        <v>4626</v>
      </c>
      <c r="BK22" s="229">
        <v>5167</v>
      </c>
      <c r="BL22" s="62">
        <v>4555</v>
      </c>
      <c r="BM22" s="62">
        <v>4251</v>
      </c>
    </row>
    <row r="23" spans="1:65">
      <c r="A23" s="40" t="s">
        <v>217</v>
      </c>
      <c r="B23" s="41">
        <f t="shared" ref="B23:BG23" si="21">SUM(B25:B37)</f>
        <v>0</v>
      </c>
      <c r="C23" s="41">
        <f t="shared" si="21"/>
        <v>0</v>
      </c>
      <c r="D23" s="41">
        <f t="shared" si="21"/>
        <v>0</v>
      </c>
      <c r="E23" s="41">
        <f t="shared" si="21"/>
        <v>0</v>
      </c>
      <c r="F23" s="41">
        <f t="shared" si="21"/>
        <v>0</v>
      </c>
      <c r="G23" s="41">
        <f t="shared" si="21"/>
        <v>0</v>
      </c>
      <c r="H23" s="41">
        <f t="shared" si="21"/>
        <v>0</v>
      </c>
      <c r="I23" s="41">
        <f t="shared" si="21"/>
        <v>0</v>
      </c>
      <c r="J23" s="41">
        <f t="shared" si="21"/>
        <v>0</v>
      </c>
      <c r="K23" s="41">
        <f t="shared" si="21"/>
        <v>0</v>
      </c>
      <c r="L23" s="41">
        <f t="shared" si="21"/>
        <v>0</v>
      </c>
      <c r="M23" s="41">
        <f t="shared" si="21"/>
        <v>0</v>
      </c>
      <c r="N23" s="41">
        <f t="shared" si="21"/>
        <v>0</v>
      </c>
      <c r="O23" s="41">
        <f t="shared" si="21"/>
        <v>0</v>
      </c>
      <c r="P23" s="41">
        <f t="shared" si="21"/>
        <v>174213.1</v>
      </c>
      <c r="Q23" s="41">
        <f t="shared" si="21"/>
        <v>179903.95500000002</v>
      </c>
      <c r="R23" s="41">
        <f t="shared" si="21"/>
        <v>184997.30300000004</v>
      </c>
      <c r="S23" s="41">
        <f t="shared" si="21"/>
        <v>204889.41199999998</v>
      </c>
      <c r="T23" s="41">
        <f t="shared" si="21"/>
        <v>219411.34299999999</v>
      </c>
      <c r="U23" s="41">
        <f t="shared" si="21"/>
        <v>216072.39600000001</v>
      </c>
      <c r="V23" s="41">
        <f t="shared" si="21"/>
        <v>207334.95300000001</v>
      </c>
      <c r="W23" s="41">
        <f t="shared" si="21"/>
        <v>201494.674</v>
      </c>
      <c r="X23" s="41">
        <f t="shared" si="21"/>
        <v>198465.77499999999</v>
      </c>
      <c r="Y23" s="41">
        <f t="shared" si="21"/>
        <v>197052.16699999999</v>
      </c>
      <c r="Z23" s="41">
        <f t="shared" si="21"/>
        <v>206428.47899999999</v>
      </c>
      <c r="AA23" s="41">
        <f t="shared" ref="AA23:AB23" si="22">SUM(AA25:AA37)</f>
        <v>228495.872</v>
      </c>
      <c r="AB23" s="41">
        <f t="shared" si="22"/>
        <v>225531.72</v>
      </c>
      <c r="AC23" s="41">
        <f t="shared" ref="AC23:AD23" si="23">SUM(AC25:AC37)</f>
        <v>223018.046</v>
      </c>
      <c r="AD23" s="41">
        <f t="shared" si="23"/>
        <v>222844.11400000003</v>
      </c>
      <c r="AE23" s="41">
        <f t="shared" ref="AE23:AF23" si="24">SUM(AE25:AE37)</f>
        <v>216100.05100000004</v>
      </c>
      <c r="AF23" s="41">
        <f t="shared" si="24"/>
        <v>218136.99800000002</v>
      </c>
      <c r="AG23" s="41">
        <f t="shared" ref="AG23" si="25">SUM(AG25:AG37)</f>
        <v>218445.30499999996</v>
      </c>
      <c r="AH23" s="111">
        <f t="shared" si="21"/>
        <v>0</v>
      </c>
      <c r="AI23" s="41">
        <f t="shared" si="21"/>
        <v>0</v>
      </c>
      <c r="AJ23" s="41">
        <f t="shared" si="21"/>
        <v>0</v>
      </c>
      <c r="AK23" s="41">
        <f t="shared" si="21"/>
        <v>0</v>
      </c>
      <c r="AL23" s="41">
        <f t="shared" si="21"/>
        <v>0</v>
      </c>
      <c r="AM23" s="41">
        <f t="shared" si="21"/>
        <v>0</v>
      </c>
      <c r="AN23" s="41">
        <f t="shared" si="21"/>
        <v>0</v>
      </c>
      <c r="AO23" s="41">
        <f t="shared" si="21"/>
        <v>0</v>
      </c>
      <c r="AP23" s="41">
        <f t="shared" si="21"/>
        <v>0</v>
      </c>
      <c r="AQ23" s="41">
        <f t="shared" si="21"/>
        <v>0</v>
      </c>
      <c r="AR23" s="41">
        <f t="shared" si="21"/>
        <v>0</v>
      </c>
      <c r="AS23" s="41">
        <f t="shared" si="21"/>
        <v>0</v>
      </c>
      <c r="AT23" s="41">
        <f t="shared" si="21"/>
        <v>0</v>
      </c>
      <c r="AU23" s="41">
        <f t="shared" si="21"/>
        <v>0</v>
      </c>
      <c r="AV23" s="41">
        <f t="shared" si="21"/>
        <v>114373</v>
      </c>
      <c r="AW23" s="41">
        <f t="shared" si="21"/>
        <v>115365</v>
      </c>
      <c r="AX23" s="41">
        <f t="shared" si="21"/>
        <v>113767</v>
      </c>
      <c r="AY23" s="41">
        <f t="shared" si="21"/>
        <v>119324</v>
      </c>
      <c r="AZ23" s="41">
        <f t="shared" si="21"/>
        <v>120039</v>
      </c>
      <c r="BA23" s="41">
        <f t="shared" si="21"/>
        <v>122704</v>
      </c>
      <c r="BB23" s="41">
        <f t="shared" si="21"/>
        <v>114994</v>
      </c>
      <c r="BC23" s="41">
        <f t="shared" si="21"/>
        <v>110666</v>
      </c>
      <c r="BD23" s="41">
        <f t="shared" si="21"/>
        <v>107620</v>
      </c>
      <c r="BE23" s="41">
        <f t="shared" si="21"/>
        <v>103732</v>
      </c>
      <c r="BF23" s="41">
        <f t="shared" si="21"/>
        <v>104591</v>
      </c>
      <c r="BG23" s="41">
        <f t="shared" si="21"/>
        <v>111074</v>
      </c>
      <c r="BH23" s="41">
        <f t="shared" ref="BH23:BI23" si="26">SUM(BH25:BH37)</f>
        <v>111558</v>
      </c>
      <c r="BI23" s="41">
        <f t="shared" si="26"/>
        <v>110096</v>
      </c>
      <c r="BJ23" s="41">
        <f t="shared" ref="BJ23" si="27">SUM(BJ25:BJ37)</f>
        <v>109232</v>
      </c>
      <c r="BK23" s="41">
        <f t="shared" ref="BK23:BL23" si="28">SUM(BK25:BK37)</f>
        <v>104909</v>
      </c>
      <c r="BL23" s="41">
        <f t="shared" si="28"/>
        <v>103431</v>
      </c>
      <c r="BM23" s="41">
        <f t="shared" ref="BM23" si="29">SUM(BM25:BM37)</f>
        <v>101389</v>
      </c>
    </row>
    <row r="24" spans="1:65">
      <c r="A24" s="30" t="s">
        <v>215</v>
      </c>
      <c r="B24" s="31">
        <f t="shared" ref="B24:BG24" si="30">(B23/B4)*100</f>
        <v>0</v>
      </c>
      <c r="C24" s="31">
        <f t="shared" si="30"/>
        <v>0</v>
      </c>
      <c r="D24" s="31">
        <f t="shared" si="30"/>
        <v>0</v>
      </c>
      <c r="E24" s="31">
        <f t="shared" si="30"/>
        <v>0</v>
      </c>
      <c r="F24" s="31">
        <f t="shared" si="30"/>
        <v>0</v>
      </c>
      <c r="G24" s="31">
        <f t="shared" si="30"/>
        <v>0</v>
      </c>
      <c r="H24" s="31">
        <f t="shared" si="30"/>
        <v>0</v>
      </c>
      <c r="I24" s="31">
        <f t="shared" si="30"/>
        <v>0</v>
      </c>
      <c r="J24" s="31">
        <f t="shared" si="30"/>
        <v>0</v>
      </c>
      <c r="K24" s="31">
        <f t="shared" si="30"/>
        <v>0</v>
      </c>
      <c r="L24" s="31">
        <f t="shared" si="30"/>
        <v>0</v>
      </c>
      <c r="M24" s="31">
        <f t="shared" si="30"/>
        <v>0</v>
      </c>
      <c r="N24" s="31">
        <f t="shared" si="30"/>
        <v>0</v>
      </c>
      <c r="O24" s="31">
        <f t="shared" si="30"/>
        <v>0</v>
      </c>
      <c r="P24" s="31">
        <f t="shared" si="30"/>
        <v>19.404816558453632</v>
      </c>
      <c r="Q24" s="31">
        <f t="shared" si="30"/>
        <v>19.958643582046236</v>
      </c>
      <c r="R24" s="31">
        <f t="shared" si="30"/>
        <v>20.035812772104723</v>
      </c>
      <c r="S24" s="31">
        <f t="shared" si="30"/>
        <v>20.187801918871006</v>
      </c>
      <c r="T24" s="31">
        <f t="shared" si="30"/>
        <v>20.332395141579777</v>
      </c>
      <c r="U24" s="31">
        <f t="shared" si="30"/>
        <v>19.854877187147668</v>
      </c>
      <c r="V24" s="31">
        <f t="shared" si="30"/>
        <v>19.47312470232826</v>
      </c>
      <c r="W24" s="31">
        <f t="shared" si="30"/>
        <v>19.49945190333786</v>
      </c>
      <c r="X24" s="31">
        <f t="shared" si="30"/>
        <v>19.368166227259913</v>
      </c>
      <c r="Y24" s="31">
        <f t="shared" si="30"/>
        <v>18.862134569652937</v>
      </c>
      <c r="Z24" s="31">
        <f t="shared" si="30"/>
        <v>18.856645791561366</v>
      </c>
      <c r="AA24" s="31">
        <f t="shared" ref="AA24:AB24" si="31">(AA23/AA4)*100</f>
        <v>18.623643068975866</v>
      </c>
      <c r="AB24" s="31">
        <f t="shared" si="31"/>
        <v>19.139548035032661</v>
      </c>
      <c r="AC24" s="31">
        <f t="shared" ref="AC24:AD24" si="32">(AC23/AC4)*100</f>
        <v>19.278064077181313</v>
      </c>
      <c r="AD24" s="31">
        <f t="shared" si="32"/>
        <v>19.511978509852479</v>
      </c>
      <c r="AE24" s="31">
        <f>(AE23/AE4)*100</f>
        <v>19.612405343155263</v>
      </c>
      <c r="AF24" s="31">
        <f>(AF23/AF4)*100</f>
        <v>20.172782864131293</v>
      </c>
      <c r="AG24" s="31">
        <f>(AG23/AG4)*100</f>
        <v>20.281596329801328</v>
      </c>
      <c r="AH24" s="108">
        <f t="shared" si="30"/>
        <v>0</v>
      </c>
      <c r="AI24" s="31">
        <f t="shared" si="30"/>
        <v>0</v>
      </c>
      <c r="AJ24" s="31">
        <f t="shared" si="30"/>
        <v>0</v>
      </c>
      <c r="AK24" s="31">
        <f t="shared" si="30"/>
        <v>0</v>
      </c>
      <c r="AL24" s="31">
        <f t="shared" si="30"/>
        <v>0</v>
      </c>
      <c r="AM24" s="31">
        <f t="shared" si="30"/>
        <v>0</v>
      </c>
      <c r="AN24" s="31">
        <f t="shared" si="30"/>
        <v>0</v>
      </c>
      <c r="AO24" s="31">
        <f t="shared" si="30"/>
        <v>0</v>
      </c>
      <c r="AP24" s="31">
        <f t="shared" si="30"/>
        <v>0</v>
      </c>
      <c r="AQ24" s="31">
        <f t="shared" si="30"/>
        <v>0</v>
      </c>
      <c r="AR24" s="31">
        <f t="shared" si="30"/>
        <v>0</v>
      </c>
      <c r="AS24" s="31">
        <f t="shared" si="30"/>
        <v>0</v>
      </c>
      <c r="AT24" s="31">
        <f t="shared" si="30"/>
        <v>0</v>
      </c>
      <c r="AU24" s="31">
        <f t="shared" si="30"/>
        <v>0</v>
      </c>
      <c r="AV24" s="31">
        <f t="shared" si="30"/>
        <v>15.92439695081625</v>
      </c>
      <c r="AW24" s="31">
        <f t="shared" si="30"/>
        <v>16.277708012924528</v>
      </c>
      <c r="AX24" s="31">
        <f t="shared" si="30"/>
        <v>14.062548284501863</v>
      </c>
      <c r="AY24" s="31">
        <f t="shared" si="30"/>
        <v>16.53479368229096</v>
      </c>
      <c r="AZ24" s="31">
        <f t="shared" si="30"/>
        <v>16.243546979343567</v>
      </c>
      <c r="BA24" s="31">
        <f t="shared" si="30"/>
        <v>16.488129471268323</v>
      </c>
      <c r="BB24" s="31">
        <f t="shared" si="30"/>
        <v>14.519554441068999</v>
      </c>
      <c r="BC24" s="31">
        <f t="shared" si="30"/>
        <v>15.970248978643511</v>
      </c>
      <c r="BD24" s="31">
        <f t="shared" si="30"/>
        <v>15.907669885548142</v>
      </c>
      <c r="BE24" s="31">
        <f t="shared" si="30"/>
        <v>15.25418993181113</v>
      </c>
      <c r="BF24" s="31">
        <f t="shared" si="30"/>
        <v>15.790967574398316</v>
      </c>
      <c r="BG24" s="31">
        <f t="shared" si="30"/>
        <v>15.49579311412791</v>
      </c>
      <c r="BH24" s="31">
        <f t="shared" ref="BH24:BI24" si="33">(BH23/BH4)*100</f>
        <v>15.891656730641845</v>
      </c>
      <c r="BI24" s="31">
        <f t="shared" si="33"/>
        <v>15.99704748578594</v>
      </c>
      <c r="BJ24" s="31">
        <f t="shared" ref="BJ24" si="34">(BJ23/BJ4)*100</f>
        <v>16.154780162654049</v>
      </c>
      <c r="BK24" s="31">
        <f t="shared" ref="BK24:BL24" si="35">(BK23/BK4)*100</f>
        <v>16.023197277664757</v>
      </c>
      <c r="BL24" s="31">
        <f t="shared" si="35"/>
        <v>16.278169396456075</v>
      </c>
      <c r="BM24" s="31">
        <f t="shared" ref="BM24" si="36">(BM23/BM4)*100</f>
        <v>16.391743743704904</v>
      </c>
    </row>
    <row r="25" spans="1:65">
      <c r="A25" s="42" t="s">
        <v>142</v>
      </c>
      <c r="B25" s="28"/>
      <c r="C25" s="28"/>
      <c r="D25" s="28"/>
      <c r="E25" s="28"/>
      <c r="F25" s="28"/>
      <c r="G25" s="28"/>
      <c r="H25" s="28"/>
      <c r="I25" s="28"/>
      <c r="J25" s="28"/>
      <c r="K25" s="28"/>
      <c r="L25" s="28"/>
      <c r="M25" s="28"/>
      <c r="N25" s="28"/>
      <c r="O25" s="28"/>
      <c r="P25" s="28">
        <v>966.63</v>
      </c>
      <c r="Q25" s="28">
        <v>1072.087</v>
      </c>
      <c r="R25" s="28">
        <v>830.50300000000004</v>
      </c>
      <c r="S25" s="28">
        <v>946.452</v>
      </c>
      <c r="T25" s="28">
        <v>954.08699999999999</v>
      </c>
      <c r="U25" s="28">
        <v>1143.847</v>
      </c>
      <c r="V25" s="28">
        <v>994.553</v>
      </c>
      <c r="W25" s="28">
        <v>904.98500000000001</v>
      </c>
      <c r="X25" s="28">
        <v>953.71699999999998</v>
      </c>
      <c r="Y25" s="28">
        <v>696.71299999999997</v>
      </c>
      <c r="Z25" s="28">
        <v>816.95299999999997</v>
      </c>
      <c r="AA25" s="28">
        <v>950.67</v>
      </c>
      <c r="AB25" s="28">
        <v>1174.3579999999999</v>
      </c>
      <c r="AC25" s="28">
        <v>910.846</v>
      </c>
      <c r="AD25" s="28">
        <v>1025.713</v>
      </c>
      <c r="AE25" s="28">
        <v>1083.9849999999999</v>
      </c>
      <c r="AF25" s="28">
        <v>771.19500000000005</v>
      </c>
      <c r="AG25" s="28">
        <v>793.62900000000002</v>
      </c>
      <c r="AH25" s="109"/>
      <c r="AI25" s="28"/>
      <c r="AJ25" s="28"/>
      <c r="AK25" s="28"/>
      <c r="AL25" s="28"/>
      <c r="AM25" s="28"/>
      <c r="AN25" s="28"/>
      <c r="AO25" s="28"/>
      <c r="AP25" s="28"/>
      <c r="AQ25" s="28"/>
      <c r="AR25" s="28"/>
      <c r="AS25" s="28"/>
      <c r="AT25" s="28"/>
      <c r="AU25" s="28"/>
      <c r="AV25" s="28">
        <v>419</v>
      </c>
      <c r="AW25" s="28">
        <v>436</v>
      </c>
      <c r="AX25" s="28">
        <v>381</v>
      </c>
      <c r="AY25" s="28">
        <v>398</v>
      </c>
      <c r="AZ25" s="28">
        <v>398</v>
      </c>
      <c r="BA25" s="28">
        <v>430</v>
      </c>
      <c r="BB25" s="28">
        <v>401</v>
      </c>
      <c r="BC25" s="28">
        <v>377</v>
      </c>
      <c r="BD25" s="28">
        <v>366</v>
      </c>
      <c r="BE25" s="28">
        <v>270</v>
      </c>
      <c r="BF25" s="28">
        <v>283</v>
      </c>
      <c r="BG25" s="28">
        <v>346</v>
      </c>
      <c r="BH25" s="28">
        <v>396</v>
      </c>
      <c r="BI25" s="28">
        <v>382</v>
      </c>
      <c r="BJ25" s="62">
        <v>341</v>
      </c>
      <c r="BK25" s="62">
        <v>352</v>
      </c>
      <c r="BL25" s="62">
        <v>218</v>
      </c>
      <c r="BM25" s="62">
        <v>229</v>
      </c>
    </row>
    <row r="26" spans="1:65">
      <c r="A26" s="42" t="s">
        <v>143</v>
      </c>
      <c r="B26" s="28"/>
      <c r="C26" s="28"/>
      <c r="D26" s="28"/>
      <c r="E26" s="28"/>
      <c r="F26" s="28"/>
      <c r="G26" s="28"/>
      <c r="H26" s="28"/>
      <c r="I26" s="28"/>
      <c r="J26" s="28"/>
      <c r="K26" s="28"/>
      <c r="L26" s="28"/>
      <c r="M26" s="28"/>
      <c r="N26" s="28"/>
      <c r="O26" s="28"/>
      <c r="P26" s="28">
        <v>10332.248</v>
      </c>
      <c r="Q26" s="28">
        <v>9095.2819999999992</v>
      </c>
      <c r="R26" s="28">
        <v>10176.959000000001</v>
      </c>
      <c r="S26" s="28">
        <v>11138.609</v>
      </c>
      <c r="T26" s="28">
        <v>12475.004000000001</v>
      </c>
      <c r="U26" s="28">
        <v>11237.883</v>
      </c>
      <c r="V26" s="28">
        <v>11297.241</v>
      </c>
      <c r="W26" s="28">
        <v>10978.448</v>
      </c>
      <c r="X26" s="28">
        <v>10485.999</v>
      </c>
      <c r="Y26" s="28">
        <v>10719.6</v>
      </c>
      <c r="Z26" s="28">
        <v>12185.977999999999</v>
      </c>
      <c r="AA26" s="28">
        <v>12945.736000000001</v>
      </c>
      <c r="AB26" s="28">
        <v>14069.962</v>
      </c>
      <c r="AC26" s="28">
        <v>14857.853999999999</v>
      </c>
      <c r="AD26" s="28">
        <v>14752.552</v>
      </c>
      <c r="AE26" s="28">
        <v>14717.957</v>
      </c>
      <c r="AF26" s="28">
        <v>14666.036</v>
      </c>
      <c r="AG26" s="28">
        <v>16949.399000000001</v>
      </c>
      <c r="AH26" s="109"/>
      <c r="AI26" s="28"/>
      <c r="AJ26" s="28"/>
      <c r="AK26" s="28"/>
      <c r="AL26" s="28"/>
      <c r="AM26" s="28"/>
      <c r="AN26" s="28"/>
      <c r="AO26" s="28"/>
      <c r="AP26" s="28"/>
      <c r="AQ26" s="28"/>
      <c r="AR26" s="28"/>
      <c r="AS26" s="28"/>
      <c r="AT26" s="28"/>
      <c r="AU26" s="28"/>
      <c r="AV26" s="28">
        <v>6230</v>
      </c>
      <c r="AW26" s="28">
        <v>6165</v>
      </c>
      <c r="AX26" s="28">
        <v>5861</v>
      </c>
      <c r="AY26" s="28">
        <v>6416</v>
      </c>
      <c r="AZ26" s="28">
        <v>6423</v>
      </c>
      <c r="BA26" s="28">
        <v>6226</v>
      </c>
      <c r="BB26" s="28">
        <v>6114</v>
      </c>
      <c r="BC26" s="28">
        <v>5766</v>
      </c>
      <c r="BD26" s="28">
        <v>5387</v>
      </c>
      <c r="BE26" s="28">
        <v>5369</v>
      </c>
      <c r="BF26" s="28">
        <v>5691</v>
      </c>
      <c r="BG26" s="28">
        <v>5724</v>
      </c>
      <c r="BH26" s="28">
        <v>6066</v>
      </c>
      <c r="BI26" s="28">
        <v>6449</v>
      </c>
      <c r="BJ26" s="62">
        <v>6287</v>
      </c>
      <c r="BK26" s="62">
        <v>6066</v>
      </c>
      <c r="BL26" s="62">
        <v>6435</v>
      </c>
      <c r="BM26" s="62">
        <v>6987</v>
      </c>
    </row>
    <row r="27" spans="1:65">
      <c r="A27" s="42" t="s">
        <v>144</v>
      </c>
      <c r="B27" s="28"/>
      <c r="C27" s="28"/>
      <c r="D27" s="28"/>
      <c r="E27" s="28"/>
      <c r="F27" s="28"/>
      <c r="G27" s="28"/>
      <c r="H27" s="28"/>
      <c r="I27" s="28"/>
      <c r="J27" s="28"/>
      <c r="K27" s="28"/>
      <c r="L27" s="28"/>
      <c r="M27" s="28"/>
      <c r="N27" s="28"/>
      <c r="O27" s="28"/>
      <c r="P27" s="28">
        <v>99042.406000000003</v>
      </c>
      <c r="Q27" s="28">
        <v>103766.652</v>
      </c>
      <c r="R27" s="28">
        <v>107055.71</v>
      </c>
      <c r="S27" s="28">
        <v>120689.247</v>
      </c>
      <c r="T27" s="28">
        <v>128614.11</v>
      </c>
      <c r="U27" s="28">
        <v>127543.81600000001</v>
      </c>
      <c r="V27" s="28">
        <v>121843.629</v>
      </c>
      <c r="W27" s="28">
        <v>118416.876</v>
      </c>
      <c r="X27" s="28">
        <v>117680.41</v>
      </c>
      <c r="Y27" s="28">
        <v>117132.424</v>
      </c>
      <c r="Z27" s="28">
        <v>123124.163</v>
      </c>
      <c r="AA27" s="28">
        <v>137286.05300000001</v>
      </c>
      <c r="AB27" s="28">
        <v>135025.766</v>
      </c>
      <c r="AC27" s="28">
        <v>132242.66500000001</v>
      </c>
      <c r="AD27" s="28">
        <v>132025.83600000001</v>
      </c>
      <c r="AE27" s="28">
        <v>125691.692</v>
      </c>
      <c r="AF27" s="28">
        <v>128306.58100000001</v>
      </c>
      <c r="AG27" s="28">
        <v>126593.311</v>
      </c>
      <c r="AH27" s="109"/>
      <c r="AI27" s="28"/>
      <c r="AJ27" s="28"/>
      <c r="AK27" s="28"/>
      <c r="AL27" s="28"/>
      <c r="AM27" s="28"/>
      <c r="AN27" s="28"/>
      <c r="AO27" s="28"/>
      <c r="AP27" s="28"/>
      <c r="AQ27" s="28"/>
      <c r="AR27" s="28"/>
      <c r="AS27" s="28"/>
      <c r="AT27" s="28"/>
      <c r="AU27" s="28"/>
      <c r="AV27" s="28">
        <v>60770</v>
      </c>
      <c r="AW27" s="28">
        <v>62724</v>
      </c>
      <c r="AX27" s="28">
        <v>62089</v>
      </c>
      <c r="AY27" s="28">
        <v>66048</v>
      </c>
      <c r="AZ27" s="28">
        <v>65274</v>
      </c>
      <c r="BA27" s="28">
        <v>68348</v>
      </c>
      <c r="BB27" s="28">
        <v>62904</v>
      </c>
      <c r="BC27" s="28">
        <v>60957</v>
      </c>
      <c r="BD27" s="28">
        <v>59797</v>
      </c>
      <c r="BE27" s="28">
        <v>58236</v>
      </c>
      <c r="BF27" s="28">
        <v>59062</v>
      </c>
      <c r="BG27" s="28">
        <v>63256</v>
      </c>
      <c r="BH27" s="28">
        <v>63935</v>
      </c>
      <c r="BI27" s="28">
        <v>63248</v>
      </c>
      <c r="BJ27" s="62">
        <v>62856</v>
      </c>
      <c r="BK27" s="62">
        <v>59943</v>
      </c>
      <c r="BL27" s="62">
        <v>59018</v>
      </c>
      <c r="BM27" s="62">
        <v>56546</v>
      </c>
    </row>
    <row r="28" spans="1:65">
      <c r="A28" s="42" t="s">
        <v>145</v>
      </c>
      <c r="B28" s="28"/>
      <c r="C28" s="28"/>
      <c r="D28" s="28"/>
      <c r="E28" s="28"/>
      <c r="F28" s="28"/>
      <c r="G28" s="28"/>
      <c r="H28" s="28"/>
      <c r="I28" s="28"/>
      <c r="J28" s="28"/>
      <c r="K28" s="28"/>
      <c r="L28" s="28"/>
      <c r="M28" s="28"/>
      <c r="N28" s="28"/>
      <c r="O28" s="28"/>
      <c r="P28" s="28">
        <v>11012.468000000001</v>
      </c>
      <c r="Q28" s="28">
        <v>11418.101000000001</v>
      </c>
      <c r="R28" s="28">
        <v>11805.727000000001</v>
      </c>
      <c r="S28" s="28">
        <v>13750.684999999999</v>
      </c>
      <c r="T28" s="28">
        <v>14688.576999999999</v>
      </c>
      <c r="U28" s="28">
        <v>13472.44</v>
      </c>
      <c r="V28" s="28">
        <v>13702.315000000001</v>
      </c>
      <c r="W28" s="28">
        <v>13808.358</v>
      </c>
      <c r="X28" s="28">
        <v>13317.425999999999</v>
      </c>
      <c r="Y28" s="28">
        <v>13666.386</v>
      </c>
      <c r="Z28" s="28">
        <v>14814.478999999999</v>
      </c>
      <c r="AA28" s="28">
        <v>15715.675999999999</v>
      </c>
      <c r="AB28" s="28">
        <v>14970.107</v>
      </c>
      <c r="AC28" s="28">
        <v>14793.963</v>
      </c>
      <c r="AD28" s="28">
        <v>14376.017</v>
      </c>
      <c r="AE28" s="28">
        <v>14541.290999999999</v>
      </c>
      <c r="AF28" s="28">
        <v>14286.849</v>
      </c>
      <c r="AG28" s="28">
        <v>14431.166999999999</v>
      </c>
      <c r="AH28" s="109"/>
      <c r="AI28" s="28"/>
      <c r="AJ28" s="28"/>
      <c r="AK28" s="28"/>
      <c r="AL28" s="28"/>
      <c r="AM28" s="28"/>
      <c r="AN28" s="28"/>
      <c r="AO28" s="28"/>
      <c r="AP28" s="28"/>
      <c r="AQ28" s="28"/>
      <c r="AR28" s="28"/>
      <c r="AS28" s="28"/>
      <c r="AT28" s="28"/>
      <c r="AU28" s="28"/>
      <c r="AV28" s="28">
        <v>7179</v>
      </c>
      <c r="AW28" s="28">
        <v>7259</v>
      </c>
      <c r="AX28" s="28">
        <v>7019</v>
      </c>
      <c r="AY28" s="28">
        <v>7797</v>
      </c>
      <c r="AZ28" s="28">
        <v>8077</v>
      </c>
      <c r="BA28" s="28">
        <v>7711</v>
      </c>
      <c r="BB28" s="28">
        <v>7386</v>
      </c>
      <c r="BC28" s="28">
        <v>7213</v>
      </c>
      <c r="BD28" s="28">
        <v>7131</v>
      </c>
      <c r="BE28" s="28">
        <v>6779</v>
      </c>
      <c r="BF28" s="28">
        <v>7281</v>
      </c>
      <c r="BG28" s="28">
        <v>7669</v>
      </c>
      <c r="BH28" s="28">
        <v>7448</v>
      </c>
      <c r="BI28" s="28">
        <v>7437</v>
      </c>
      <c r="BJ28" s="62">
        <v>7020</v>
      </c>
      <c r="BK28" s="62">
        <v>7262</v>
      </c>
      <c r="BL28" s="62">
        <v>6837</v>
      </c>
      <c r="BM28" s="62">
        <v>6804</v>
      </c>
    </row>
    <row r="29" spans="1:65">
      <c r="A29" s="42" t="s">
        <v>148</v>
      </c>
      <c r="B29" s="28"/>
      <c r="C29" s="28"/>
      <c r="D29" s="28"/>
      <c r="E29" s="28"/>
      <c r="F29" s="28"/>
      <c r="G29" s="28"/>
      <c r="H29" s="28"/>
      <c r="I29" s="28"/>
      <c r="J29" s="28"/>
      <c r="K29" s="28"/>
      <c r="L29" s="28"/>
      <c r="M29" s="28"/>
      <c r="N29" s="28"/>
      <c r="O29" s="28"/>
      <c r="P29" s="28">
        <v>1802.4359999999999</v>
      </c>
      <c r="Q29" s="28">
        <v>1763.1320000000001</v>
      </c>
      <c r="R29" s="28">
        <v>1793.8050000000001</v>
      </c>
      <c r="S29" s="28">
        <v>1808.3420000000001</v>
      </c>
      <c r="T29" s="28">
        <v>1960.58</v>
      </c>
      <c r="U29" s="28">
        <v>1827.77</v>
      </c>
      <c r="V29" s="28">
        <v>1874.5150000000001</v>
      </c>
      <c r="W29" s="28">
        <v>2129.5659999999998</v>
      </c>
      <c r="X29" s="28">
        <v>1573.7670000000001</v>
      </c>
      <c r="Y29" s="28">
        <v>1390.1569999999999</v>
      </c>
      <c r="Z29" s="28">
        <v>1769.4290000000001</v>
      </c>
      <c r="AA29" s="28">
        <v>1852.32</v>
      </c>
      <c r="AB29" s="28">
        <v>2067.2719999999999</v>
      </c>
      <c r="AC29" s="28">
        <v>2045.213</v>
      </c>
      <c r="AD29" s="28">
        <v>1791.21</v>
      </c>
      <c r="AE29" s="28">
        <v>1893.7570000000001</v>
      </c>
      <c r="AF29" s="28">
        <v>2361.7950000000001</v>
      </c>
      <c r="AG29" s="28">
        <v>2160.6880000000001</v>
      </c>
      <c r="AH29" s="109"/>
      <c r="AI29" s="28"/>
      <c r="AJ29" s="28"/>
      <c r="AK29" s="28"/>
      <c r="AL29" s="28"/>
      <c r="AM29" s="28"/>
      <c r="AN29" s="28"/>
      <c r="AO29" s="28"/>
      <c r="AP29" s="28"/>
      <c r="AQ29" s="28"/>
      <c r="AR29" s="28"/>
      <c r="AS29" s="28"/>
      <c r="AT29" s="28"/>
      <c r="AU29" s="28"/>
      <c r="AV29" s="28">
        <v>1280</v>
      </c>
      <c r="AW29" s="28">
        <v>1268</v>
      </c>
      <c r="AX29" s="28">
        <v>1324</v>
      </c>
      <c r="AY29" s="28">
        <v>1257</v>
      </c>
      <c r="AZ29" s="28">
        <v>1284</v>
      </c>
      <c r="BA29" s="28">
        <v>1143</v>
      </c>
      <c r="BB29" s="28">
        <v>1137</v>
      </c>
      <c r="BC29" s="28">
        <v>1352</v>
      </c>
      <c r="BD29" s="28">
        <v>931</v>
      </c>
      <c r="BE29" s="28">
        <v>799</v>
      </c>
      <c r="BF29" s="28">
        <v>937</v>
      </c>
      <c r="BG29" s="28">
        <v>953</v>
      </c>
      <c r="BH29" s="28">
        <v>1053</v>
      </c>
      <c r="BI29" s="28">
        <v>1004</v>
      </c>
      <c r="BJ29" s="62">
        <v>942</v>
      </c>
      <c r="BK29" s="62">
        <v>958</v>
      </c>
      <c r="BL29" s="62">
        <v>1096</v>
      </c>
      <c r="BM29" s="62">
        <v>982</v>
      </c>
    </row>
    <row r="30" spans="1:65">
      <c r="A30" s="42" t="s">
        <v>149</v>
      </c>
      <c r="B30" s="28"/>
      <c r="C30" s="28"/>
      <c r="D30" s="28"/>
      <c r="E30" s="28"/>
      <c r="F30" s="28"/>
      <c r="G30" s="28"/>
      <c r="H30" s="28"/>
      <c r="I30" s="28"/>
      <c r="J30" s="28"/>
      <c r="K30" s="28"/>
      <c r="L30" s="28"/>
      <c r="M30" s="28"/>
      <c r="N30" s="28"/>
      <c r="O30" s="28"/>
      <c r="P30" s="28">
        <v>2804.759</v>
      </c>
      <c r="Q30" s="28">
        <v>2782.6529999999998</v>
      </c>
      <c r="R30" s="28">
        <v>2695.038</v>
      </c>
      <c r="S30" s="28">
        <v>2857.4059999999999</v>
      </c>
      <c r="T30" s="28">
        <v>3155.9850000000001</v>
      </c>
      <c r="U30" s="28">
        <v>3285.2440000000001</v>
      </c>
      <c r="V30" s="28">
        <v>3065.471</v>
      </c>
      <c r="W30" s="28">
        <v>2754.5230000000001</v>
      </c>
      <c r="X30" s="28">
        <v>2725.2159999999999</v>
      </c>
      <c r="Y30" s="28">
        <v>2523.9580000000001</v>
      </c>
      <c r="Z30" s="28">
        <v>2556.37</v>
      </c>
      <c r="AA30" s="28">
        <v>2858.5749999999998</v>
      </c>
      <c r="AB30" s="28">
        <v>2682.2579999999998</v>
      </c>
      <c r="AC30" s="28">
        <v>2569.6410000000001</v>
      </c>
      <c r="AD30" s="28">
        <v>2663.2779999999998</v>
      </c>
      <c r="AE30" s="28">
        <v>2635.779</v>
      </c>
      <c r="AF30" s="28">
        <v>2925.0140000000001</v>
      </c>
      <c r="AG30" s="28">
        <v>2644.145</v>
      </c>
      <c r="AH30" s="109"/>
      <c r="AI30" s="28"/>
      <c r="AJ30" s="28"/>
      <c r="AK30" s="28"/>
      <c r="AL30" s="28"/>
      <c r="AM30" s="28"/>
      <c r="AN30" s="28"/>
      <c r="AO30" s="28"/>
      <c r="AP30" s="28"/>
      <c r="AQ30" s="28"/>
      <c r="AR30" s="28"/>
      <c r="AS30" s="28"/>
      <c r="AT30" s="28"/>
      <c r="AU30" s="28"/>
      <c r="AV30" s="28">
        <v>2702</v>
      </c>
      <c r="AW30" s="28">
        <v>2510</v>
      </c>
      <c r="AX30" s="28">
        <v>2524</v>
      </c>
      <c r="AY30" s="28">
        <v>2527</v>
      </c>
      <c r="AZ30" s="28">
        <v>2795</v>
      </c>
      <c r="BA30" s="28">
        <v>2744</v>
      </c>
      <c r="BB30" s="28">
        <v>2671</v>
      </c>
      <c r="BC30" s="28">
        <v>2371</v>
      </c>
      <c r="BD30" s="28">
        <v>2112</v>
      </c>
      <c r="BE30" s="28">
        <v>2012</v>
      </c>
      <c r="BF30" s="28">
        <v>2030</v>
      </c>
      <c r="BG30" s="28">
        <v>2089</v>
      </c>
      <c r="BH30" s="28">
        <v>2010</v>
      </c>
      <c r="BI30" s="28">
        <v>1906</v>
      </c>
      <c r="BJ30" s="62">
        <v>1985</v>
      </c>
      <c r="BK30" s="62">
        <v>1895</v>
      </c>
      <c r="BL30" s="62">
        <v>1988</v>
      </c>
      <c r="BM30" s="62">
        <v>1814</v>
      </c>
    </row>
    <row r="31" spans="1:65">
      <c r="A31" s="42" t="s">
        <v>159</v>
      </c>
      <c r="B31" s="28"/>
      <c r="C31" s="28"/>
      <c r="D31" s="28"/>
      <c r="E31" s="28"/>
      <c r="F31" s="28"/>
      <c r="G31" s="28"/>
      <c r="H31" s="28"/>
      <c r="I31" s="28"/>
      <c r="J31" s="28"/>
      <c r="K31" s="28"/>
      <c r="L31" s="28"/>
      <c r="M31" s="28"/>
      <c r="N31" s="28"/>
      <c r="O31" s="28"/>
      <c r="P31" s="28">
        <v>3690.665</v>
      </c>
      <c r="Q31" s="28">
        <v>4030.1320000000001</v>
      </c>
      <c r="R31" s="28">
        <v>3611.6759999999999</v>
      </c>
      <c r="S31" s="28">
        <v>3288</v>
      </c>
      <c r="T31" s="28">
        <v>3458.886</v>
      </c>
      <c r="U31" s="28">
        <v>3457.19</v>
      </c>
      <c r="V31" s="28">
        <v>3115.143</v>
      </c>
      <c r="W31" s="28">
        <v>3100.9780000000001</v>
      </c>
      <c r="X31" s="28">
        <v>2880.319</v>
      </c>
      <c r="Y31" s="28">
        <v>2914.1840000000002</v>
      </c>
      <c r="Z31" s="28">
        <v>2967.471</v>
      </c>
      <c r="AA31" s="28">
        <v>3329.15</v>
      </c>
      <c r="AB31" s="28">
        <v>3251.0830000000001</v>
      </c>
      <c r="AC31" s="28">
        <v>3287.5120000000002</v>
      </c>
      <c r="AD31" s="28">
        <v>3161.0889999999999</v>
      </c>
      <c r="AE31" s="28">
        <v>2964.7249999999999</v>
      </c>
      <c r="AF31" s="28">
        <v>2849.5079999999998</v>
      </c>
      <c r="AG31" s="28">
        <v>2964.7939999999999</v>
      </c>
      <c r="AH31" s="109"/>
      <c r="AI31" s="28"/>
      <c r="AJ31" s="28"/>
      <c r="AK31" s="28"/>
      <c r="AL31" s="28"/>
      <c r="AM31" s="28"/>
      <c r="AN31" s="28"/>
      <c r="AO31" s="28"/>
      <c r="AP31" s="28"/>
      <c r="AQ31" s="28"/>
      <c r="AR31" s="28"/>
      <c r="AS31" s="28"/>
      <c r="AT31" s="28"/>
      <c r="AU31" s="28"/>
      <c r="AV31" s="28">
        <v>3367</v>
      </c>
      <c r="AW31" s="28">
        <v>3325</v>
      </c>
      <c r="AX31" s="28">
        <v>2975</v>
      </c>
      <c r="AY31" s="28">
        <v>2641</v>
      </c>
      <c r="AZ31" s="28">
        <v>2719</v>
      </c>
      <c r="BA31" s="28">
        <v>2758</v>
      </c>
      <c r="BB31" s="28">
        <v>2708</v>
      </c>
      <c r="BC31" s="28">
        <v>2478</v>
      </c>
      <c r="BD31" s="28">
        <v>2254</v>
      </c>
      <c r="BE31" s="28">
        <v>2207</v>
      </c>
      <c r="BF31" s="28">
        <v>2105</v>
      </c>
      <c r="BG31" s="28">
        <v>2130</v>
      </c>
      <c r="BH31" s="28">
        <v>2271</v>
      </c>
      <c r="BI31" s="28">
        <v>2185</v>
      </c>
      <c r="BJ31" s="62">
        <v>2199</v>
      </c>
      <c r="BK31" s="62">
        <v>1967</v>
      </c>
      <c r="BL31" s="62">
        <v>1912</v>
      </c>
      <c r="BM31" s="62">
        <v>1959</v>
      </c>
    </row>
    <row r="32" spans="1:65">
      <c r="A32" s="42" t="s">
        <v>161</v>
      </c>
      <c r="B32" s="28"/>
      <c r="C32" s="28"/>
      <c r="D32" s="28"/>
      <c r="E32" s="28"/>
      <c r="F32" s="28"/>
      <c r="G32" s="28"/>
      <c r="H32" s="28"/>
      <c r="I32" s="28"/>
      <c r="J32" s="28"/>
      <c r="K32" s="28"/>
      <c r="L32" s="28"/>
      <c r="M32" s="28"/>
      <c r="N32" s="28"/>
      <c r="O32" s="28"/>
      <c r="P32" s="28">
        <v>1562.806</v>
      </c>
      <c r="Q32" s="28">
        <v>1341.1420000000001</v>
      </c>
      <c r="R32" s="28">
        <v>1458.1489999999999</v>
      </c>
      <c r="S32" s="28">
        <v>2243.8960000000002</v>
      </c>
      <c r="T32" s="28">
        <v>2769.9720000000002</v>
      </c>
      <c r="U32" s="28">
        <v>2329.7429999999999</v>
      </c>
      <c r="V32" s="28">
        <v>1954.2570000000001</v>
      </c>
      <c r="W32" s="28">
        <v>1990.1659999999999</v>
      </c>
      <c r="X32" s="28">
        <v>2186.375</v>
      </c>
      <c r="Y32" s="28">
        <v>1891.3019999999999</v>
      </c>
      <c r="Z32" s="28">
        <v>2396.009</v>
      </c>
      <c r="AA32" s="28">
        <v>2867.172</v>
      </c>
      <c r="AB32" s="28">
        <v>2357.0500000000002</v>
      </c>
      <c r="AC32" s="28">
        <v>3050.5309999999999</v>
      </c>
      <c r="AD32" s="28">
        <v>2769.47</v>
      </c>
      <c r="AE32" s="28">
        <v>3139.029</v>
      </c>
      <c r="AF32" s="28">
        <v>3094.627</v>
      </c>
      <c r="AG32" s="28">
        <v>3113.0369999999998</v>
      </c>
      <c r="AH32" s="109"/>
      <c r="AI32" s="28"/>
      <c r="AJ32" s="28"/>
      <c r="AK32" s="28"/>
      <c r="AL32" s="28"/>
      <c r="AM32" s="28"/>
      <c r="AN32" s="28"/>
      <c r="AO32" s="28"/>
      <c r="AP32" s="28"/>
      <c r="AQ32" s="28"/>
      <c r="AR32" s="28"/>
      <c r="AS32" s="28"/>
      <c r="AT32" s="28"/>
      <c r="AU32" s="28"/>
      <c r="AV32" s="28">
        <v>792</v>
      </c>
      <c r="AW32" s="28">
        <v>931</v>
      </c>
      <c r="AX32" s="28">
        <v>777</v>
      </c>
      <c r="AY32" s="28">
        <v>1269</v>
      </c>
      <c r="AZ32" s="28">
        <v>1261</v>
      </c>
      <c r="BA32" s="28">
        <v>988</v>
      </c>
      <c r="BB32" s="28">
        <v>1090</v>
      </c>
      <c r="BC32" s="28">
        <v>988</v>
      </c>
      <c r="BD32" s="28">
        <v>1061</v>
      </c>
      <c r="BE32" s="28">
        <v>1029</v>
      </c>
      <c r="BF32" s="28">
        <v>1193</v>
      </c>
      <c r="BG32" s="28">
        <v>1251</v>
      </c>
      <c r="BH32" s="28">
        <v>1179</v>
      </c>
      <c r="BI32" s="28">
        <v>1230</v>
      </c>
      <c r="BJ32" s="62">
        <v>1153</v>
      </c>
      <c r="BK32" s="62">
        <v>1069</v>
      </c>
      <c r="BL32" s="62">
        <v>1140</v>
      </c>
      <c r="BM32" s="62">
        <v>1198</v>
      </c>
    </row>
    <row r="33" spans="1:65">
      <c r="A33" s="42" t="s">
        <v>164</v>
      </c>
      <c r="B33" s="28"/>
      <c r="C33" s="28"/>
      <c r="D33" s="28"/>
      <c r="E33" s="28"/>
      <c r="F33" s="28"/>
      <c r="G33" s="28"/>
      <c r="H33" s="28"/>
      <c r="I33" s="28"/>
      <c r="J33" s="28"/>
      <c r="K33" s="28"/>
      <c r="L33" s="28"/>
      <c r="M33" s="28"/>
      <c r="N33" s="28"/>
      <c r="O33" s="28"/>
      <c r="P33" s="28">
        <v>7313.0280000000002</v>
      </c>
      <c r="Q33" s="28">
        <v>8192.5249999999996</v>
      </c>
      <c r="R33" s="28">
        <v>8328.6579999999994</v>
      </c>
      <c r="S33" s="28">
        <v>8542.2790000000005</v>
      </c>
      <c r="T33" s="28">
        <v>8079.5940000000001</v>
      </c>
      <c r="U33" s="28">
        <v>8028.0450000000001</v>
      </c>
      <c r="V33" s="28">
        <v>7858.6229999999996</v>
      </c>
      <c r="W33" s="28">
        <v>7269.1629999999996</v>
      </c>
      <c r="X33" s="28">
        <v>7294.2030000000004</v>
      </c>
      <c r="Y33" s="28">
        <v>7667.0529999999999</v>
      </c>
      <c r="Z33" s="28">
        <v>6914.866</v>
      </c>
      <c r="AA33" s="28">
        <v>7398.098</v>
      </c>
      <c r="AB33" s="28">
        <v>7458.8559999999998</v>
      </c>
      <c r="AC33" s="28">
        <v>7325.8410000000003</v>
      </c>
      <c r="AD33" s="28">
        <v>7439.8540000000003</v>
      </c>
      <c r="AE33" s="28">
        <v>6936.6220000000003</v>
      </c>
      <c r="AF33" s="28">
        <v>6740.8220000000001</v>
      </c>
      <c r="AG33" s="28">
        <v>7388.2179999999998</v>
      </c>
      <c r="AH33" s="109"/>
      <c r="AI33" s="28"/>
      <c r="AJ33" s="28"/>
      <c r="AK33" s="28"/>
      <c r="AL33" s="28"/>
      <c r="AM33" s="28"/>
      <c r="AN33" s="28"/>
      <c r="AO33" s="28"/>
      <c r="AP33" s="28"/>
      <c r="AQ33" s="28"/>
      <c r="AR33" s="28"/>
      <c r="AS33" s="28"/>
      <c r="AT33" s="28"/>
      <c r="AU33" s="28"/>
      <c r="AV33" s="28">
        <v>4202</v>
      </c>
      <c r="AW33" s="28">
        <v>4466</v>
      </c>
      <c r="AX33" s="28">
        <v>4563</v>
      </c>
      <c r="AY33" s="28">
        <v>4434</v>
      </c>
      <c r="AZ33" s="28">
        <v>4218</v>
      </c>
      <c r="BA33" s="28">
        <v>4718</v>
      </c>
      <c r="BB33" s="28">
        <v>4368</v>
      </c>
      <c r="BC33" s="28">
        <v>3898</v>
      </c>
      <c r="BD33" s="28">
        <v>3759</v>
      </c>
      <c r="BE33" s="28">
        <v>3521</v>
      </c>
      <c r="BF33" s="28">
        <v>2988</v>
      </c>
      <c r="BG33" s="28">
        <v>3103</v>
      </c>
      <c r="BH33" s="28">
        <v>3257</v>
      </c>
      <c r="BI33" s="28">
        <v>3046</v>
      </c>
      <c r="BJ33" s="62">
        <v>3125</v>
      </c>
      <c r="BK33" s="62">
        <v>2952</v>
      </c>
      <c r="BL33" s="62">
        <v>2774</v>
      </c>
      <c r="BM33" s="62">
        <v>2816</v>
      </c>
    </row>
    <row r="34" spans="1:65">
      <c r="A34" s="42" t="s">
        <v>168</v>
      </c>
      <c r="B34" s="28"/>
      <c r="C34" s="28"/>
      <c r="D34" s="28"/>
      <c r="E34" s="28"/>
      <c r="F34" s="28"/>
      <c r="G34" s="28"/>
      <c r="H34" s="28"/>
      <c r="I34" s="28"/>
      <c r="J34" s="28"/>
      <c r="K34" s="28"/>
      <c r="L34" s="28"/>
      <c r="M34" s="28"/>
      <c r="N34" s="28"/>
      <c r="O34" s="28"/>
      <c r="P34" s="28">
        <v>13383.393</v>
      </c>
      <c r="Q34" s="28">
        <v>13364.537</v>
      </c>
      <c r="R34" s="28">
        <v>14147.198</v>
      </c>
      <c r="S34" s="28">
        <v>14234.513999999999</v>
      </c>
      <c r="T34" s="28">
        <v>15627.995000000001</v>
      </c>
      <c r="U34" s="28">
        <v>16029.89</v>
      </c>
      <c r="V34" s="28">
        <v>15433.861999999999</v>
      </c>
      <c r="W34" s="28">
        <v>14963.766</v>
      </c>
      <c r="X34" s="28">
        <v>14980.862999999999</v>
      </c>
      <c r="Y34" s="28">
        <v>14956.282999999999</v>
      </c>
      <c r="Z34" s="28">
        <v>14476.615</v>
      </c>
      <c r="AA34" s="28">
        <v>15951.821</v>
      </c>
      <c r="AB34" s="28">
        <v>16415.017</v>
      </c>
      <c r="AC34" s="28">
        <v>16429.559000000001</v>
      </c>
      <c r="AD34" s="28">
        <v>16819.332999999999</v>
      </c>
      <c r="AE34" s="28">
        <v>16622.674999999999</v>
      </c>
      <c r="AF34" s="28">
        <v>16277.532999999999</v>
      </c>
      <c r="AG34" s="28">
        <v>14947.563</v>
      </c>
      <c r="AH34" s="109"/>
      <c r="AI34" s="28"/>
      <c r="AJ34" s="28"/>
      <c r="AK34" s="28"/>
      <c r="AL34" s="28"/>
      <c r="AM34" s="28"/>
      <c r="AN34" s="28"/>
      <c r="AO34" s="28"/>
      <c r="AP34" s="28"/>
      <c r="AQ34" s="28"/>
      <c r="AR34" s="28"/>
      <c r="AS34" s="28"/>
      <c r="AT34" s="28"/>
      <c r="AU34" s="28"/>
      <c r="AV34" s="28">
        <v>11340</v>
      </c>
      <c r="AW34" s="28">
        <v>10820</v>
      </c>
      <c r="AX34" s="28">
        <v>11182</v>
      </c>
      <c r="AY34" s="28">
        <v>11034</v>
      </c>
      <c r="AZ34" s="28">
        <v>11720</v>
      </c>
      <c r="BA34" s="28">
        <v>11987</v>
      </c>
      <c r="BB34" s="28">
        <v>11461</v>
      </c>
      <c r="BC34" s="28">
        <v>11319</v>
      </c>
      <c r="BD34" s="28">
        <v>11471</v>
      </c>
      <c r="BE34" s="28">
        <v>11281</v>
      </c>
      <c r="BF34" s="28">
        <v>10526</v>
      </c>
      <c r="BG34" s="28">
        <v>11404</v>
      </c>
      <c r="BH34" s="28">
        <v>11370</v>
      </c>
      <c r="BI34" s="28">
        <v>11410</v>
      </c>
      <c r="BJ34" s="62">
        <v>11418</v>
      </c>
      <c r="BK34" s="62">
        <v>10957</v>
      </c>
      <c r="BL34" s="62">
        <v>10754</v>
      </c>
      <c r="BM34" s="62">
        <v>10436</v>
      </c>
    </row>
    <row r="35" spans="1:65">
      <c r="A35" s="42" t="s">
        <v>172</v>
      </c>
      <c r="B35" s="28"/>
      <c r="C35" s="28"/>
      <c r="D35" s="28"/>
      <c r="E35" s="28"/>
      <c r="F35" s="28"/>
      <c r="G35" s="28"/>
      <c r="H35" s="28"/>
      <c r="I35" s="28"/>
      <c r="J35" s="28"/>
      <c r="K35" s="28"/>
      <c r="L35" s="28"/>
      <c r="M35" s="28"/>
      <c r="N35" s="28"/>
      <c r="O35" s="28"/>
      <c r="P35" s="28">
        <v>4819.6189999999997</v>
      </c>
      <c r="Q35" s="28">
        <v>4969.9229999999998</v>
      </c>
      <c r="R35" s="28">
        <v>4677.1049999999996</v>
      </c>
      <c r="S35" s="28">
        <v>5493.0309999999999</v>
      </c>
      <c r="T35" s="28">
        <v>6741.7020000000002</v>
      </c>
      <c r="U35" s="28">
        <v>6985.4440000000004</v>
      </c>
      <c r="V35" s="28">
        <v>6548.4170000000004</v>
      </c>
      <c r="W35" s="28">
        <v>5846.4889999999996</v>
      </c>
      <c r="X35" s="28">
        <v>5882.7820000000002</v>
      </c>
      <c r="Y35" s="28">
        <v>5763.0789999999997</v>
      </c>
      <c r="Z35" s="28">
        <v>6424.2979999999998</v>
      </c>
      <c r="AA35" s="28">
        <v>7181.4709999999995</v>
      </c>
      <c r="AB35" s="28">
        <v>6451.8909999999996</v>
      </c>
      <c r="AC35" s="28">
        <v>5978.9620000000004</v>
      </c>
      <c r="AD35" s="28">
        <v>6230.8770000000004</v>
      </c>
      <c r="AE35" s="28">
        <v>6524.6239999999998</v>
      </c>
      <c r="AF35" s="28">
        <v>6316.29</v>
      </c>
      <c r="AG35" s="28">
        <v>6121.1090000000004</v>
      </c>
      <c r="AH35" s="109"/>
      <c r="AI35" s="28"/>
      <c r="AJ35" s="28"/>
      <c r="AK35" s="28"/>
      <c r="AL35" s="28"/>
      <c r="AM35" s="28"/>
      <c r="AN35" s="28"/>
      <c r="AO35" s="28"/>
      <c r="AP35" s="28"/>
      <c r="AQ35" s="28"/>
      <c r="AR35" s="28"/>
      <c r="AS35" s="28"/>
      <c r="AT35" s="28"/>
      <c r="AU35" s="28"/>
      <c r="AV35" s="28">
        <v>2669</v>
      </c>
      <c r="AW35" s="28">
        <v>2538</v>
      </c>
      <c r="AX35" s="28">
        <v>2406</v>
      </c>
      <c r="AY35" s="28">
        <v>2617</v>
      </c>
      <c r="AZ35" s="28">
        <v>3040</v>
      </c>
      <c r="BA35" s="28">
        <v>3033</v>
      </c>
      <c r="BB35" s="28">
        <v>2944</v>
      </c>
      <c r="BC35" s="28">
        <v>2596</v>
      </c>
      <c r="BD35" s="28">
        <v>2526</v>
      </c>
      <c r="BE35" s="28">
        <v>2487</v>
      </c>
      <c r="BF35" s="28">
        <v>2671</v>
      </c>
      <c r="BG35" s="28">
        <v>2734</v>
      </c>
      <c r="BH35" s="28">
        <v>2473</v>
      </c>
      <c r="BI35" s="28">
        <v>2254</v>
      </c>
      <c r="BJ35" s="62">
        <v>2404</v>
      </c>
      <c r="BK35" s="62">
        <v>2419</v>
      </c>
      <c r="BL35" s="62">
        <v>2258</v>
      </c>
      <c r="BM35" s="62">
        <v>2323</v>
      </c>
    </row>
    <row r="36" spans="1:65">
      <c r="A36" s="42" t="s">
        <v>174</v>
      </c>
      <c r="B36" s="28"/>
      <c r="C36" s="28"/>
      <c r="D36" s="28"/>
      <c r="E36" s="28"/>
      <c r="F36" s="28"/>
      <c r="G36" s="28"/>
      <c r="H36" s="28"/>
      <c r="I36" s="28"/>
      <c r="J36" s="28"/>
      <c r="K36" s="28"/>
      <c r="L36" s="28"/>
      <c r="M36" s="28"/>
      <c r="N36" s="28"/>
      <c r="O36" s="28"/>
      <c r="P36" s="28">
        <v>16459.990000000002</v>
      </c>
      <c r="Q36" s="28">
        <v>17059.805</v>
      </c>
      <c r="R36" s="28">
        <v>17222.495999999999</v>
      </c>
      <c r="S36" s="28">
        <v>18629.852999999999</v>
      </c>
      <c r="T36" s="28">
        <v>19581.219000000001</v>
      </c>
      <c r="U36" s="28">
        <v>19415.935000000001</v>
      </c>
      <c r="V36" s="28">
        <v>18404.043000000001</v>
      </c>
      <c r="W36" s="28">
        <v>18136.592000000001</v>
      </c>
      <c r="X36" s="28">
        <v>17325.866999999998</v>
      </c>
      <c r="Y36" s="28">
        <v>16557.449000000001</v>
      </c>
      <c r="Z36" s="28">
        <v>16815.324000000001</v>
      </c>
      <c r="AA36" s="28">
        <v>18817.241000000002</v>
      </c>
      <c r="AB36" s="28">
        <v>18177.866000000002</v>
      </c>
      <c r="AC36" s="28">
        <v>18150.905999999999</v>
      </c>
      <c r="AD36" s="28">
        <v>18585.672999999999</v>
      </c>
      <c r="AE36" s="28">
        <v>18259.397000000001</v>
      </c>
      <c r="AF36" s="28">
        <v>18474.215</v>
      </c>
      <c r="AG36" s="28">
        <v>19206.456999999999</v>
      </c>
      <c r="AH36" s="109"/>
      <c r="AI36" s="28"/>
      <c r="AJ36" s="28"/>
      <c r="AK36" s="28"/>
      <c r="AL36" s="28"/>
      <c r="AM36" s="28"/>
      <c r="AN36" s="28"/>
      <c r="AO36" s="28"/>
      <c r="AP36" s="28"/>
      <c r="AQ36" s="28"/>
      <c r="AR36" s="28"/>
      <c r="AS36" s="28"/>
      <c r="AT36" s="28"/>
      <c r="AU36" s="28"/>
      <c r="AV36" s="28">
        <v>12352</v>
      </c>
      <c r="AW36" s="28">
        <v>11859</v>
      </c>
      <c r="AX36" s="28">
        <v>11476</v>
      </c>
      <c r="AY36" s="28">
        <v>11635</v>
      </c>
      <c r="AZ36" s="28">
        <v>11584</v>
      </c>
      <c r="BA36" s="28">
        <v>11437</v>
      </c>
      <c r="BB36" s="28">
        <v>10754</v>
      </c>
      <c r="BC36" s="28">
        <v>10356</v>
      </c>
      <c r="BD36" s="28">
        <v>9916</v>
      </c>
      <c r="BE36" s="28">
        <v>8988</v>
      </c>
      <c r="BF36" s="28">
        <v>9049</v>
      </c>
      <c r="BG36" s="28">
        <v>9546</v>
      </c>
      <c r="BH36" s="28">
        <v>9291</v>
      </c>
      <c r="BI36" s="28">
        <v>8728</v>
      </c>
      <c r="BJ36" s="62">
        <v>8767</v>
      </c>
      <c r="BK36" s="62">
        <v>8348</v>
      </c>
      <c r="BL36" s="62">
        <v>8380</v>
      </c>
      <c r="BM36" s="62">
        <v>8654</v>
      </c>
    </row>
    <row r="37" spans="1:65">
      <c r="A37" s="43" t="s">
        <v>176</v>
      </c>
      <c r="B37" s="37"/>
      <c r="C37" s="37"/>
      <c r="D37" s="37"/>
      <c r="E37" s="37"/>
      <c r="F37" s="37"/>
      <c r="G37" s="37"/>
      <c r="H37" s="37"/>
      <c r="I37" s="37"/>
      <c r="J37" s="37"/>
      <c r="K37" s="37"/>
      <c r="L37" s="37"/>
      <c r="M37" s="37"/>
      <c r="N37" s="37"/>
      <c r="O37" s="37"/>
      <c r="P37" s="37">
        <v>1022.652</v>
      </c>
      <c r="Q37" s="37">
        <v>1047.9839999999999</v>
      </c>
      <c r="R37" s="37">
        <v>1194.279</v>
      </c>
      <c r="S37" s="37">
        <v>1267.098</v>
      </c>
      <c r="T37" s="37">
        <v>1303.6320000000001</v>
      </c>
      <c r="U37" s="37">
        <v>1315.1489999999999</v>
      </c>
      <c r="V37" s="37">
        <v>1242.884</v>
      </c>
      <c r="W37" s="37">
        <v>1194.7639999999999</v>
      </c>
      <c r="X37" s="37">
        <v>1178.8309999999999</v>
      </c>
      <c r="Y37" s="37">
        <v>1173.579</v>
      </c>
      <c r="Z37" s="37">
        <v>1166.5239999999999</v>
      </c>
      <c r="AA37" s="37">
        <v>1341.8889999999999</v>
      </c>
      <c r="AB37" s="28">
        <v>1430.2339999999999</v>
      </c>
      <c r="AC37" s="28">
        <v>1374.5530000000001</v>
      </c>
      <c r="AD37" s="28">
        <v>1203.212</v>
      </c>
      <c r="AE37" s="28">
        <v>1088.518</v>
      </c>
      <c r="AF37" s="28">
        <v>1066.5329999999999</v>
      </c>
      <c r="AG37" s="28">
        <v>1131.788</v>
      </c>
      <c r="AH37" s="110"/>
      <c r="AI37" s="37"/>
      <c r="AJ37" s="37"/>
      <c r="AK37" s="37"/>
      <c r="AL37" s="37"/>
      <c r="AM37" s="37"/>
      <c r="AN37" s="37"/>
      <c r="AO37" s="37"/>
      <c r="AP37" s="37"/>
      <c r="AQ37" s="37"/>
      <c r="AR37" s="37"/>
      <c r="AS37" s="37"/>
      <c r="AT37" s="37"/>
      <c r="AU37" s="37"/>
      <c r="AV37" s="37">
        <v>1071</v>
      </c>
      <c r="AW37" s="37">
        <v>1064</v>
      </c>
      <c r="AX37" s="37">
        <v>1190</v>
      </c>
      <c r="AY37" s="37">
        <v>1251</v>
      </c>
      <c r="AZ37" s="37">
        <v>1246</v>
      </c>
      <c r="BA37" s="37">
        <v>1181</v>
      </c>
      <c r="BB37" s="37">
        <v>1056</v>
      </c>
      <c r="BC37" s="37">
        <v>995</v>
      </c>
      <c r="BD37" s="37">
        <v>909</v>
      </c>
      <c r="BE37" s="37">
        <v>754</v>
      </c>
      <c r="BF37" s="37">
        <v>775</v>
      </c>
      <c r="BG37" s="37">
        <v>869</v>
      </c>
      <c r="BH37" s="37">
        <v>809</v>
      </c>
      <c r="BI37" s="37">
        <v>817</v>
      </c>
      <c r="BJ37" s="229">
        <v>735</v>
      </c>
      <c r="BK37" s="229">
        <v>721</v>
      </c>
      <c r="BL37" s="62">
        <v>621</v>
      </c>
      <c r="BM37" s="62">
        <v>641</v>
      </c>
    </row>
    <row r="38" spans="1:65">
      <c r="A38" s="40" t="s">
        <v>218</v>
      </c>
      <c r="B38" s="27">
        <f t="shared" ref="B38:BG38" si="37">SUM(B40:B51)</f>
        <v>0</v>
      </c>
      <c r="C38" s="27">
        <f t="shared" si="37"/>
        <v>0</v>
      </c>
      <c r="D38" s="27">
        <f t="shared" si="37"/>
        <v>0</v>
      </c>
      <c r="E38" s="27">
        <f t="shared" si="37"/>
        <v>0</v>
      </c>
      <c r="F38" s="27">
        <f t="shared" si="37"/>
        <v>0</v>
      </c>
      <c r="G38" s="27">
        <f t="shared" si="37"/>
        <v>0</v>
      </c>
      <c r="H38" s="27">
        <f t="shared" si="37"/>
        <v>0</v>
      </c>
      <c r="I38" s="27">
        <f t="shared" si="37"/>
        <v>0</v>
      </c>
      <c r="J38" s="27">
        <f t="shared" si="37"/>
        <v>0</v>
      </c>
      <c r="K38" s="27">
        <f t="shared" si="37"/>
        <v>0</v>
      </c>
      <c r="L38" s="27">
        <f t="shared" si="37"/>
        <v>0</v>
      </c>
      <c r="M38" s="27">
        <f t="shared" si="37"/>
        <v>0</v>
      </c>
      <c r="N38" s="27">
        <f t="shared" si="37"/>
        <v>0</v>
      </c>
      <c r="O38" s="27">
        <f t="shared" si="37"/>
        <v>0</v>
      </c>
      <c r="P38" s="27">
        <f t="shared" si="37"/>
        <v>212348.64400000003</v>
      </c>
      <c r="Q38" s="27">
        <f t="shared" si="37"/>
        <v>211377.14899999998</v>
      </c>
      <c r="R38" s="27">
        <f t="shared" si="37"/>
        <v>213340.36199999996</v>
      </c>
      <c r="S38" s="27">
        <f t="shared" si="37"/>
        <v>235257.323</v>
      </c>
      <c r="T38" s="27">
        <f t="shared" si="37"/>
        <v>257006.11300000001</v>
      </c>
      <c r="U38" s="27">
        <f t="shared" si="37"/>
        <v>260047.57800000001</v>
      </c>
      <c r="V38" s="27">
        <f t="shared" si="37"/>
        <v>259293.95300000001</v>
      </c>
      <c r="W38" s="27">
        <f t="shared" si="37"/>
        <v>254337.17699999997</v>
      </c>
      <c r="X38" s="27">
        <f t="shared" si="37"/>
        <v>253462.88</v>
      </c>
      <c r="Y38" s="27">
        <f t="shared" si="37"/>
        <v>260915.99</v>
      </c>
      <c r="Z38" s="27">
        <f t="shared" si="37"/>
        <v>270026.04099999997</v>
      </c>
      <c r="AA38" s="27">
        <f t="shared" ref="AA38:AB38" si="38">SUM(AA40:AA51)</f>
        <v>313034.92800000001</v>
      </c>
      <c r="AB38" s="27">
        <f t="shared" si="38"/>
        <v>295531.55299999996</v>
      </c>
      <c r="AC38" s="27">
        <f t="shared" ref="AC38" si="39">SUM(AC40:AC51)</f>
        <v>288262.701</v>
      </c>
      <c r="AD38" s="27">
        <f t="shared" ref="AD38:AE38" si="40">SUM(AD40:AD51)</f>
        <v>284419.02299999999</v>
      </c>
      <c r="AE38" s="27">
        <f t="shared" si="40"/>
        <v>272687.37899999996</v>
      </c>
      <c r="AF38" s="27">
        <f t="shared" ref="AF38:AG38" si="41">SUM(AF40:AF51)</f>
        <v>261038.61700000003</v>
      </c>
      <c r="AG38" s="27">
        <f t="shared" si="41"/>
        <v>251814.97</v>
      </c>
      <c r="AH38" s="107">
        <f t="shared" si="37"/>
        <v>0</v>
      </c>
      <c r="AI38" s="27">
        <f t="shared" si="37"/>
        <v>0</v>
      </c>
      <c r="AJ38" s="27">
        <f t="shared" si="37"/>
        <v>0</v>
      </c>
      <c r="AK38" s="27">
        <f t="shared" si="37"/>
        <v>0</v>
      </c>
      <c r="AL38" s="27">
        <f t="shared" si="37"/>
        <v>0</v>
      </c>
      <c r="AM38" s="27">
        <f t="shared" si="37"/>
        <v>0</v>
      </c>
      <c r="AN38" s="27">
        <f t="shared" si="37"/>
        <v>0</v>
      </c>
      <c r="AO38" s="27">
        <f t="shared" si="37"/>
        <v>0</v>
      </c>
      <c r="AP38" s="27">
        <f t="shared" si="37"/>
        <v>0</v>
      </c>
      <c r="AQ38" s="27">
        <f t="shared" si="37"/>
        <v>0</v>
      </c>
      <c r="AR38" s="27">
        <f t="shared" si="37"/>
        <v>0</v>
      </c>
      <c r="AS38" s="27">
        <f t="shared" si="37"/>
        <v>0</v>
      </c>
      <c r="AT38" s="27">
        <f t="shared" si="37"/>
        <v>0</v>
      </c>
      <c r="AU38" s="27">
        <f t="shared" si="37"/>
        <v>0</v>
      </c>
      <c r="AV38" s="27">
        <f t="shared" si="37"/>
        <v>183400</v>
      </c>
      <c r="AW38" s="27">
        <f t="shared" si="37"/>
        <v>174115</v>
      </c>
      <c r="AX38" s="27">
        <f t="shared" si="37"/>
        <v>170640</v>
      </c>
      <c r="AY38" s="27">
        <f t="shared" si="37"/>
        <v>180238</v>
      </c>
      <c r="AZ38" s="27">
        <f t="shared" si="37"/>
        <v>186401</v>
      </c>
      <c r="BA38" s="27">
        <f t="shared" si="37"/>
        <v>184972</v>
      </c>
      <c r="BB38" s="27">
        <f t="shared" si="37"/>
        <v>204474</v>
      </c>
      <c r="BC38" s="27">
        <f t="shared" si="37"/>
        <v>177360</v>
      </c>
      <c r="BD38" s="27">
        <f t="shared" si="37"/>
        <v>173394</v>
      </c>
      <c r="BE38" s="27">
        <f t="shared" si="37"/>
        <v>170266</v>
      </c>
      <c r="BF38" s="27">
        <f t="shared" si="37"/>
        <v>169861</v>
      </c>
      <c r="BG38" s="27">
        <f t="shared" si="37"/>
        <v>188683</v>
      </c>
      <c r="BH38" s="27">
        <f t="shared" ref="BH38:BI38" si="42">SUM(BH40:BH51)</f>
        <v>182766</v>
      </c>
      <c r="BI38" s="27">
        <f t="shared" si="42"/>
        <v>177130</v>
      </c>
      <c r="BJ38" s="27">
        <f t="shared" ref="BJ38:BK38" si="43">SUM(BJ40:BJ51)</f>
        <v>174482</v>
      </c>
      <c r="BK38" s="27">
        <f t="shared" si="43"/>
        <v>168689</v>
      </c>
      <c r="BL38" s="27">
        <f t="shared" ref="BL38:BM38" si="44">SUM(BL40:BL51)</f>
        <v>159890</v>
      </c>
      <c r="BM38" s="27">
        <f t="shared" si="44"/>
        <v>153409</v>
      </c>
    </row>
    <row r="39" spans="1:65">
      <c r="A39" s="30" t="s">
        <v>215</v>
      </c>
      <c r="B39" s="31">
        <f t="shared" ref="B39:BG39" si="45">(B38/B4)*100</f>
        <v>0</v>
      </c>
      <c r="C39" s="31">
        <f t="shared" si="45"/>
        <v>0</v>
      </c>
      <c r="D39" s="31">
        <f t="shared" si="45"/>
        <v>0</v>
      </c>
      <c r="E39" s="31">
        <f t="shared" si="45"/>
        <v>0</v>
      </c>
      <c r="F39" s="31">
        <f t="shared" si="45"/>
        <v>0</v>
      </c>
      <c r="G39" s="31">
        <f t="shared" si="45"/>
        <v>0</v>
      </c>
      <c r="H39" s="31">
        <f t="shared" si="45"/>
        <v>0</v>
      </c>
      <c r="I39" s="31">
        <f t="shared" si="45"/>
        <v>0</v>
      </c>
      <c r="J39" s="31">
        <f t="shared" si="45"/>
        <v>0</v>
      </c>
      <c r="K39" s="31">
        <f t="shared" si="45"/>
        <v>0</v>
      </c>
      <c r="L39" s="31">
        <f t="shared" si="45"/>
        <v>0</v>
      </c>
      <c r="M39" s="31">
        <f t="shared" si="45"/>
        <v>0</v>
      </c>
      <c r="N39" s="31">
        <f t="shared" si="45"/>
        <v>0</v>
      </c>
      <c r="O39" s="31">
        <f t="shared" si="45"/>
        <v>0</v>
      </c>
      <c r="P39" s="31">
        <f t="shared" si="45"/>
        <v>23.652563918880816</v>
      </c>
      <c r="Q39" s="31">
        <f t="shared" si="45"/>
        <v>23.450297011425235</v>
      </c>
      <c r="R39" s="31">
        <f t="shared" si="45"/>
        <v>23.105458730741841</v>
      </c>
      <c r="S39" s="31">
        <f t="shared" si="45"/>
        <v>23.179959326975162</v>
      </c>
      <c r="T39" s="31">
        <f t="shared" si="45"/>
        <v>23.816224684963093</v>
      </c>
      <c r="U39" s="31">
        <f t="shared" si="45"/>
        <v>23.895753551070001</v>
      </c>
      <c r="V39" s="31">
        <f t="shared" si="45"/>
        <v>24.353170597958183</v>
      </c>
      <c r="W39" s="31">
        <f t="shared" si="45"/>
        <v>24.613233946532141</v>
      </c>
      <c r="X39" s="31">
        <f t="shared" si="45"/>
        <v>24.735303566975372</v>
      </c>
      <c r="Y39" s="31">
        <f t="shared" si="45"/>
        <v>24.975277306918528</v>
      </c>
      <c r="Z39" s="31">
        <f t="shared" si="45"/>
        <v>24.666099533846907</v>
      </c>
      <c r="AA39" s="31">
        <f t="shared" ref="AA39:AB39" si="46">(AA38/AA4)*100</f>
        <v>25.514031024571683</v>
      </c>
      <c r="AB39" s="31">
        <f t="shared" si="46"/>
        <v>25.080021358021394</v>
      </c>
      <c r="AC39" s="31">
        <f t="shared" ref="AC39" si="47">(AC38/AC4)*100</f>
        <v>24.917924448765717</v>
      </c>
      <c r="AD39" s="31">
        <f t="shared" ref="AD39" si="48">(AD38/AD4)*100</f>
        <v>24.903407879865462</v>
      </c>
      <c r="AE39" s="31">
        <f>(AE38/AE4)*100</f>
        <v>24.748052506987158</v>
      </c>
      <c r="AF39" s="31">
        <f>(AF38/AF4)*100</f>
        <v>24.140220999530445</v>
      </c>
      <c r="AG39" s="31">
        <f>(AG38/AG4)*100</f>
        <v>23.379809290664461</v>
      </c>
      <c r="AH39" s="108">
        <f t="shared" si="45"/>
        <v>0</v>
      </c>
      <c r="AI39" s="31">
        <f t="shared" si="45"/>
        <v>0</v>
      </c>
      <c r="AJ39" s="31">
        <f t="shared" si="45"/>
        <v>0</v>
      </c>
      <c r="AK39" s="31">
        <f t="shared" si="45"/>
        <v>0</v>
      </c>
      <c r="AL39" s="31">
        <f t="shared" si="45"/>
        <v>0</v>
      </c>
      <c r="AM39" s="31">
        <f t="shared" si="45"/>
        <v>0</v>
      </c>
      <c r="AN39" s="31">
        <f t="shared" si="45"/>
        <v>0</v>
      </c>
      <c r="AO39" s="31">
        <f t="shared" si="45"/>
        <v>0</v>
      </c>
      <c r="AP39" s="31">
        <f t="shared" si="45"/>
        <v>0</v>
      </c>
      <c r="AQ39" s="31">
        <f t="shared" si="45"/>
        <v>0</v>
      </c>
      <c r="AR39" s="31">
        <f t="shared" si="45"/>
        <v>0</v>
      </c>
      <c r="AS39" s="31">
        <f t="shared" si="45"/>
        <v>0</v>
      </c>
      <c r="AT39" s="31">
        <f t="shared" si="45"/>
        <v>0</v>
      </c>
      <c r="AU39" s="31">
        <f t="shared" si="45"/>
        <v>0</v>
      </c>
      <c r="AV39" s="31">
        <f t="shared" si="45"/>
        <v>25.535173518047966</v>
      </c>
      <c r="AW39" s="31">
        <f t="shared" si="45"/>
        <v>24.567183553680529</v>
      </c>
      <c r="AX39" s="31">
        <f t="shared" si="45"/>
        <v>21.092524539342676</v>
      </c>
      <c r="AY39" s="31">
        <f t="shared" si="45"/>
        <v>24.975680866454006</v>
      </c>
      <c r="AZ39" s="31">
        <f t="shared" si="45"/>
        <v>25.223580673752867</v>
      </c>
      <c r="BA39" s="31">
        <f t="shared" si="45"/>
        <v>24.855280060629191</v>
      </c>
      <c r="BB39" s="31">
        <f t="shared" si="45"/>
        <v>25.81761983045326</v>
      </c>
      <c r="BC39" s="31">
        <f t="shared" si="45"/>
        <v>25.594883332299105</v>
      </c>
      <c r="BD39" s="31">
        <f t="shared" si="45"/>
        <v>25.629943431841056</v>
      </c>
      <c r="BE39" s="31">
        <f t="shared" si="45"/>
        <v>25.038270764371205</v>
      </c>
      <c r="BF39" s="31">
        <f t="shared" si="45"/>
        <v>25.645318843446109</v>
      </c>
      <c r="BG39" s="31">
        <f t="shared" si="45"/>
        <v>26.3229264468102</v>
      </c>
      <c r="BH39" s="31">
        <f t="shared" ref="BH39:BI39" si="49">(BH38/BH4)*100</f>
        <v>26.035376521921222</v>
      </c>
      <c r="BI39" s="31">
        <f t="shared" si="49"/>
        <v>25.73714777246461</v>
      </c>
      <c r="BJ39" s="31">
        <f t="shared" ref="BJ39:BK39" si="50">(BJ38/BJ4)*100</f>
        <v>25.804877255201809</v>
      </c>
      <c r="BK39" s="31">
        <f t="shared" si="50"/>
        <v>25.764587648075853</v>
      </c>
      <c r="BL39" s="31">
        <f t="shared" ref="BL39:BM39" si="51">(BL38/BL4)*100</f>
        <v>25.163795233531161</v>
      </c>
      <c r="BM39" s="31">
        <f t="shared" si="51"/>
        <v>24.801911607551368</v>
      </c>
    </row>
    <row r="40" spans="1:65">
      <c r="A40" s="42" t="s">
        <v>150</v>
      </c>
      <c r="B40" s="28"/>
      <c r="C40" s="28"/>
      <c r="D40" s="28"/>
      <c r="E40" s="28"/>
      <c r="F40" s="28"/>
      <c r="G40" s="28"/>
      <c r="H40" s="28"/>
      <c r="I40" s="28"/>
      <c r="J40" s="28"/>
      <c r="K40" s="28"/>
      <c r="L40" s="28"/>
      <c r="M40" s="28"/>
      <c r="N40" s="28"/>
      <c r="O40" s="28"/>
      <c r="P40" s="28">
        <v>37818.413999999997</v>
      </c>
      <c r="Q40" s="28">
        <v>40911.262999999999</v>
      </c>
      <c r="R40" s="28">
        <v>41765.089999999997</v>
      </c>
      <c r="S40" s="28">
        <v>45153.042999999998</v>
      </c>
      <c r="T40" s="28">
        <v>51207.235999999997</v>
      </c>
      <c r="U40" s="28">
        <v>54679.067999999999</v>
      </c>
      <c r="V40" s="28">
        <v>56255.374000000003</v>
      </c>
      <c r="W40" s="28">
        <v>55817.264999999999</v>
      </c>
      <c r="X40" s="28">
        <v>54816.482000000004</v>
      </c>
      <c r="Y40" s="28">
        <v>58813.324000000001</v>
      </c>
      <c r="Z40" s="28">
        <v>62137.633000000002</v>
      </c>
      <c r="AA40" s="28">
        <v>68923.497000000003</v>
      </c>
      <c r="AB40" s="28">
        <v>64515.743000000002</v>
      </c>
      <c r="AC40" s="28">
        <v>63312.021000000001</v>
      </c>
      <c r="AD40" s="28">
        <v>62524.345999999998</v>
      </c>
      <c r="AE40" s="28">
        <v>56941.247000000003</v>
      </c>
      <c r="AF40" s="28">
        <v>55728.171000000002</v>
      </c>
      <c r="AG40" s="28">
        <v>53335.267</v>
      </c>
      <c r="AH40" s="109"/>
      <c r="AI40" s="28"/>
      <c r="AJ40" s="28"/>
      <c r="AK40" s="28"/>
      <c r="AL40" s="28"/>
      <c r="AM40" s="28"/>
      <c r="AN40" s="28"/>
      <c r="AO40" s="28"/>
      <c r="AP40" s="28"/>
      <c r="AQ40" s="28"/>
      <c r="AR40" s="28"/>
      <c r="AS40" s="28"/>
      <c r="AT40" s="28"/>
      <c r="AU40" s="28"/>
      <c r="AV40" s="28">
        <v>29637</v>
      </c>
      <c r="AW40" s="28">
        <v>30004</v>
      </c>
      <c r="AX40" s="28">
        <v>30441</v>
      </c>
      <c r="AY40" s="28">
        <v>33282</v>
      </c>
      <c r="AZ40" s="28">
        <v>32980</v>
      </c>
      <c r="BA40" s="28">
        <v>33302</v>
      </c>
      <c r="BB40" s="28">
        <v>32912</v>
      </c>
      <c r="BC40" s="28">
        <v>33469</v>
      </c>
      <c r="BD40" s="28">
        <v>31485</v>
      </c>
      <c r="BE40" s="28">
        <v>31724</v>
      </c>
      <c r="BF40" s="28">
        <v>31427</v>
      </c>
      <c r="BG40" s="28">
        <v>35027</v>
      </c>
      <c r="BH40" s="28">
        <v>33836</v>
      </c>
      <c r="BI40" s="28">
        <v>32647</v>
      </c>
      <c r="BJ40" s="62">
        <v>32705</v>
      </c>
      <c r="BK40" s="62">
        <v>29935</v>
      </c>
      <c r="BL40" s="62">
        <v>29805</v>
      </c>
      <c r="BM40" s="62">
        <v>28189</v>
      </c>
    </row>
    <row r="41" spans="1:65">
      <c r="A41" s="42" t="s">
        <v>151</v>
      </c>
      <c r="B41" s="28"/>
      <c r="C41" s="28"/>
      <c r="D41" s="28"/>
      <c r="E41" s="28"/>
      <c r="F41" s="28"/>
      <c r="G41" s="28"/>
      <c r="H41" s="28"/>
      <c r="I41" s="28"/>
      <c r="J41" s="28"/>
      <c r="K41" s="28"/>
      <c r="L41" s="28"/>
      <c r="M41" s="28"/>
      <c r="N41" s="28"/>
      <c r="O41" s="28"/>
      <c r="P41" s="28">
        <v>18138.383000000002</v>
      </c>
      <c r="Q41" s="28">
        <v>17361.739000000001</v>
      </c>
      <c r="R41" s="28">
        <v>17740.196</v>
      </c>
      <c r="S41" s="28">
        <v>18846.758000000002</v>
      </c>
      <c r="T41" s="28">
        <v>20090.833999999999</v>
      </c>
      <c r="U41" s="28">
        <v>21638.962</v>
      </c>
      <c r="V41" s="28">
        <v>20308.046999999999</v>
      </c>
      <c r="W41" s="28">
        <v>19675.776000000002</v>
      </c>
      <c r="X41" s="28">
        <v>19484.503000000001</v>
      </c>
      <c r="Y41" s="28">
        <v>19171.977999999999</v>
      </c>
      <c r="Z41" s="28">
        <v>20382.876</v>
      </c>
      <c r="AA41" s="28">
        <v>25790.385999999999</v>
      </c>
      <c r="AB41" s="28">
        <v>28964.716</v>
      </c>
      <c r="AC41" s="28">
        <v>23360.06</v>
      </c>
      <c r="AD41" s="28">
        <v>24213.784</v>
      </c>
      <c r="AE41" s="28">
        <v>26076.639999999999</v>
      </c>
      <c r="AF41" s="28">
        <v>23496.819</v>
      </c>
      <c r="AG41" s="28">
        <v>19547.585999999999</v>
      </c>
      <c r="AH41" s="109"/>
      <c r="AI41" s="28"/>
      <c r="AJ41" s="28"/>
      <c r="AK41" s="28"/>
      <c r="AL41" s="28"/>
      <c r="AM41" s="28"/>
      <c r="AN41" s="28"/>
      <c r="AO41" s="28"/>
      <c r="AP41" s="28"/>
      <c r="AQ41" s="28"/>
      <c r="AR41" s="28"/>
      <c r="AS41" s="28"/>
      <c r="AT41" s="28"/>
      <c r="AU41" s="28"/>
      <c r="AV41" s="28">
        <v>15935</v>
      </c>
      <c r="AW41" s="28">
        <v>14701</v>
      </c>
      <c r="AX41" s="28">
        <v>14886</v>
      </c>
      <c r="AY41" s="28">
        <v>15343</v>
      </c>
      <c r="AZ41" s="28">
        <v>15818</v>
      </c>
      <c r="BA41" s="28">
        <v>16159</v>
      </c>
      <c r="BB41" s="28">
        <v>15780</v>
      </c>
      <c r="BC41" s="28">
        <v>15266</v>
      </c>
      <c r="BD41" s="28">
        <v>15482</v>
      </c>
      <c r="BE41" s="28">
        <v>14809</v>
      </c>
      <c r="BF41" s="28">
        <v>14383</v>
      </c>
      <c r="BG41" s="28">
        <v>16689</v>
      </c>
      <c r="BH41" s="28">
        <v>17124</v>
      </c>
      <c r="BI41" s="28">
        <v>15073</v>
      </c>
      <c r="BJ41" s="62">
        <v>15767</v>
      </c>
      <c r="BK41" s="62">
        <v>15773</v>
      </c>
      <c r="BL41" s="62">
        <v>15026</v>
      </c>
      <c r="BM41" s="62">
        <v>13520</v>
      </c>
    </row>
    <row r="42" spans="1:65">
      <c r="A42" s="42" t="s">
        <v>152</v>
      </c>
      <c r="B42" s="28"/>
      <c r="C42" s="28"/>
      <c r="D42" s="28"/>
      <c r="E42" s="28"/>
      <c r="F42" s="28"/>
      <c r="G42" s="28"/>
      <c r="H42" s="28"/>
      <c r="I42" s="28"/>
      <c r="J42" s="28"/>
      <c r="K42" s="28"/>
      <c r="L42" s="28"/>
      <c r="M42" s="28"/>
      <c r="N42" s="28"/>
      <c r="O42" s="28"/>
      <c r="P42" s="28">
        <v>15595.382</v>
      </c>
      <c r="Q42" s="28">
        <v>15461.409</v>
      </c>
      <c r="R42" s="28">
        <v>15524.839</v>
      </c>
      <c r="S42" s="28">
        <v>17680.421999999999</v>
      </c>
      <c r="T42" s="28">
        <v>18873.981</v>
      </c>
      <c r="U42" s="28">
        <v>18382.444</v>
      </c>
      <c r="V42" s="28">
        <v>18479.719000000001</v>
      </c>
      <c r="W42" s="28">
        <v>16566.338</v>
      </c>
      <c r="X42" s="28">
        <v>16892.401999999998</v>
      </c>
      <c r="Y42" s="28">
        <v>17868.171999999999</v>
      </c>
      <c r="Z42" s="28">
        <v>17210.946</v>
      </c>
      <c r="AA42" s="28">
        <v>20247.576000000001</v>
      </c>
      <c r="AB42" s="28">
        <v>19790.68</v>
      </c>
      <c r="AC42" s="28">
        <v>19113.920999999998</v>
      </c>
      <c r="AD42" s="28">
        <v>18758.100999999999</v>
      </c>
      <c r="AE42" s="28">
        <v>18319.553</v>
      </c>
      <c r="AF42" s="28">
        <v>18498.752</v>
      </c>
      <c r="AG42" s="28">
        <v>16670.559000000001</v>
      </c>
      <c r="AH42" s="109"/>
      <c r="AI42" s="28"/>
      <c r="AJ42" s="28"/>
      <c r="AK42" s="28"/>
      <c r="AL42" s="28"/>
      <c r="AM42" s="28"/>
      <c r="AN42" s="28"/>
      <c r="AO42" s="28"/>
      <c r="AP42" s="28"/>
      <c r="AQ42" s="28"/>
      <c r="AR42" s="28"/>
      <c r="AS42" s="28"/>
      <c r="AT42" s="28"/>
      <c r="AU42" s="28"/>
      <c r="AV42" s="28">
        <v>15539</v>
      </c>
      <c r="AW42" s="28">
        <v>14960</v>
      </c>
      <c r="AX42" s="28">
        <v>14587</v>
      </c>
      <c r="AY42" s="28">
        <v>15319</v>
      </c>
      <c r="AZ42" s="28">
        <v>15752</v>
      </c>
      <c r="BA42" s="28">
        <v>15834</v>
      </c>
      <c r="BB42" s="28">
        <v>16187</v>
      </c>
      <c r="BC42" s="28">
        <v>15167</v>
      </c>
      <c r="BD42" s="28">
        <v>14992</v>
      </c>
      <c r="BE42" s="28">
        <v>14998</v>
      </c>
      <c r="BF42" s="28">
        <v>14585</v>
      </c>
      <c r="BG42" s="28">
        <v>15751</v>
      </c>
      <c r="BH42" s="28">
        <v>15256</v>
      </c>
      <c r="BI42" s="28">
        <v>15260</v>
      </c>
      <c r="BJ42" s="62">
        <v>14757</v>
      </c>
      <c r="BK42" s="62">
        <v>15375</v>
      </c>
      <c r="BL42" s="62">
        <v>14791</v>
      </c>
      <c r="BM42" s="62">
        <v>13636</v>
      </c>
    </row>
    <row r="43" spans="1:65">
      <c r="A43" s="42" t="s">
        <v>153</v>
      </c>
      <c r="B43" s="28"/>
      <c r="C43" s="28"/>
      <c r="D43" s="28"/>
      <c r="E43" s="28"/>
      <c r="F43" s="28"/>
      <c r="G43" s="28"/>
      <c r="H43" s="28"/>
      <c r="I43" s="28"/>
      <c r="J43" s="28"/>
      <c r="K43" s="28"/>
      <c r="L43" s="28"/>
      <c r="M43" s="28"/>
      <c r="N43" s="28"/>
      <c r="O43" s="28"/>
      <c r="P43" s="28">
        <v>8523.7039999999997</v>
      </c>
      <c r="Q43" s="28">
        <v>8473.3330000000005</v>
      </c>
      <c r="R43" s="28">
        <v>8472.3770000000004</v>
      </c>
      <c r="S43" s="28">
        <v>8611.6509999999998</v>
      </c>
      <c r="T43" s="28">
        <v>9103.7099999999991</v>
      </c>
      <c r="U43" s="28">
        <v>8446.1560000000009</v>
      </c>
      <c r="V43" s="28">
        <v>8458.598</v>
      </c>
      <c r="W43" s="28">
        <v>8425.0849999999991</v>
      </c>
      <c r="X43" s="28">
        <v>8543.3909999999996</v>
      </c>
      <c r="Y43" s="28">
        <v>8934.33</v>
      </c>
      <c r="Z43" s="28">
        <v>8907.5779999999995</v>
      </c>
      <c r="AA43" s="28">
        <v>10109.92</v>
      </c>
      <c r="AB43" s="28">
        <v>9359.3240000000005</v>
      </c>
      <c r="AC43" s="28">
        <v>9149.0239999999994</v>
      </c>
      <c r="AD43" s="28">
        <v>9230.8439999999991</v>
      </c>
      <c r="AE43" s="28">
        <v>9009.7340000000004</v>
      </c>
      <c r="AF43" s="28">
        <v>9216.8359999999993</v>
      </c>
      <c r="AG43" s="28">
        <v>9304.08</v>
      </c>
      <c r="AH43" s="109"/>
      <c r="AI43" s="28"/>
      <c r="AJ43" s="28"/>
      <c r="AK43" s="28"/>
      <c r="AL43" s="28"/>
      <c r="AM43" s="28"/>
      <c r="AN43" s="28"/>
      <c r="AO43" s="28"/>
      <c r="AP43" s="28"/>
      <c r="AQ43" s="28"/>
      <c r="AR43" s="28"/>
      <c r="AS43" s="28"/>
      <c r="AT43" s="28"/>
      <c r="AU43" s="28"/>
      <c r="AV43" s="28">
        <v>7519</v>
      </c>
      <c r="AW43" s="28">
        <v>7799</v>
      </c>
      <c r="AX43" s="28">
        <v>7323</v>
      </c>
      <c r="AY43" s="28">
        <v>7477</v>
      </c>
      <c r="AZ43" s="28">
        <v>7820</v>
      </c>
      <c r="BA43" s="28">
        <v>7286</v>
      </c>
      <c r="BB43" s="28">
        <v>7085</v>
      </c>
      <c r="BC43" s="28">
        <v>6909</v>
      </c>
      <c r="BD43" s="28">
        <v>6909</v>
      </c>
      <c r="BE43" s="28">
        <v>6670</v>
      </c>
      <c r="BF43" s="28">
        <v>6258</v>
      </c>
      <c r="BG43" s="28">
        <v>6824</v>
      </c>
      <c r="BH43" s="28">
        <v>6316</v>
      </c>
      <c r="BI43" s="28">
        <v>6168</v>
      </c>
      <c r="BJ43" s="62">
        <v>6293</v>
      </c>
      <c r="BK43" s="62">
        <v>6151</v>
      </c>
      <c r="BL43" s="62">
        <v>6014</v>
      </c>
      <c r="BM43" s="62">
        <v>6040</v>
      </c>
    </row>
    <row r="44" spans="1:65">
      <c r="A44" s="42" t="s">
        <v>156</v>
      </c>
      <c r="B44" s="28"/>
      <c r="C44" s="28"/>
      <c r="D44" s="28"/>
      <c r="E44" s="28"/>
      <c r="F44" s="28"/>
      <c r="G44" s="28"/>
      <c r="H44" s="28"/>
      <c r="I44" s="28"/>
      <c r="J44" s="28"/>
      <c r="K44" s="28"/>
      <c r="L44" s="28"/>
      <c r="M44" s="28"/>
      <c r="N44" s="28"/>
      <c r="O44" s="28"/>
      <c r="P44" s="28">
        <v>25988.050999999999</v>
      </c>
      <c r="Q44" s="28">
        <v>25556.162</v>
      </c>
      <c r="R44" s="28">
        <v>24905.276999999998</v>
      </c>
      <c r="S44" s="28">
        <v>28611.167000000001</v>
      </c>
      <c r="T44" s="28">
        <v>29845.615000000002</v>
      </c>
      <c r="U44" s="28">
        <v>30828.431</v>
      </c>
      <c r="V44" s="28">
        <v>30406.721000000001</v>
      </c>
      <c r="W44" s="28">
        <v>29677.834999999999</v>
      </c>
      <c r="X44" s="28">
        <v>31404.702000000001</v>
      </c>
      <c r="Y44" s="28">
        <v>31663.138999999999</v>
      </c>
      <c r="Z44" s="28">
        <v>33581.389000000003</v>
      </c>
      <c r="AA44" s="28">
        <v>42848.85</v>
      </c>
      <c r="AB44" s="28">
        <v>39124.752999999997</v>
      </c>
      <c r="AC44" s="28">
        <v>38992.095000000001</v>
      </c>
      <c r="AD44" s="28">
        <v>37494.589</v>
      </c>
      <c r="AE44" s="28">
        <v>35710.392999999996</v>
      </c>
      <c r="AF44" s="28">
        <v>34282.402000000002</v>
      </c>
      <c r="AG44" s="28">
        <v>33668.027000000002</v>
      </c>
      <c r="AH44" s="109"/>
      <c r="AI44" s="28"/>
      <c r="AJ44" s="28"/>
      <c r="AK44" s="28"/>
      <c r="AL44" s="28"/>
      <c r="AM44" s="28"/>
      <c r="AN44" s="28"/>
      <c r="AO44" s="28"/>
      <c r="AP44" s="28"/>
      <c r="AQ44" s="28"/>
      <c r="AR44" s="28"/>
      <c r="AS44" s="28"/>
      <c r="AT44" s="28"/>
      <c r="AU44" s="28"/>
      <c r="AV44" s="28">
        <v>20926</v>
      </c>
      <c r="AW44" s="28">
        <v>20232</v>
      </c>
      <c r="AX44" s="28">
        <v>18844</v>
      </c>
      <c r="AY44" s="28">
        <v>20140</v>
      </c>
      <c r="AZ44" s="28">
        <v>21080</v>
      </c>
      <c r="BA44" s="28">
        <v>20709</v>
      </c>
      <c r="BB44" s="28">
        <v>19463</v>
      </c>
      <c r="BC44" s="28">
        <v>19841</v>
      </c>
      <c r="BD44" s="28">
        <v>19448</v>
      </c>
      <c r="BE44" s="28">
        <v>18561</v>
      </c>
      <c r="BF44" s="28">
        <v>20669</v>
      </c>
      <c r="BG44" s="28">
        <v>25049</v>
      </c>
      <c r="BH44" s="28">
        <v>23372</v>
      </c>
      <c r="BI44" s="28">
        <v>23366</v>
      </c>
      <c r="BJ44" s="62">
        <v>22491</v>
      </c>
      <c r="BK44" s="62">
        <v>21703</v>
      </c>
      <c r="BL44" s="62">
        <v>19856</v>
      </c>
      <c r="BM44" s="62">
        <v>19450</v>
      </c>
    </row>
    <row r="45" spans="1:65">
      <c r="A45" s="42" t="s">
        <v>157</v>
      </c>
      <c r="B45" s="28"/>
      <c r="C45" s="28"/>
      <c r="D45" s="28"/>
      <c r="E45" s="28"/>
      <c r="F45" s="28"/>
      <c r="G45" s="28"/>
      <c r="H45" s="28"/>
      <c r="I45" s="28"/>
      <c r="J45" s="28"/>
      <c r="K45" s="28"/>
      <c r="L45" s="28"/>
      <c r="M45" s="28"/>
      <c r="N45" s="28"/>
      <c r="O45" s="28"/>
      <c r="P45" s="28">
        <v>18577.243999999999</v>
      </c>
      <c r="Q45" s="28">
        <v>18197.938999999998</v>
      </c>
      <c r="R45" s="28">
        <v>17608.215</v>
      </c>
      <c r="S45" s="28">
        <v>20668.653999999999</v>
      </c>
      <c r="T45" s="28">
        <v>25552.175999999999</v>
      </c>
      <c r="U45" s="28">
        <v>20317.264999999999</v>
      </c>
      <c r="V45" s="28">
        <v>21869.339</v>
      </c>
      <c r="W45" s="28">
        <v>21403.348999999998</v>
      </c>
      <c r="X45" s="28">
        <v>20218.116000000002</v>
      </c>
      <c r="Y45" s="28">
        <v>22562.93</v>
      </c>
      <c r="Z45" s="28">
        <v>22547.814999999999</v>
      </c>
      <c r="AA45" s="28">
        <v>26110.133999999998</v>
      </c>
      <c r="AB45" s="28">
        <v>24573.031999999999</v>
      </c>
      <c r="AC45" s="28">
        <v>25761.064999999999</v>
      </c>
      <c r="AD45" s="28">
        <v>25902.718000000001</v>
      </c>
      <c r="AE45" s="28">
        <v>24521.442999999999</v>
      </c>
      <c r="AF45" s="28">
        <v>23746.964</v>
      </c>
      <c r="AG45" s="28">
        <v>24629.924999999999</v>
      </c>
      <c r="AH45" s="109"/>
      <c r="AI45" s="28"/>
      <c r="AJ45" s="28"/>
      <c r="AK45" s="28"/>
      <c r="AL45" s="28"/>
      <c r="AM45" s="28"/>
      <c r="AN45" s="28"/>
      <c r="AO45" s="28"/>
      <c r="AP45" s="28"/>
      <c r="AQ45" s="28"/>
      <c r="AR45" s="28"/>
      <c r="AS45" s="28"/>
      <c r="AT45" s="28"/>
      <c r="AU45" s="28"/>
      <c r="AV45" s="28">
        <v>17759</v>
      </c>
      <c r="AW45" s="28">
        <v>14427</v>
      </c>
      <c r="AX45" s="28">
        <v>13155</v>
      </c>
      <c r="AY45" s="28">
        <v>14235</v>
      </c>
      <c r="AZ45" s="28">
        <v>17689</v>
      </c>
      <c r="BA45" s="28">
        <v>13767</v>
      </c>
      <c r="BB45" s="28">
        <v>14246</v>
      </c>
      <c r="BC45" s="28">
        <v>13779</v>
      </c>
      <c r="BD45" s="28">
        <v>13195</v>
      </c>
      <c r="BE45" s="28">
        <v>14311</v>
      </c>
      <c r="BF45" s="28">
        <v>13976</v>
      </c>
      <c r="BG45" s="28">
        <v>15577</v>
      </c>
      <c r="BH45" s="28">
        <v>15026</v>
      </c>
      <c r="BI45" s="28">
        <v>15260</v>
      </c>
      <c r="BJ45" s="62">
        <v>15077</v>
      </c>
      <c r="BK45" s="62">
        <v>14247</v>
      </c>
      <c r="BL45" s="62">
        <v>13079</v>
      </c>
      <c r="BM45" s="62">
        <v>12846</v>
      </c>
    </row>
    <row r="46" spans="1:65">
      <c r="A46" s="42" t="s">
        <v>158</v>
      </c>
      <c r="B46" s="28"/>
      <c r="C46" s="28"/>
      <c r="D46" s="28"/>
      <c r="E46" s="28"/>
      <c r="F46" s="28"/>
      <c r="G46" s="28"/>
      <c r="H46" s="28"/>
      <c r="I46" s="28"/>
      <c r="J46" s="28"/>
      <c r="K46" s="28"/>
      <c r="L46" s="28"/>
      <c r="M46" s="28"/>
      <c r="N46" s="28"/>
      <c r="O46" s="28"/>
      <c r="P46" s="28">
        <v>19560.710999999999</v>
      </c>
      <c r="Q46" s="28">
        <v>19163.883999999998</v>
      </c>
      <c r="R46" s="28">
        <v>19169.023000000001</v>
      </c>
      <c r="S46" s="28">
        <v>22606.960999999999</v>
      </c>
      <c r="T46" s="28">
        <v>25880.751</v>
      </c>
      <c r="U46" s="28">
        <v>24625.806</v>
      </c>
      <c r="V46" s="28">
        <v>24496.985000000001</v>
      </c>
      <c r="W46" s="28">
        <v>23742.473999999998</v>
      </c>
      <c r="X46" s="28">
        <v>23594.225999999999</v>
      </c>
      <c r="Y46" s="28">
        <v>24243.385999999999</v>
      </c>
      <c r="Z46" s="28">
        <v>25784.59</v>
      </c>
      <c r="AA46" s="28">
        <v>28165.074000000001</v>
      </c>
      <c r="AB46" s="28">
        <v>26226.828000000001</v>
      </c>
      <c r="AC46" s="28">
        <v>26220.766</v>
      </c>
      <c r="AD46" s="28">
        <v>25673.856</v>
      </c>
      <c r="AE46" s="28">
        <v>24877.289000000001</v>
      </c>
      <c r="AF46" s="28">
        <v>21762.17</v>
      </c>
      <c r="AG46" s="28">
        <v>21336.223999999998</v>
      </c>
      <c r="AH46" s="109"/>
      <c r="AI46" s="28"/>
      <c r="AJ46" s="28"/>
      <c r="AK46" s="28"/>
      <c r="AL46" s="28"/>
      <c r="AM46" s="28"/>
      <c r="AN46" s="28"/>
      <c r="AO46" s="28"/>
      <c r="AP46" s="28"/>
      <c r="AQ46" s="28"/>
      <c r="AR46" s="28"/>
      <c r="AS46" s="28"/>
      <c r="AT46" s="28"/>
      <c r="AU46" s="28"/>
      <c r="AV46" s="28">
        <v>15172</v>
      </c>
      <c r="AW46" s="28">
        <v>14704</v>
      </c>
      <c r="AX46" s="28">
        <v>14145</v>
      </c>
      <c r="AY46" s="28">
        <v>15656</v>
      </c>
      <c r="AZ46" s="28">
        <v>16274</v>
      </c>
      <c r="BA46" s="28">
        <v>16252</v>
      </c>
      <c r="BB46" s="28">
        <v>16101</v>
      </c>
      <c r="BC46" s="28">
        <v>14943</v>
      </c>
      <c r="BD46" s="28">
        <v>14715</v>
      </c>
      <c r="BE46" s="28">
        <v>14057</v>
      </c>
      <c r="BF46" s="28">
        <v>14226</v>
      </c>
      <c r="BG46" s="28">
        <v>15360</v>
      </c>
      <c r="BH46" s="28">
        <v>15374</v>
      </c>
      <c r="BI46" s="28">
        <v>14710</v>
      </c>
      <c r="BJ46" s="62">
        <v>14475</v>
      </c>
      <c r="BK46" s="62">
        <v>13984</v>
      </c>
      <c r="BL46" s="62">
        <v>13006</v>
      </c>
      <c r="BM46" s="62">
        <v>12575</v>
      </c>
    </row>
    <row r="47" spans="1:65">
      <c r="A47" s="42" t="s">
        <v>160</v>
      </c>
      <c r="B47" s="28"/>
      <c r="C47" s="28"/>
      <c r="D47" s="28"/>
      <c r="E47" s="28"/>
      <c r="F47" s="28"/>
      <c r="G47" s="28"/>
      <c r="H47" s="28"/>
      <c r="I47" s="28"/>
      <c r="J47" s="28"/>
      <c r="K47" s="28"/>
      <c r="L47" s="28"/>
      <c r="M47" s="28"/>
      <c r="N47" s="28"/>
      <c r="O47" s="28"/>
      <c r="P47" s="28">
        <v>5435.01</v>
      </c>
      <c r="Q47" s="28">
        <v>5581.6580000000004</v>
      </c>
      <c r="R47" s="28">
        <v>5594.183</v>
      </c>
      <c r="S47" s="28">
        <v>5956.8860000000004</v>
      </c>
      <c r="T47" s="28">
        <v>6202.2079999999996</v>
      </c>
      <c r="U47" s="28">
        <v>6324.9459999999999</v>
      </c>
      <c r="V47" s="28">
        <v>6229.3360000000002</v>
      </c>
      <c r="W47" s="28">
        <v>5943.982</v>
      </c>
      <c r="X47" s="28">
        <v>5697.5910000000003</v>
      </c>
      <c r="Y47" s="28">
        <v>5660.232</v>
      </c>
      <c r="Z47" s="28">
        <v>5694.7740000000003</v>
      </c>
      <c r="AA47" s="28">
        <v>6230.0619999999999</v>
      </c>
      <c r="AB47" s="28">
        <v>5972.7960000000003</v>
      </c>
      <c r="AC47" s="28">
        <v>6170.152</v>
      </c>
      <c r="AD47" s="28">
        <v>5860.5959999999995</v>
      </c>
      <c r="AE47" s="28">
        <v>5976.7039999999997</v>
      </c>
      <c r="AF47" s="28">
        <v>5606.0240000000003</v>
      </c>
      <c r="AG47" s="28">
        <v>5844.8990000000003</v>
      </c>
      <c r="AH47" s="109"/>
      <c r="AI47" s="28"/>
      <c r="AJ47" s="28"/>
      <c r="AK47" s="28"/>
      <c r="AL47" s="28"/>
      <c r="AM47" s="28"/>
      <c r="AN47" s="28"/>
      <c r="AO47" s="28"/>
      <c r="AP47" s="28"/>
      <c r="AQ47" s="28"/>
      <c r="AR47" s="28"/>
      <c r="AS47" s="28"/>
      <c r="AT47" s="28"/>
      <c r="AU47" s="28"/>
      <c r="AV47" s="28">
        <v>5039</v>
      </c>
      <c r="AW47" s="28">
        <v>5211</v>
      </c>
      <c r="AX47" s="28">
        <v>5006</v>
      </c>
      <c r="AY47" s="28">
        <v>5667</v>
      </c>
      <c r="AZ47" s="28">
        <v>5332</v>
      </c>
      <c r="BA47" s="28">
        <v>5402</v>
      </c>
      <c r="BB47" s="28">
        <v>5303</v>
      </c>
      <c r="BC47" s="28">
        <v>5152</v>
      </c>
      <c r="BD47" s="28">
        <v>4882</v>
      </c>
      <c r="BE47" s="28">
        <v>4650</v>
      </c>
      <c r="BF47" s="28">
        <v>4465</v>
      </c>
      <c r="BG47" s="28">
        <v>4642</v>
      </c>
      <c r="BH47" s="28">
        <v>4447</v>
      </c>
      <c r="BI47" s="28">
        <v>4422</v>
      </c>
      <c r="BJ47" s="62">
        <v>3989</v>
      </c>
      <c r="BK47" s="62">
        <v>4018</v>
      </c>
      <c r="BL47" s="62">
        <v>3827</v>
      </c>
      <c r="BM47" s="62">
        <v>3852</v>
      </c>
    </row>
    <row r="48" spans="1:65">
      <c r="A48" s="42" t="s">
        <v>166</v>
      </c>
      <c r="B48" s="28"/>
      <c r="C48" s="28"/>
      <c r="D48" s="28"/>
      <c r="E48" s="28"/>
      <c r="F48" s="28"/>
      <c r="G48" s="28"/>
      <c r="H48" s="28"/>
      <c r="I48" s="28"/>
      <c r="J48" s="28"/>
      <c r="K48" s="28"/>
      <c r="L48" s="28"/>
      <c r="M48" s="28"/>
      <c r="N48" s="28"/>
      <c r="O48" s="28"/>
      <c r="P48" s="28">
        <v>3685.4589999999998</v>
      </c>
      <c r="Q48" s="28">
        <v>3682.319</v>
      </c>
      <c r="R48" s="28">
        <v>3691.5610000000001</v>
      </c>
      <c r="S48" s="28">
        <v>3779.1819999999998</v>
      </c>
      <c r="T48" s="28">
        <v>3894.5230000000001</v>
      </c>
      <c r="U48" s="28">
        <v>3987.4270000000001</v>
      </c>
      <c r="V48" s="28">
        <v>3608.17</v>
      </c>
      <c r="W48" s="28">
        <v>3435.2150000000001</v>
      </c>
      <c r="X48" s="28">
        <v>3222.2860000000001</v>
      </c>
      <c r="Y48" s="28">
        <v>3075.3710000000001</v>
      </c>
      <c r="Z48" s="28">
        <v>3098.3870000000002</v>
      </c>
      <c r="AA48" s="28">
        <v>3408.6480000000001</v>
      </c>
      <c r="AB48" s="28">
        <v>3131.451</v>
      </c>
      <c r="AC48" s="28">
        <v>2902.3150000000001</v>
      </c>
      <c r="AD48" s="28">
        <v>2688.527</v>
      </c>
      <c r="AE48" s="28">
        <v>2923.7269999999999</v>
      </c>
      <c r="AF48" s="28">
        <v>2793.002</v>
      </c>
      <c r="AG48" s="28">
        <v>2892.2330000000002</v>
      </c>
      <c r="AH48" s="109"/>
      <c r="AI48" s="28"/>
      <c r="AJ48" s="28"/>
      <c r="AK48" s="28"/>
      <c r="AL48" s="28"/>
      <c r="AM48" s="28"/>
      <c r="AN48" s="28"/>
      <c r="AO48" s="28"/>
      <c r="AP48" s="28"/>
      <c r="AQ48" s="28"/>
      <c r="AR48" s="28"/>
      <c r="AS48" s="28"/>
      <c r="AT48" s="28"/>
      <c r="AU48" s="28"/>
      <c r="AV48" s="28">
        <v>3455</v>
      </c>
      <c r="AW48" s="28">
        <v>3480</v>
      </c>
      <c r="AX48" s="28">
        <v>3449</v>
      </c>
      <c r="AY48" s="28">
        <v>3477</v>
      </c>
      <c r="AZ48" s="28">
        <v>3608</v>
      </c>
      <c r="BA48" s="28">
        <v>3686</v>
      </c>
      <c r="BB48" s="28">
        <v>3265</v>
      </c>
      <c r="BC48" s="28">
        <v>2987</v>
      </c>
      <c r="BD48" s="28">
        <v>2895</v>
      </c>
      <c r="BE48" s="28">
        <v>2634</v>
      </c>
      <c r="BF48" s="28">
        <v>2500</v>
      </c>
      <c r="BG48" s="28">
        <v>2521</v>
      </c>
      <c r="BH48" s="28">
        <v>2421</v>
      </c>
      <c r="BI48" s="28">
        <v>2289</v>
      </c>
      <c r="BJ48" s="62">
        <v>2061</v>
      </c>
      <c r="BK48" s="62">
        <v>2138</v>
      </c>
      <c r="BL48" s="62">
        <v>1981</v>
      </c>
      <c r="BM48" s="62">
        <v>1974</v>
      </c>
    </row>
    <row r="49" spans="1:65">
      <c r="A49" s="42" t="s">
        <v>167</v>
      </c>
      <c r="B49" s="28"/>
      <c r="C49" s="28"/>
      <c r="D49" s="28"/>
      <c r="E49" s="28"/>
      <c r="F49" s="28"/>
      <c r="G49" s="28"/>
      <c r="H49" s="28"/>
      <c r="I49" s="28"/>
      <c r="J49" s="28"/>
      <c r="K49" s="28"/>
      <c r="L49" s="28"/>
      <c r="M49" s="28"/>
      <c r="N49" s="28"/>
      <c r="O49" s="28"/>
      <c r="P49" s="28">
        <v>36339.194000000003</v>
      </c>
      <c r="Q49" s="28">
        <v>35426.682999999997</v>
      </c>
      <c r="R49" s="28">
        <v>36657.764999999999</v>
      </c>
      <c r="S49" s="28">
        <v>39207.976999999999</v>
      </c>
      <c r="T49" s="28">
        <v>40510.497000000003</v>
      </c>
      <c r="U49" s="28">
        <v>43919.232000000004</v>
      </c>
      <c r="V49" s="28">
        <v>42498.732000000004</v>
      </c>
      <c r="W49" s="28">
        <v>43304.741000000002</v>
      </c>
      <c r="X49" s="28">
        <v>42881.156000000003</v>
      </c>
      <c r="Y49" s="28">
        <v>43026.921999999999</v>
      </c>
      <c r="Z49" s="28">
        <v>43583.245000000003</v>
      </c>
      <c r="AA49" s="28">
        <v>51286.093999999997</v>
      </c>
      <c r="AB49" s="28">
        <v>44732.987999999998</v>
      </c>
      <c r="AC49" s="28">
        <v>43994.756000000001</v>
      </c>
      <c r="AD49" s="28">
        <v>42537.106</v>
      </c>
      <c r="AE49" s="28">
        <v>40182.822</v>
      </c>
      <c r="AF49" s="28">
        <v>39425.207000000002</v>
      </c>
      <c r="AG49" s="28">
        <v>39016.214999999997</v>
      </c>
      <c r="AH49" s="109"/>
      <c r="AI49" s="28"/>
      <c r="AJ49" s="28"/>
      <c r="AK49" s="28"/>
      <c r="AL49" s="28"/>
      <c r="AM49" s="28"/>
      <c r="AN49" s="28"/>
      <c r="AO49" s="28"/>
      <c r="AP49" s="28"/>
      <c r="AQ49" s="28"/>
      <c r="AR49" s="28"/>
      <c r="AS49" s="28"/>
      <c r="AT49" s="28"/>
      <c r="AU49" s="28"/>
      <c r="AV49" s="28">
        <v>30076</v>
      </c>
      <c r="AW49" s="28">
        <v>29054</v>
      </c>
      <c r="AX49" s="28">
        <v>29337</v>
      </c>
      <c r="AY49" s="28">
        <v>29427</v>
      </c>
      <c r="AZ49" s="28">
        <v>29325</v>
      </c>
      <c r="BA49" s="28">
        <v>31322</v>
      </c>
      <c r="BB49" s="28">
        <v>53458</v>
      </c>
      <c r="BC49" s="28">
        <v>29629</v>
      </c>
      <c r="BD49" s="28">
        <v>28840</v>
      </c>
      <c r="BE49" s="28">
        <v>28145</v>
      </c>
      <c r="BF49" s="28">
        <v>27579</v>
      </c>
      <c r="BG49" s="28">
        <v>30636</v>
      </c>
      <c r="BH49" s="28">
        <v>29267</v>
      </c>
      <c r="BI49" s="28">
        <v>27503</v>
      </c>
      <c r="BJ49" s="62">
        <v>26074</v>
      </c>
      <c r="BK49" s="62">
        <v>25705</v>
      </c>
      <c r="BL49" s="62">
        <v>24046</v>
      </c>
      <c r="BM49" s="62">
        <v>23648</v>
      </c>
    </row>
    <row r="50" spans="1:65">
      <c r="A50" s="42" t="s">
        <v>171</v>
      </c>
      <c r="B50" s="28"/>
      <c r="C50" s="28"/>
      <c r="D50" s="28"/>
      <c r="E50" s="28"/>
      <c r="F50" s="28"/>
      <c r="G50" s="28"/>
      <c r="H50" s="28"/>
      <c r="I50" s="28"/>
      <c r="J50" s="28"/>
      <c r="K50" s="28"/>
      <c r="L50" s="28"/>
      <c r="M50" s="28"/>
      <c r="N50" s="28"/>
      <c r="O50" s="28"/>
      <c r="P50" s="28">
        <v>4667.9949999999999</v>
      </c>
      <c r="Q50" s="28">
        <v>4296.3029999999999</v>
      </c>
      <c r="R50" s="28">
        <v>4651.9070000000002</v>
      </c>
      <c r="S50" s="28">
        <v>5051.0780000000004</v>
      </c>
      <c r="T50" s="28">
        <v>5323.1729999999998</v>
      </c>
      <c r="U50" s="28">
        <v>5107.9520000000002</v>
      </c>
      <c r="V50" s="28">
        <v>4608.1840000000002</v>
      </c>
      <c r="W50" s="28">
        <v>4519.8370000000004</v>
      </c>
      <c r="X50" s="28">
        <v>4400.8329999999996</v>
      </c>
      <c r="Y50" s="28">
        <v>4386.4870000000001</v>
      </c>
      <c r="Z50" s="28">
        <v>4417.8670000000002</v>
      </c>
      <c r="AA50" s="28">
        <v>4662.8959999999997</v>
      </c>
      <c r="AB50" s="28">
        <v>4474.2250000000004</v>
      </c>
      <c r="AC50" s="28">
        <v>4362.9539999999997</v>
      </c>
      <c r="AD50" s="28">
        <v>4194.7110000000002</v>
      </c>
      <c r="AE50" s="28">
        <v>4253.1790000000001</v>
      </c>
      <c r="AF50" s="28">
        <v>4181.79</v>
      </c>
      <c r="AG50" s="28">
        <v>3978.5030000000002</v>
      </c>
      <c r="AH50" s="109"/>
      <c r="AI50" s="28"/>
      <c r="AJ50" s="28"/>
      <c r="AK50" s="28"/>
      <c r="AL50" s="28"/>
      <c r="AM50" s="28"/>
      <c r="AN50" s="28"/>
      <c r="AO50" s="28"/>
      <c r="AP50" s="28"/>
      <c r="AQ50" s="28"/>
      <c r="AR50" s="28"/>
      <c r="AS50" s="28"/>
      <c r="AT50" s="28"/>
      <c r="AU50" s="28"/>
      <c r="AV50" s="28">
        <v>3880</v>
      </c>
      <c r="AW50" s="28">
        <v>3729</v>
      </c>
      <c r="AX50" s="28">
        <v>4004</v>
      </c>
      <c r="AY50" s="28">
        <v>4036</v>
      </c>
      <c r="AZ50" s="28">
        <v>4218</v>
      </c>
      <c r="BA50" s="28">
        <v>3872</v>
      </c>
      <c r="BB50" s="28">
        <v>3639</v>
      </c>
      <c r="BC50" s="28">
        <v>3506</v>
      </c>
      <c r="BD50" s="28">
        <v>3363</v>
      </c>
      <c r="BE50" s="28">
        <v>3232</v>
      </c>
      <c r="BF50" s="28">
        <v>3047</v>
      </c>
      <c r="BG50" s="28">
        <v>2987</v>
      </c>
      <c r="BH50" s="28">
        <v>2890</v>
      </c>
      <c r="BI50" s="28">
        <v>2871</v>
      </c>
      <c r="BJ50" s="62">
        <v>2794</v>
      </c>
      <c r="BK50" s="62">
        <v>2740</v>
      </c>
      <c r="BL50" s="62">
        <v>2603</v>
      </c>
      <c r="BM50" s="62">
        <v>2421</v>
      </c>
    </row>
    <row r="51" spans="1:65">
      <c r="A51" s="43" t="s">
        <v>175</v>
      </c>
      <c r="B51" s="37"/>
      <c r="C51" s="37"/>
      <c r="D51" s="37"/>
      <c r="E51" s="37"/>
      <c r="F51" s="37"/>
      <c r="G51" s="37"/>
      <c r="H51" s="37"/>
      <c r="I51" s="37"/>
      <c r="J51" s="37"/>
      <c r="K51" s="37"/>
      <c r="L51" s="37"/>
      <c r="M51" s="37"/>
      <c r="N51" s="37"/>
      <c r="O51" s="37"/>
      <c r="P51" s="37">
        <v>18019.097000000002</v>
      </c>
      <c r="Q51" s="37">
        <v>17264.456999999999</v>
      </c>
      <c r="R51" s="37">
        <v>17559.929</v>
      </c>
      <c r="S51" s="37">
        <v>19083.544000000002</v>
      </c>
      <c r="T51" s="37">
        <v>20521.409</v>
      </c>
      <c r="U51" s="37">
        <v>21789.888999999999</v>
      </c>
      <c r="V51" s="37">
        <v>22074.748</v>
      </c>
      <c r="W51" s="37">
        <v>21825.279999999999</v>
      </c>
      <c r="X51" s="37">
        <v>22307.191999999999</v>
      </c>
      <c r="Y51" s="37">
        <v>21509.719000000001</v>
      </c>
      <c r="Z51" s="37">
        <v>22678.940999999999</v>
      </c>
      <c r="AA51" s="37">
        <v>25251.791000000001</v>
      </c>
      <c r="AB51" s="37">
        <v>24665.017</v>
      </c>
      <c r="AC51" s="37">
        <v>24923.572</v>
      </c>
      <c r="AD51" s="37">
        <v>25339.845000000001</v>
      </c>
      <c r="AE51" s="37">
        <v>23894.648000000001</v>
      </c>
      <c r="AF51" s="37">
        <v>22300.48</v>
      </c>
      <c r="AG51" s="37">
        <v>21591.452000000001</v>
      </c>
      <c r="AH51" s="110"/>
      <c r="AI51" s="37"/>
      <c r="AJ51" s="37"/>
      <c r="AK51" s="37"/>
      <c r="AL51" s="37"/>
      <c r="AM51" s="37"/>
      <c r="AN51" s="37"/>
      <c r="AO51" s="37"/>
      <c r="AP51" s="37"/>
      <c r="AQ51" s="37"/>
      <c r="AR51" s="37"/>
      <c r="AS51" s="37"/>
      <c r="AT51" s="37"/>
      <c r="AU51" s="37"/>
      <c r="AV51" s="37">
        <v>18463</v>
      </c>
      <c r="AW51" s="37">
        <v>15814</v>
      </c>
      <c r="AX51" s="37">
        <v>15463</v>
      </c>
      <c r="AY51" s="37">
        <v>16179</v>
      </c>
      <c r="AZ51" s="37">
        <v>16505</v>
      </c>
      <c r="BA51" s="37">
        <v>17381</v>
      </c>
      <c r="BB51" s="37">
        <v>17035</v>
      </c>
      <c r="BC51" s="37">
        <v>16712</v>
      </c>
      <c r="BD51" s="37">
        <v>17188</v>
      </c>
      <c r="BE51" s="37">
        <v>16475</v>
      </c>
      <c r="BF51" s="37">
        <v>16746</v>
      </c>
      <c r="BG51" s="37">
        <v>17620</v>
      </c>
      <c r="BH51" s="37">
        <v>17437</v>
      </c>
      <c r="BI51" s="37">
        <v>17561</v>
      </c>
      <c r="BJ51" s="229">
        <v>17999</v>
      </c>
      <c r="BK51" s="229">
        <v>16920</v>
      </c>
      <c r="BL51" s="62">
        <v>15856</v>
      </c>
      <c r="BM51" s="62">
        <v>15258</v>
      </c>
    </row>
    <row r="52" spans="1:65">
      <c r="A52" s="40" t="s">
        <v>219</v>
      </c>
      <c r="B52" s="27">
        <f t="shared" ref="B52:BG52" si="52">SUM(B54:B62)</f>
        <v>0</v>
      </c>
      <c r="C52" s="27">
        <f t="shared" si="52"/>
        <v>0</v>
      </c>
      <c r="D52" s="27">
        <f t="shared" si="52"/>
        <v>0</v>
      </c>
      <c r="E52" s="27">
        <f t="shared" si="52"/>
        <v>0</v>
      </c>
      <c r="F52" s="27">
        <f t="shared" si="52"/>
        <v>0</v>
      </c>
      <c r="G52" s="27">
        <f t="shared" si="52"/>
        <v>0</v>
      </c>
      <c r="H52" s="27">
        <f t="shared" si="52"/>
        <v>0</v>
      </c>
      <c r="I52" s="27">
        <f t="shared" si="52"/>
        <v>0</v>
      </c>
      <c r="J52" s="27">
        <f t="shared" si="52"/>
        <v>0</v>
      </c>
      <c r="K52" s="27">
        <f t="shared" si="52"/>
        <v>0</v>
      </c>
      <c r="L52" s="27">
        <f t="shared" si="52"/>
        <v>0</v>
      </c>
      <c r="M52" s="27">
        <f t="shared" si="52"/>
        <v>0</v>
      </c>
      <c r="N52" s="27">
        <f t="shared" si="52"/>
        <v>0</v>
      </c>
      <c r="O52" s="27">
        <f t="shared" si="52"/>
        <v>0</v>
      </c>
      <c r="P52" s="27">
        <f t="shared" si="52"/>
        <v>256052.003</v>
      </c>
      <c r="Q52" s="27">
        <f t="shared" si="52"/>
        <v>256276.92800000001</v>
      </c>
      <c r="R52" s="27">
        <f t="shared" si="52"/>
        <v>261973.932</v>
      </c>
      <c r="S52" s="27">
        <f t="shared" si="52"/>
        <v>288148.46799999999</v>
      </c>
      <c r="T52" s="27">
        <f t="shared" si="52"/>
        <v>305523.16499999998</v>
      </c>
      <c r="U52" s="27">
        <f t="shared" si="52"/>
        <v>310020.38200000004</v>
      </c>
      <c r="V52" s="27">
        <f t="shared" si="52"/>
        <v>302138.95600000006</v>
      </c>
      <c r="W52" s="27">
        <f t="shared" si="52"/>
        <v>292316.73700000002</v>
      </c>
      <c r="X52" s="27">
        <f t="shared" si="52"/>
        <v>292797.73600000003</v>
      </c>
      <c r="Y52" s="27">
        <f t="shared" si="52"/>
        <v>300533.61300000001</v>
      </c>
      <c r="Z52" s="27">
        <f t="shared" si="52"/>
        <v>308127.54800000001</v>
      </c>
      <c r="AA52" s="27">
        <f t="shared" ref="AA52:AB52" si="53">SUM(AA54:AA62)</f>
        <v>339224.61699999997</v>
      </c>
      <c r="AB52" s="27">
        <f t="shared" si="53"/>
        <v>324106.609</v>
      </c>
      <c r="AC52" s="27">
        <f t="shared" ref="AC52:AD52" si="54">SUM(AC54:AC62)</f>
        <v>316357.31699999998</v>
      </c>
      <c r="AD52" s="27">
        <f t="shared" si="54"/>
        <v>308199.80800000002</v>
      </c>
      <c r="AE52" s="27">
        <f t="shared" ref="AE52:AF52" si="55">SUM(AE54:AE62)</f>
        <v>299513.23</v>
      </c>
      <c r="AF52" s="27">
        <f t="shared" si="55"/>
        <v>294163.86899999995</v>
      </c>
      <c r="AG52" s="27">
        <f t="shared" ref="AG52" si="56">SUM(AG54:AG62)</f>
        <v>300811.70600000001</v>
      </c>
      <c r="AH52" s="107">
        <f t="shared" si="52"/>
        <v>0</v>
      </c>
      <c r="AI52" s="27">
        <f t="shared" si="52"/>
        <v>0</v>
      </c>
      <c r="AJ52" s="27">
        <f t="shared" si="52"/>
        <v>0</v>
      </c>
      <c r="AK52" s="27">
        <f t="shared" si="52"/>
        <v>0</v>
      </c>
      <c r="AL52" s="27">
        <f t="shared" si="52"/>
        <v>0</v>
      </c>
      <c r="AM52" s="27">
        <f t="shared" si="52"/>
        <v>0</v>
      </c>
      <c r="AN52" s="27">
        <f t="shared" si="52"/>
        <v>0</v>
      </c>
      <c r="AO52" s="27">
        <f t="shared" si="52"/>
        <v>0</v>
      </c>
      <c r="AP52" s="27">
        <f t="shared" si="52"/>
        <v>0</v>
      </c>
      <c r="AQ52" s="27">
        <f t="shared" si="52"/>
        <v>0</v>
      </c>
      <c r="AR52" s="27">
        <f t="shared" si="52"/>
        <v>0</v>
      </c>
      <c r="AS52" s="27">
        <f t="shared" si="52"/>
        <v>0</v>
      </c>
      <c r="AT52" s="27">
        <f t="shared" si="52"/>
        <v>0</v>
      </c>
      <c r="AU52" s="27">
        <f t="shared" si="52"/>
        <v>0</v>
      </c>
      <c r="AV52" s="27">
        <f t="shared" si="52"/>
        <v>216732</v>
      </c>
      <c r="AW52" s="27">
        <f t="shared" si="52"/>
        <v>214705</v>
      </c>
      <c r="AX52" s="27">
        <f t="shared" si="52"/>
        <v>323060</v>
      </c>
      <c r="AY52" s="27">
        <f t="shared" si="52"/>
        <v>215258</v>
      </c>
      <c r="AZ52" s="27">
        <f t="shared" si="52"/>
        <v>221890</v>
      </c>
      <c r="BA52" s="27">
        <f t="shared" si="52"/>
        <v>225333</v>
      </c>
      <c r="BB52" s="27">
        <f t="shared" si="52"/>
        <v>266671</v>
      </c>
      <c r="BC52" s="27">
        <f t="shared" si="52"/>
        <v>210552</v>
      </c>
      <c r="BD52" s="27">
        <f t="shared" si="52"/>
        <v>206622</v>
      </c>
      <c r="BE52" s="27">
        <f t="shared" si="52"/>
        <v>221884</v>
      </c>
      <c r="BF52" s="27">
        <f t="shared" si="52"/>
        <v>205679</v>
      </c>
      <c r="BG52" s="27">
        <f t="shared" si="52"/>
        <v>223501</v>
      </c>
      <c r="BH52" s="27">
        <f t="shared" ref="BH52:BI52" si="57">SUM(BH54:BH62)</f>
        <v>219099</v>
      </c>
      <c r="BI52" s="27">
        <f t="shared" si="57"/>
        <v>216748</v>
      </c>
      <c r="BJ52" s="27">
        <f t="shared" ref="BJ52:BK52" si="58">SUM(BJ54:BJ62)</f>
        <v>211475</v>
      </c>
      <c r="BK52" s="27">
        <f t="shared" si="58"/>
        <v>205777</v>
      </c>
      <c r="BL52" s="27">
        <f t="shared" ref="BL52:BM52" si="59">SUM(BL54:BL62)</f>
        <v>197959</v>
      </c>
      <c r="BM52" s="27">
        <f t="shared" si="59"/>
        <v>194377</v>
      </c>
    </row>
    <row r="53" spans="1:65">
      <c r="A53" s="30" t="s">
        <v>215</v>
      </c>
      <c r="B53" s="31">
        <f t="shared" ref="B53:BG53" si="60">(B52/B4)*100</f>
        <v>0</v>
      </c>
      <c r="C53" s="31">
        <f t="shared" si="60"/>
        <v>0</v>
      </c>
      <c r="D53" s="31">
        <f t="shared" si="60"/>
        <v>0</v>
      </c>
      <c r="E53" s="31">
        <f t="shared" si="60"/>
        <v>0</v>
      </c>
      <c r="F53" s="31">
        <f t="shared" si="60"/>
        <v>0</v>
      </c>
      <c r="G53" s="31">
        <f t="shared" si="60"/>
        <v>0</v>
      </c>
      <c r="H53" s="31">
        <f t="shared" si="60"/>
        <v>0</v>
      </c>
      <c r="I53" s="31">
        <f t="shared" si="60"/>
        <v>0</v>
      </c>
      <c r="J53" s="31">
        <f t="shared" si="60"/>
        <v>0</v>
      </c>
      <c r="K53" s="31">
        <f t="shared" si="60"/>
        <v>0</v>
      </c>
      <c r="L53" s="31">
        <f t="shared" si="60"/>
        <v>0</v>
      </c>
      <c r="M53" s="31">
        <f t="shared" si="60"/>
        <v>0</v>
      </c>
      <c r="N53" s="31">
        <f t="shared" si="60"/>
        <v>0</v>
      </c>
      <c r="O53" s="31">
        <f t="shared" si="60"/>
        <v>0</v>
      </c>
      <c r="P53" s="31">
        <f t="shared" si="60"/>
        <v>28.520485242726402</v>
      </c>
      <c r="Q53" s="31">
        <f t="shared" si="60"/>
        <v>28.431503155412706</v>
      </c>
      <c r="R53" s="31">
        <f t="shared" si="60"/>
        <v>28.372633371439438</v>
      </c>
      <c r="S53" s="31">
        <f t="shared" si="60"/>
        <v>28.391336274663825</v>
      </c>
      <c r="T53" s="31">
        <f t="shared" si="60"/>
        <v>28.312199500488344</v>
      </c>
      <c r="U53" s="31">
        <f t="shared" si="60"/>
        <v>28.487750976402399</v>
      </c>
      <c r="V53" s="31">
        <f t="shared" si="60"/>
        <v>28.377219964543421</v>
      </c>
      <c r="W53" s="31">
        <f t="shared" si="60"/>
        <v>28.28866907753682</v>
      </c>
      <c r="X53" s="31">
        <f t="shared" si="60"/>
        <v>28.573970609357531</v>
      </c>
      <c r="Y53" s="31">
        <f t="shared" si="60"/>
        <v>28.767536725998035</v>
      </c>
      <c r="Z53" s="31">
        <f t="shared" si="60"/>
        <v>28.14656223504085</v>
      </c>
      <c r="AA53" s="31">
        <f t="shared" ref="AA53:AB53" si="61">(AA52/AA4)*100</f>
        <v>27.648631600740874</v>
      </c>
      <c r="AB53" s="31">
        <f t="shared" si="61"/>
        <v>27.505017970097729</v>
      </c>
      <c r="AC53" s="31">
        <f t="shared" ref="AC53:AD53" si="62">(AC52/AC4)*100</f>
        <v>27.346471452857944</v>
      </c>
      <c r="AD53" s="31">
        <f t="shared" si="62"/>
        <v>26.985626510362575</v>
      </c>
      <c r="AE53" s="31">
        <f>(AE52/AE4)*100</f>
        <v>27.182663054520471</v>
      </c>
      <c r="AF53" s="31">
        <f>(AF52/AF4)*100</f>
        <v>27.203564320664942</v>
      </c>
      <c r="AG53" s="31">
        <f>(AG52/AG4)*100</f>
        <v>27.928920662180751</v>
      </c>
      <c r="AH53" s="108">
        <f t="shared" si="60"/>
        <v>0</v>
      </c>
      <c r="AI53" s="31">
        <f t="shared" si="60"/>
        <v>0</v>
      </c>
      <c r="AJ53" s="31">
        <f t="shared" si="60"/>
        <v>0</v>
      </c>
      <c r="AK53" s="31">
        <f t="shared" si="60"/>
        <v>0</v>
      </c>
      <c r="AL53" s="31">
        <f t="shared" si="60"/>
        <v>0</v>
      </c>
      <c r="AM53" s="31">
        <f t="shared" si="60"/>
        <v>0</v>
      </c>
      <c r="AN53" s="31">
        <f t="shared" si="60"/>
        <v>0</v>
      </c>
      <c r="AO53" s="31">
        <f t="shared" si="60"/>
        <v>0</v>
      </c>
      <c r="AP53" s="31">
        <f t="shared" si="60"/>
        <v>0</v>
      </c>
      <c r="AQ53" s="31">
        <f t="shared" si="60"/>
        <v>0</v>
      </c>
      <c r="AR53" s="31">
        <f t="shared" si="60"/>
        <v>0</v>
      </c>
      <c r="AS53" s="31">
        <f t="shared" si="60"/>
        <v>0</v>
      </c>
      <c r="AT53" s="31">
        <f t="shared" si="60"/>
        <v>0</v>
      </c>
      <c r="AU53" s="31">
        <f t="shared" si="60"/>
        <v>0</v>
      </c>
      <c r="AV53" s="31">
        <f t="shared" si="60"/>
        <v>30.176059034425144</v>
      </c>
      <c r="AW53" s="31">
        <f t="shared" si="60"/>
        <v>30.294329293242843</v>
      </c>
      <c r="AX53" s="31">
        <f t="shared" si="60"/>
        <v>39.932905401312965</v>
      </c>
      <c r="AY53" s="31">
        <f t="shared" si="60"/>
        <v>29.828421930731349</v>
      </c>
      <c r="AZ53" s="31">
        <f t="shared" si="60"/>
        <v>30.025913571810364</v>
      </c>
      <c r="BA53" s="31">
        <f t="shared" si="60"/>
        <v>30.278716897161502</v>
      </c>
      <c r="BB53" s="31">
        <f t="shared" si="60"/>
        <v>33.670835890170885</v>
      </c>
      <c r="BC53" s="31">
        <f t="shared" si="60"/>
        <v>30.384832405177274</v>
      </c>
      <c r="BD53" s="31">
        <f t="shared" si="60"/>
        <v>30.541484548334218</v>
      </c>
      <c r="BE53" s="31">
        <f t="shared" si="60"/>
        <v>32.628896375563762</v>
      </c>
      <c r="BF53" s="31">
        <f t="shared" si="60"/>
        <v>31.053058291197814</v>
      </c>
      <c r="BG53" s="31">
        <f t="shared" si="60"/>
        <v>31.180341545282442</v>
      </c>
      <c r="BH53" s="31">
        <f t="shared" ref="BH53:BI53" si="63">(BH52/BH4)*100</f>
        <v>31.211083902785081</v>
      </c>
      <c r="BI53" s="31">
        <f t="shared" si="63"/>
        <v>31.493678684503806</v>
      </c>
      <c r="BJ53" s="31">
        <f t="shared" ref="BJ53:BK53" si="64">(BJ52/BJ4)*100</f>
        <v>31.275927703395208</v>
      </c>
      <c r="BK53" s="31">
        <f t="shared" si="64"/>
        <v>31.429195457072513</v>
      </c>
      <c r="BL53" s="31">
        <f t="shared" ref="BL53" si="65">(BL52/BL4)*100</f>
        <v>31.155167556661429</v>
      </c>
      <c r="BM53" s="31">
        <f>(BM52/BM4)*100</f>
        <v>31.425282561916262</v>
      </c>
    </row>
    <row r="54" spans="1:65" ht="15" customHeight="1">
      <c r="A54" s="42" t="s">
        <v>146</v>
      </c>
      <c r="B54" s="28"/>
      <c r="C54" s="28"/>
      <c r="D54" s="28"/>
      <c r="E54" s="28"/>
      <c r="F54" s="28"/>
      <c r="G54" s="28"/>
      <c r="H54" s="28"/>
      <c r="I54" s="28"/>
      <c r="J54" s="28"/>
      <c r="K54" s="28"/>
      <c r="L54" s="28"/>
      <c r="M54" s="28"/>
      <c r="N54" s="28"/>
      <c r="O54" s="28"/>
      <c r="P54" s="28">
        <v>11791.977000000001</v>
      </c>
      <c r="Q54" s="28">
        <v>11691.501</v>
      </c>
      <c r="R54" s="28">
        <v>11907.371999999999</v>
      </c>
      <c r="S54" s="28">
        <v>13108.76</v>
      </c>
      <c r="T54" s="28">
        <v>14224.073</v>
      </c>
      <c r="U54" s="28">
        <v>13753.15</v>
      </c>
      <c r="V54" s="28">
        <v>13621.166999999999</v>
      </c>
      <c r="W54" s="28">
        <v>13895.227000000001</v>
      </c>
      <c r="X54" s="28">
        <v>13476.388000000001</v>
      </c>
      <c r="Y54" s="28">
        <v>13517.494000000001</v>
      </c>
      <c r="Z54" s="28">
        <v>14020.521000000001</v>
      </c>
      <c r="AA54" s="28">
        <v>16282.620999999999</v>
      </c>
      <c r="AB54" s="28">
        <v>15484.054</v>
      </c>
      <c r="AC54" s="28">
        <v>15174.955</v>
      </c>
      <c r="AD54" s="28">
        <v>14079.052</v>
      </c>
      <c r="AE54" s="28">
        <v>13365.424999999999</v>
      </c>
      <c r="AF54" s="28">
        <v>13787.895</v>
      </c>
      <c r="AG54" s="28">
        <v>13744.608</v>
      </c>
      <c r="AH54" s="109"/>
      <c r="AI54" s="28"/>
      <c r="AJ54" s="28"/>
      <c r="AK54" s="28"/>
      <c r="AL54" s="28"/>
      <c r="AM54" s="28"/>
      <c r="AN54" s="28"/>
      <c r="AO54" s="28"/>
      <c r="AP54" s="28"/>
      <c r="AQ54" s="28"/>
      <c r="AR54" s="28"/>
      <c r="AS54" s="28"/>
      <c r="AT54" s="28"/>
      <c r="AU54" s="28"/>
      <c r="AV54" s="28">
        <v>9856</v>
      </c>
      <c r="AW54" s="28">
        <v>9909</v>
      </c>
      <c r="AX54" s="28">
        <v>9632</v>
      </c>
      <c r="AY54" s="28">
        <v>9985</v>
      </c>
      <c r="AZ54" s="28">
        <v>10515</v>
      </c>
      <c r="BA54" s="28">
        <v>10054</v>
      </c>
      <c r="BB54" s="28">
        <v>9858</v>
      </c>
      <c r="BC54" s="28">
        <v>9864</v>
      </c>
      <c r="BD54" s="28">
        <v>9353</v>
      </c>
      <c r="BE54" s="28">
        <v>9226</v>
      </c>
      <c r="BF54" s="28">
        <v>9438</v>
      </c>
      <c r="BG54" s="28">
        <v>10721</v>
      </c>
      <c r="BH54" s="28">
        <v>10280</v>
      </c>
      <c r="BI54" s="28">
        <v>9849</v>
      </c>
      <c r="BJ54" s="62">
        <v>9052</v>
      </c>
      <c r="BK54" s="62">
        <v>8263</v>
      </c>
      <c r="BL54" s="62">
        <v>8537</v>
      </c>
      <c r="BM54" s="62">
        <v>8386</v>
      </c>
    </row>
    <row r="55" spans="1:65">
      <c r="A55" s="239" t="s">
        <v>154</v>
      </c>
      <c r="B55" s="240"/>
      <c r="C55" s="240"/>
      <c r="D55" s="240"/>
      <c r="E55" s="240"/>
      <c r="F55" s="240"/>
      <c r="G55" s="240"/>
      <c r="H55" s="240"/>
      <c r="I55" s="240"/>
      <c r="J55" s="240"/>
      <c r="K55" s="240"/>
      <c r="L55" s="240"/>
      <c r="M55" s="240"/>
      <c r="N55" s="240"/>
      <c r="O55" s="240"/>
      <c r="P55" s="240">
        <v>8823.9069999999992</v>
      </c>
      <c r="Q55" s="240">
        <v>8447.9210000000003</v>
      </c>
      <c r="R55" s="240">
        <v>8633.1630000000005</v>
      </c>
      <c r="S55" s="240">
        <v>9178.9609999999993</v>
      </c>
      <c r="T55" s="240">
        <v>9263.0360000000001</v>
      </c>
      <c r="U55" s="240">
        <v>9519.2960000000003</v>
      </c>
      <c r="V55" s="240">
        <v>9430.5120000000006</v>
      </c>
      <c r="W55" s="240">
        <v>10075.174999999999</v>
      </c>
      <c r="X55" s="240">
        <v>9854.5120000000006</v>
      </c>
      <c r="Y55" s="240">
        <v>10333.509</v>
      </c>
      <c r="Z55" s="240">
        <v>10560.57</v>
      </c>
      <c r="AA55" s="240">
        <v>10410.969999999999</v>
      </c>
      <c r="AB55" s="240">
        <v>10789.84</v>
      </c>
      <c r="AC55" s="240">
        <v>11100.288</v>
      </c>
      <c r="AD55" s="240">
        <v>10751.907999999999</v>
      </c>
      <c r="AE55" s="240">
        <v>10913.994000000001</v>
      </c>
      <c r="AF55" s="240">
        <v>10685.046</v>
      </c>
      <c r="AG55" s="240">
        <v>10726.348</v>
      </c>
      <c r="AH55" s="241"/>
      <c r="AI55" s="240"/>
      <c r="AJ55" s="240"/>
      <c r="AK55" s="240"/>
      <c r="AL55" s="240"/>
      <c r="AM55" s="240"/>
      <c r="AN55" s="240"/>
      <c r="AO55" s="240"/>
      <c r="AP55" s="240"/>
      <c r="AQ55" s="240"/>
      <c r="AR55" s="240"/>
      <c r="AS55" s="240"/>
      <c r="AT55" s="240"/>
      <c r="AU55" s="240"/>
      <c r="AV55" s="240">
        <v>7511</v>
      </c>
      <c r="AW55" s="240">
        <v>7133</v>
      </c>
      <c r="AX55" s="240">
        <v>6782</v>
      </c>
      <c r="AY55" s="240">
        <v>6932</v>
      </c>
      <c r="AZ55" s="240">
        <v>6708</v>
      </c>
      <c r="BA55" s="240">
        <v>6927</v>
      </c>
      <c r="BB55" s="240">
        <v>6910</v>
      </c>
      <c r="BC55" s="240">
        <v>6805</v>
      </c>
      <c r="BD55" s="240">
        <v>6646</v>
      </c>
      <c r="BE55" s="240">
        <v>6615</v>
      </c>
      <c r="BF55" s="240">
        <v>7016</v>
      </c>
      <c r="BG55" s="240">
        <v>6855</v>
      </c>
      <c r="BH55" s="240">
        <v>7105</v>
      </c>
      <c r="BI55" s="240">
        <v>7184</v>
      </c>
      <c r="BJ55" s="62">
        <v>7012</v>
      </c>
      <c r="BK55" s="62">
        <v>7192</v>
      </c>
      <c r="BL55" s="62">
        <v>7031</v>
      </c>
      <c r="BM55" s="62">
        <v>6969</v>
      </c>
    </row>
    <row r="56" spans="1:65">
      <c r="A56" s="239" t="s">
        <v>155</v>
      </c>
      <c r="B56" s="240"/>
      <c r="C56" s="240"/>
      <c r="D56" s="240"/>
      <c r="E56" s="240"/>
      <c r="F56" s="240"/>
      <c r="G56" s="240"/>
      <c r="H56" s="240"/>
      <c r="I56" s="240"/>
      <c r="J56" s="240"/>
      <c r="K56" s="240"/>
      <c r="L56" s="240"/>
      <c r="M56" s="240"/>
      <c r="N56" s="240"/>
      <c r="O56" s="240"/>
      <c r="P56" s="240">
        <v>51716.828000000001</v>
      </c>
      <c r="Q56" s="240">
        <v>50005.095000000001</v>
      </c>
      <c r="R56" s="240">
        <v>50709.601000000002</v>
      </c>
      <c r="S56" s="240">
        <v>53402.557000000001</v>
      </c>
      <c r="T56" s="240">
        <v>53929.633999999998</v>
      </c>
      <c r="U56" s="240">
        <v>55390.519</v>
      </c>
      <c r="V56" s="240">
        <v>53529.542000000001</v>
      </c>
      <c r="W56" s="240">
        <v>52704.356</v>
      </c>
      <c r="X56" s="240">
        <v>53153.991999999998</v>
      </c>
      <c r="Y56" s="240">
        <v>55222.175000000003</v>
      </c>
      <c r="Z56" s="240">
        <v>57220.184999999998</v>
      </c>
      <c r="AA56" s="240">
        <v>61828.684999999998</v>
      </c>
      <c r="AB56" s="240">
        <v>59938.934000000001</v>
      </c>
      <c r="AC56" s="240">
        <v>58671.896000000001</v>
      </c>
      <c r="AD56" s="240">
        <v>57009.696000000004</v>
      </c>
      <c r="AE56" s="240">
        <v>56113.784</v>
      </c>
      <c r="AF56" s="240">
        <v>53712.385999999999</v>
      </c>
      <c r="AG56" s="240">
        <v>55518.137000000002</v>
      </c>
      <c r="AH56" s="241"/>
      <c r="AI56" s="240"/>
      <c r="AJ56" s="240"/>
      <c r="AK56" s="240"/>
      <c r="AL56" s="240"/>
      <c r="AM56" s="240"/>
      <c r="AN56" s="240"/>
      <c r="AO56" s="240"/>
      <c r="AP56" s="240"/>
      <c r="AQ56" s="240"/>
      <c r="AR56" s="240"/>
      <c r="AS56" s="240"/>
      <c r="AT56" s="240"/>
      <c r="AU56" s="240"/>
      <c r="AV56" s="240">
        <v>41266</v>
      </c>
      <c r="AW56" s="240">
        <v>39780</v>
      </c>
      <c r="AX56" s="240">
        <v>37341</v>
      </c>
      <c r="AY56" s="240">
        <v>38154</v>
      </c>
      <c r="AZ56" s="240">
        <v>39084</v>
      </c>
      <c r="BA56" s="240">
        <v>38368</v>
      </c>
      <c r="BB56" s="240">
        <v>37976</v>
      </c>
      <c r="BC56" s="240">
        <v>36931</v>
      </c>
      <c r="BD56" s="240">
        <v>37097</v>
      </c>
      <c r="BE56" s="240">
        <v>36926</v>
      </c>
      <c r="BF56" s="240">
        <v>37158</v>
      </c>
      <c r="BG56" s="240">
        <v>40706</v>
      </c>
      <c r="BH56" s="240">
        <v>40872</v>
      </c>
      <c r="BI56" s="240">
        <v>41927</v>
      </c>
      <c r="BJ56" s="62">
        <v>39700</v>
      </c>
      <c r="BK56" s="62">
        <v>38774</v>
      </c>
      <c r="BL56" s="62">
        <v>37821</v>
      </c>
      <c r="BM56" s="62">
        <v>36300</v>
      </c>
    </row>
    <row r="57" spans="1:65">
      <c r="A57" s="42" t="s">
        <v>162</v>
      </c>
      <c r="B57" s="28"/>
      <c r="C57" s="28"/>
      <c r="D57" s="28"/>
      <c r="E57" s="28"/>
      <c r="F57" s="28"/>
      <c r="G57" s="28"/>
      <c r="H57" s="28"/>
      <c r="I57" s="28"/>
      <c r="J57" s="28"/>
      <c r="K57" s="28"/>
      <c r="L57" s="28"/>
      <c r="M57" s="28"/>
      <c r="N57" s="28"/>
      <c r="O57" s="28"/>
      <c r="P57" s="28">
        <v>6977.6549999999997</v>
      </c>
      <c r="Q57" s="28">
        <v>6746.2169999999996</v>
      </c>
      <c r="R57" s="28">
        <v>6145.3069999999998</v>
      </c>
      <c r="S57" s="28">
        <v>6725.55</v>
      </c>
      <c r="T57" s="28">
        <v>7082.6369999999997</v>
      </c>
      <c r="U57" s="28">
        <v>7379.491</v>
      </c>
      <c r="V57" s="28">
        <v>7038.0609999999997</v>
      </c>
      <c r="W57" s="28">
        <v>7148.7120000000004</v>
      </c>
      <c r="X57" s="28">
        <v>7559.3990000000003</v>
      </c>
      <c r="Y57" s="28">
        <v>7730.3329999999996</v>
      </c>
      <c r="Z57" s="28">
        <v>8094.3729999999996</v>
      </c>
      <c r="AA57" s="28">
        <v>8776.3760000000002</v>
      </c>
      <c r="AB57" s="28">
        <v>8875.9840000000004</v>
      </c>
      <c r="AC57" s="28">
        <v>8583.2039999999997</v>
      </c>
      <c r="AD57" s="28">
        <v>8507.9189999999999</v>
      </c>
      <c r="AE57" s="28">
        <v>8188.5550000000003</v>
      </c>
      <c r="AF57" s="28">
        <v>7538.2209999999995</v>
      </c>
      <c r="AG57" s="28">
        <v>7484.2629999999999</v>
      </c>
      <c r="AH57" s="109"/>
      <c r="AI57" s="28"/>
      <c r="AJ57" s="28"/>
      <c r="AK57" s="28"/>
      <c r="AL57" s="28"/>
      <c r="AM57" s="28"/>
      <c r="AN57" s="28"/>
      <c r="AO57" s="28"/>
      <c r="AP57" s="28"/>
      <c r="AQ57" s="28"/>
      <c r="AR57" s="28"/>
      <c r="AS57" s="28"/>
      <c r="AT57" s="28"/>
      <c r="AU57" s="28"/>
      <c r="AV57" s="28">
        <v>7199</v>
      </c>
      <c r="AW57" s="28">
        <v>6732</v>
      </c>
      <c r="AX57" s="28">
        <v>6353</v>
      </c>
      <c r="AY57" s="28">
        <v>6455</v>
      </c>
      <c r="AZ57" s="28">
        <v>6574</v>
      </c>
      <c r="BA57" s="28">
        <v>6960</v>
      </c>
      <c r="BB57" s="28">
        <v>6664</v>
      </c>
      <c r="BC57" s="28">
        <v>6343</v>
      </c>
      <c r="BD57" s="28">
        <v>6577</v>
      </c>
      <c r="BE57" s="28">
        <v>6786</v>
      </c>
      <c r="BF57" s="28">
        <v>6886</v>
      </c>
      <c r="BG57" s="28">
        <v>7317</v>
      </c>
      <c r="BH57" s="28">
        <v>7247</v>
      </c>
      <c r="BI57" s="28">
        <v>7013</v>
      </c>
      <c r="BJ57" s="62">
        <v>6830</v>
      </c>
      <c r="BK57" s="62">
        <v>6768</v>
      </c>
      <c r="BL57" s="62">
        <v>6194</v>
      </c>
      <c r="BM57" s="62">
        <v>6221</v>
      </c>
    </row>
    <row r="58" spans="1:65">
      <c r="A58" s="42" t="s">
        <v>163</v>
      </c>
      <c r="B58" s="28"/>
      <c r="C58" s="28"/>
      <c r="D58" s="28"/>
      <c r="E58" s="28"/>
      <c r="F58" s="28"/>
      <c r="G58" s="28"/>
      <c r="H58" s="28"/>
      <c r="I58" s="28"/>
      <c r="J58" s="28"/>
      <c r="K58" s="28"/>
      <c r="L58" s="28"/>
      <c r="M58" s="28"/>
      <c r="N58" s="28"/>
      <c r="O58" s="28"/>
      <c r="P58" s="28">
        <v>15646.944</v>
      </c>
      <c r="Q58" s="28">
        <v>15813.138999999999</v>
      </c>
      <c r="R58" s="28">
        <v>16800.992999999999</v>
      </c>
      <c r="S58" s="28">
        <v>18783.100999999999</v>
      </c>
      <c r="T58" s="28">
        <v>19567.208999999999</v>
      </c>
      <c r="U58" s="28">
        <v>20108.826000000001</v>
      </c>
      <c r="V58" s="28">
        <v>20965.196</v>
      </c>
      <c r="W58" s="28">
        <v>19898.726999999999</v>
      </c>
      <c r="X58" s="28">
        <v>20856.331999999999</v>
      </c>
      <c r="Y58" s="28">
        <v>19921.241000000002</v>
      </c>
      <c r="Z58" s="28">
        <v>20648.593000000001</v>
      </c>
      <c r="AA58" s="28">
        <v>23677.492999999999</v>
      </c>
      <c r="AB58" s="28">
        <v>22449.942999999999</v>
      </c>
      <c r="AC58" s="28">
        <v>21528.041000000001</v>
      </c>
      <c r="AD58" s="28">
        <v>20670.334999999999</v>
      </c>
      <c r="AE58" s="28">
        <v>20063.338</v>
      </c>
      <c r="AF58" s="28">
        <v>20743.337</v>
      </c>
      <c r="AG58" s="28">
        <v>21945.216</v>
      </c>
      <c r="AH58" s="109"/>
      <c r="AI58" s="28"/>
      <c r="AJ58" s="28"/>
      <c r="AK58" s="28"/>
      <c r="AL58" s="28"/>
      <c r="AM58" s="28"/>
      <c r="AN58" s="28"/>
      <c r="AO58" s="28"/>
      <c r="AP58" s="28"/>
      <c r="AQ58" s="28"/>
      <c r="AR58" s="28"/>
      <c r="AS58" s="28"/>
      <c r="AT58" s="28"/>
      <c r="AU58" s="28"/>
      <c r="AV58" s="28">
        <v>13912</v>
      </c>
      <c r="AW58" s="28">
        <v>13505</v>
      </c>
      <c r="AX58" s="28">
        <v>13188</v>
      </c>
      <c r="AY58" s="28">
        <v>13891</v>
      </c>
      <c r="AZ58" s="28">
        <v>14108</v>
      </c>
      <c r="BA58" s="28">
        <v>14522</v>
      </c>
      <c r="BB58" s="28">
        <v>62669</v>
      </c>
      <c r="BC58" s="28">
        <v>13983</v>
      </c>
      <c r="BD58" s="28">
        <v>13741</v>
      </c>
      <c r="BE58" s="28">
        <v>12863</v>
      </c>
      <c r="BF58" s="28">
        <v>13432</v>
      </c>
      <c r="BG58" s="28">
        <v>14913</v>
      </c>
      <c r="BH58" s="28">
        <v>14537</v>
      </c>
      <c r="BI58" s="28">
        <v>13952</v>
      </c>
      <c r="BJ58" s="62">
        <v>13484</v>
      </c>
      <c r="BK58" s="62">
        <v>13194</v>
      </c>
      <c r="BL58" s="62">
        <v>13024</v>
      </c>
      <c r="BM58" s="62">
        <v>12625</v>
      </c>
    </row>
    <row r="59" spans="1:65">
      <c r="A59" s="42" t="s">
        <v>165</v>
      </c>
      <c r="B59" s="28"/>
      <c r="C59" s="28"/>
      <c r="D59" s="28"/>
      <c r="E59" s="28"/>
      <c r="F59" s="28"/>
      <c r="G59" s="28"/>
      <c r="H59" s="28"/>
      <c r="I59" s="28"/>
      <c r="J59" s="28"/>
      <c r="K59" s="28"/>
      <c r="L59" s="28"/>
      <c r="M59" s="28"/>
      <c r="N59" s="28"/>
      <c r="O59" s="28"/>
      <c r="P59" s="28">
        <v>94001.226999999999</v>
      </c>
      <c r="Q59" s="28">
        <v>95733.823000000004</v>
      </c>
      <c r="R59" s="28">
        <v>97798.03</v>
      </c>
      <c r="S59" s="28">
        <v>108220.55499999999</v>
      </c>
      <c r="T59" s="28">
        <v>116390.03599999999</v>
      </c>
      <c r="U59" s="28">
        <v>116561.40700000001</v>
      </c>
      <c r="V59" s="28">
        <v>112554.511</v>
      </c>
      <c r="W59" s="28">
        <v>108537.923</v>
      </c>
      <c r="X59" s="28">
        <v>108374.219</v>
      </c>
      <c r="Y59" s="28">
        <v>109222.811</v>
      </c>
      <c r="Z59" s="28">
        <v>110252.495</v>
      </c>
      <c r="AA59" s="28">
        <v>119676.344</v>
      </c>
      <c r="AB59" s="28">
        <v>113960.985</v>
      </c>
      <c r="AC59" s="28">
        <v>111635.76</v>
      </c>
      <c r="AD59" s="28">
        <v>108092.436</v>
      </c>
      <c r="AE59" s="28">
        <v>105104.15</v>
      </c>
      <c r="AF59" s="28">
        <v>104546.156</v>
      </c>
      <c r="AG59" s="28">
        <v>110846.97</v>
      </c>
      <c r="AH59" s="109"/>
      <c r="AI59" s="28"/>
      <c r="AJ59" s="28"/>
      <c r="AK59" s="28"/>
      <c r="AL59" s="28"/>
      <c r="AM59" s="28"/>
      <c r="AN59" s="28"/>
      <c r="AO59" s="28"/>
      <c r="AP59" s="28"/>
      <c r="AQ59" s="28"/>
      <c r="AR59" s="28"/>
      <c r="AS59" s="28"/>
      <c r="AT59" s="28"/>
      <c r="AU59" s="28"/>
      <c r="AV59" s="28">
        <v>74729</v>
      </c>
      <c r="AW59" s="28">
        <v>75915</v>
      </c>
      <c r="AX59" s="28">
        <v>73789</v>
      </c>
      <c r="AY59" s="28">
        <v>76943</v>
      </c>
      <c r="AZ59" s="28">
        <v>78792</v>
      </c>
      <c r="BA59" s="28">
        <v>80776</v>
      </c>
      <c r="BB59" s="28">
        <v>77384</v>
      </c>
      <c r="BC59" s="28">
        <v>74294</v>
      </c>
      <c r="BD59" s="28">
        <v>72238</v>
      </c>
      <c r="BE59" s="28">
        <v>71141</v>
      </c>
      <c r="BF59" s="28">
        <v>70850</v>
      </c>
      <c r="BG59" s="28">
        <v>75211</v>
      </c>
      <c r="BH59" s="28">
        <v>73742</v>
      </c>
      <c r="BI59" s="28">
        <v>73298</v>
      </c>
      <c r="BJ59" s="62">
        <v>71154</v>
      </c>
      <c r="BK59" s="62">
        <v>68363</v>
      </c>
      <c r="BL59" s="62">
        <v>63765</v>
      </c>
      <c r="BM59" s="62">
        <v>66089</v>
      </c>
    </row>
    <row r="60" spans="1:65">
      <c r="A60" s="42" t="s">
        <v>169</v>
      </c>
      <c r="B60" s="28"/>
      <c r="C60" s="28"/>
      <c r="D60" s="28"/>
      <c r="E60" s="28"/>
      <c r="F60" s="28"/>
      <c r="G60" s="28"/>
      <c r="H60" s="28"/>
      <c r="I60" s="28"/>
      <c r="J60" s="28"/>
      <c r="K60" s="28"/>
      <c r="L60" s="28"/>
      <c r="M60" s="28"/>
      <c r="N60" s="28"/>
      <c r="O60" s="28"/>
      <c r="P60" s="28">
        <v>52204.292999999998</v>
      </c>
      <c r="Q60" s="28">
        <v>52724.497000000003</v>
      </c>
      <c r="R60" s="28">
        <v>55200.508000000002</v>
      </c>
      <c r="S60" s="28">
        <v>62325.074000000001</v>
      </c>
      <c r="T60" s="28">
        <v>67817.294999999998</v>
      </c>
      <c r="U60" s="28">
        <v>69677.206000000006</v>
      </c>
      <c r="V60" s="28">
        <v>67737.149000000005</v>
      </c>
      <c r="W60" s="28">
        <v>63632.483</v>
      </c>
      <c r="X60" s="28">
        <v>62924.834000000003</v>
      </c>
      <c r="Y60" s="28">
        <v>67267.423999999999</v>
      </c>
      <c r="Z60" s="28">
        <v>68527.501999999993</v>
      </c>
      <c r="AA60" s="28">
        <v>76735.847999999998</v>
      </c>
      <c r="AB60" s="28">
        <v>73454.384999999995</v>
      </c>
      <c r="AC60" s="28">
        <v>70832.205000000002</v>
      </c>
      <c r="AD60" s="28">
        <v>71066.088000000003</v>
      </c>
      <c r="AE60" s="28">
        <v>67346.998999999996</v>
      </c>
      <c r="AF60" s="28">
        <v>65238.955000000002</v>
      </c>
      <c r="AG60" s="28">
        <v>63222.305999999997</v>
      </c>
      <c r="AH60" s="109"/>
      <c r="AI60" s="28"/>
      <c r="AJ60" s="28"/>
      <c r="AK60" s="28"/>
      <c r="AL60" s="28"/>
      <c r="AM60" s="28"/>
      <c r="AN60" s="28"/>
      <c r="AO60" s="28"/>
      <c r="AP60" s="28"/>
      <c r="AQ60" s="28"/>
      <c r="AR60" s="28"/>
      <c r="AS60" s="28"/>
      <c r="AT60" s="28"/>
      <c r="AU60" s="28"/>
      <c r="AV60" s="28">
        <v>49102</v>
      </c>
      <c r="AW60" s="28">
        <v>48470</v>
      </c>
      <c r="AX60" s="28">
        <v>163494</v>
      </c>
      <c r="AY60" s="28">
        <v>50503</v>
      </c>
      <c r="AZ60" s="28">
        <v>53257</v>
      </c>
      <c r="BA60" s="28">
        <v>54898</v>
      </c>
      <c r="BB60" s="28">
        <v>52347</v>
      </c>
      <c r="BC60" s="28">
        <v>49777</v>
      </c>
      <c r="BD60" s="28">
        <v>48544</v>
      </c>
      <c r="BE60" s="28">
        <v>65808</v>
      </c>
      <c r="BF60" s="28">
        <v>47661</v>
      </c>
      <c r="BG60" s="28">
        <v>52177</v>
      </c>
      <c r="BH60" s="28">
        <v>51852</v>
      </c>
      <c r="BI60" s="28">
        <v>50647</v>
      </c>
      <c r="BJ60" s="62">
        <v>51484</v>
      </c>
      <c r="BK60" s="62">
        <v>50335</v>
      </c>
      <c r="BL60" s="62">
        <v>49423</v>
      </c>
      <c r="BM60" s="62">
        <v>45867</v>
      </c>
    </row>
    <row r="61" spans="1:65">
      <c r="A61" s="42" t="s">
        <v>170</v>
      </c>
      <c r="B61" s="28"/>
      <c r="C61" s="28"/>
      <c r="D61" s="28"/>
      <c r="E61" s="28"/>
      <c r="F61" s="28"/>
      <c r="G61" s="28"/>
      <c r="H61" s="28"/>
      <c r="I61" s="28"/>
      <c r="J61" s="28"/>
      <c r="K61" s="28"/>
      <c r="L61" s="28"/>
      <c r="M61" s="28"/>
      <c r="N61" s="28"/>
      <c r="O61" s="28"/>
      <c r="P61" s="28">
        <v>8280.41</v>
      </c>
      <c r="Q61" s="28">
        <v>8265.3580000000002</v>
      </c>
      <c r="R61" s="28">
        <v>8356.3950000000004</v>
      </c>
      <c r="S61" s="28">
        <v>9246.7090000000007</v>
      </c>
      <c r="T61" s="28">
        <v>10028.74</v>
      </c>
      <c r="U61" s="28">
        <v>10750.074000000001</v>
      </c>
      <c r="V61" s="28">
        <v>9958.0049999999992</v>
      </c>
      <c r="W61" s="28">
        <v>9815.8889999999992</v>
      </c>
      <c r="X61" s="28">
        <v>9856.3559999999998</v>
      </c>
      <c r="Y61" s="28">
        <v>10564.507</v>
      </c>
      <c r="Z61" s="28">
        <v>11429.313</v>
      </c>
      <c r="AA61" s="28">
        <v>13065.953</v>
      </c>
      <c r="AB61" s="28">
        <v>11858.056</v>
      </c>
      <c r="AC61" s="28">
        <v>11945.387000000001</v>
      </c>
      <c r="AD61" s="28">
        <v>11365.967000000001</v>
      </c>
      <c r="AE61" s="28">
        <v>11576.853999999999</v>
      </c>
      <c r="AF61" s="28">
        <v>11424.258</v>
      </c>
      <c r="AG61" s="28">
        <v>10859.199000000001</v>
      </c>
      <c r="AH61" s="109"/>
      <c r="AI61" s="28"/>
      <c r="AJ61" s="28"/>
      <c r="AK61" s="28"/>
      <c r="AL61" s="28"/>
      <c r="AM61" s="28"/>
      <c r="AN61" s="28"/>
      <c r="AO61" s="28"/>
      <c r="AP61" s="28"/>
      <c r="AQ61" s="28"/>
      <c r="AR61" s="28"/>
      <c r="AS61" s="28"/>
      <c r="AT61" s="28"/>
      <c r="AU61" s="28"/>
      <c r="AV61" s="28">
        <v>6954</v>
      </c>
      <c r="AW61" s="28">
        <v>7149</v>
      </c>
      <c r="AX61" s="28">
        <v>6952</v>
      </c>
      <c r="AY61" s="28">
        <v>6792</v>
      </c>
      <c r="AZ61" s="28">
        <v>7184</v>
      </c>
      <c r="BA61" s="28">
        <v>7584</v>
      </c>
      <c r="BB61" s="28">
        <v>7112</v>
      </c>
      <c r="BC61" s="28">
        <v>7014</v>
      </c>
      <c r="BD61" s="28">
        <v>6661</v>
      </c>
      <c r="BE61" s="28">
        <v>6954</v>
      </c>
      <c r="BF61" s="28">
        <v>7279</v>
      </c>
      <c r="BG61" s="28">
        <v>8595</v>
      </c>
      <c r="BH61" s="28">
        <v>7688</v>
      </c>
      <c r="BI61" s="28">
        <v>7426</v>
      </c>
      <c r="BJ61" s="62">
        <v>7346</v>
      </c>
      <c r="BK61" s="62">
        <v>7393</v>
      </c>
      <c r="BL61" s="62">
        <v>6859</v>
      </c>
      <c r="BM61" s="62">
        <v>6924</v>
      </c>
    </row>
    <row r="62" spans="1:65">
      <c r="A62" s="43" t="s">
        <v>173</v>
      </c>
      <c r="B62" s="28"/>
      <c r="C62" s="28"/>
      <c r="D62" s="28"/>
      <c r="E62" s="28"/>
      <c r="F62" s="28"/>
      <c r="G62" s="28"/>
      <c r="H62" s="28"/>
      <c r="I62" s="28"/>
      <c r="J62" s="28"/>
      <c r="K62" s="28"/>
      <c r="L62" s="28"/>
      <c r="M62" s="28"/>
      <c r="N62" s="28"/>
      <c r="O62" s="28"/>
      <c r="P62" s="28">
        <v>6608.7619999999997</v>
      </c>
      <c r="Q62" s="28">
        <v>6849.3770000000004</v>
      </c>
      <c r="R62" s="28">
        <v>6422.5630000000001</v>
      </c>
      <c r="S62" s="28">
        <v>7157.201</v>
      </c>
      <c r="T62" s="28">
        <v>7220.5050000000001</v>
      </c>
      <c r="U62" s="28">
        <v>6880.4129999999996</v>
      </c>
      <c r="V62" s="28">
        <v>7304.8130000000001</v>
      </c>
      <c r="W62" s="28">
        <v>6608.2449999999999</v>
      </c>
      <c r="X62" s="28">
        <v>6741.7039999999997</v>
      </c>
      <c r="Y62" s="28">
        <v>6754.1189999999997</v>
      </c>
      <c r="Z62" s="28">
        <v>7373.9960000000001</v>
      </c>
      <c r="AA62" s="28">
        <v>8770.3269999999993</v>
      </c>
      <c r="AB62" s="28">
        <v>7294.4279999999999</v>
      </c>
      <c r="AC62" s="28">
        <v>6885.5810000000001</v>
      </c>
      <c r="AD62" s="28">
        <v>6656.4070000000002</v>
      </c>
      <c r="AE62" s="28">
        <v>6840.1310000000003</v>
      </c>
      <c r="AF62" s="28">
        <v>6487.6149999999998</v>
      </c>
      <c r="AG62" s="28">
        <v>6464.6589999999997</v>
      </c>
      <c r="AH62" s="109"/>
      <c r="AI62" s="28"/>
      <c r="AJ62" s="28"/>
      <c r="AK62" s="28"/>
      <c r="AL62" s="28"/>
      <c r="AM62" s="28"/>
      <c r="AN62" s="28"/>
      <c r="AO62" s="28"/>
      <c r="AP62" s="28"/>
      <c r="AQ62" s="28"/>
      <c r="AR62" s="28"/>
      <c r="AS62" s="28"/>
      <c r="AT62" s="28"/>
      <c r="AU62" s="28"/>
      <c r="AV62" s="28">
        <v>6203</v>
      </c>
      <c r="AW62" s="28">
        <v>6112</v>
      </c>
      <c r="AX62" s="28">
        <v>5529</v>
      </c>
      <c r="AY62" s="28">
        <v>5603</v>
      </c>
      <c r="AZ62" s="28">
        <v>5668</v>
      </c>
      <c r="BA62" s="28">
        <v>5244</v>
      </c>
      <c r="BB62" s="28">
        <v>5751</v>
      </c>
      <c r="BC62" s="28">
        <v>5541</v>
      </c>
      <c r="BD62" s="28">
        <v>5765</v>
      </c>
      <c r="BE62" s="28">
        <v>5565</v>
      </c>
      <c r="BF62" s="28">
        <v>5959</v>
      </c>
      <c r="BG62" s="28">
        <v>7006</v>
      </c>
      <c r="BH62" s="28">
        <v>5776</v>
      </c>
      <c r="BI62" s="28">
        <v>5452</v>
      </c>
      <c r="BJ62" s="229">
        <v>5413</v>
      </c>
      <c r="BK62" s="229">
        <v>5495</v>
      </c>
      <c r="BL62" s="229">
        <v>5305</v>
      </c>
      <c r="BM62" s="229">
        <v>4996</v>
      </c>
    </row>
    <row r="63" spans="1:65">
      <c r="A63" s="46" t="s">
        <v>147</v>
      </c>
      <c r="B63" s="47"/>
      <c r="C63" s="47"/>
      <c r="D63" s="47"/>
      <c r="E63" s="47"/>
      <c r="F63" s="47"/>
      <c r="G63" s="47"/>
      <c r="H63" s="47"/>
      <c r="I63" s="47"/>
      <c r="J63" s="47"/>
      <c r="K63" s="47"/>
      <c r="L63" s="47"/>
      <c r="M63" s="47"/>
      <c r="N63" s="47"/>
      <c r="O63" s="47"/>
      <c r="P63" s="47">
        <v>8061.2</v>
      </c>
      <c r="Q63" s="47">
        <v>7838.1760000000004</v>
      </c>
      <c r="R63" s="47">
        <v>8955.8040000000001</v>
      </c>
      <c r="S63" s="47">
        <v>11231.049000000001</v>
      </c>
      <c r="T63" s="47">
        <v>12005.636</v>
      </c>
      <c r="U63" s="47">
        <v>12055.178</v>
      </c>
      <c r="V63" s="47">
        <v>11882.746999999999</v>
      </c>
      <c r="W63" s="47">
        <v>10988.300999999999</v>
      </c>
      <c r="X63" s="47">
        <v>10324.671</v>
      </c>
      <c r="Y63" s="47">
        <v>10448.402</v>
      </c>
      <c r="Z63" s="47">
        <v>11167.200999999999</v>
      </c>
      <c r="AA63" s="47">
        <v>14955.244000000001</v>
      </c>
      <c r="AB63" s="47">
        <v>12492.487999999999</v>
      </c>
      <c r="AC63" s="47">
        <v>10630.311</v>
      </c>
      <c r="AD63" s="47">
        <v>9611.7780000000002</v>
      </c>
      <c r="AE63" s="47">
        <v>8841.8469999999998</v>
      </c>
      <c r="AF63" s="47">
        <v>8626.393</v>
      </c>
      <c r="AG63" s="47">
        <v>8772.1689999999999</v>
      </c>
      <c r="AH63" s="112"/>
      <c r="AI63" s="47"/>
      <c r="AJ63" s="47"/>
      <c r="AK63" s="47"/>
      <c r="AL63" s="47"/>
      <c r="AM63" s="47"/>
      <c r="AN63" s="47"/>
      <c r="AO63" s="47"/>
      <c r="AP63" s="47"/>
      <c r="AQ63" s="47"/>
      <c r="AR63" s="47"/>
      <c r="AS63" s="47"/>
      <c r="AT63" s="47"/>
      <c r="AU63" s="47"/>
      <c r="AV63" s="47">
        <v>5232</v>
      </c>
      <c r="AW63" s="47">
        <v>4758</v>
      </c>
      <c r="AX63" s="47">
        <v>4926</v>
      </c>
      <c r="AY63" s="47">
        <v>5114</v>
      </c>
      <c r="AZ63" s="47">
        <v>5772</v>
      </c>
      <c r="BA63" s="47">
        <v>5874</v>
      </c>
      <c r="BB63" s="47">
        <v>5822</v>
      </c>
      <c r="BC63" s="47">
        <v>5583</v>
      </c>
      <c r="BD63" s="47">
        <v>5238</v>
      </c>
      <c r="BE63" s="47">
        <v>4767</v>
      </c>
      <c r="BF63" s="47">
        <v>5368</v>
      </c>
      <c r="BG63" s="47">
        <v>6827</v>
      </c>
      <c r="BH63" s="47">
        <v>5742</v>
      </c>
      <c r="BI63" s="47">
        <v>5521</v>
      </c>
      <c r="BJ63" s="229">
        <v>5186</v>
      </c>
      <c r="BK63" s="229">
        <v>5027</v>
      </c>
      <c r="BL63" s="229">
        <v>4859</v>
      </c>
      <c r="BM63" s="248">
        <v>4629</v>
      </c>
    </row>
    <row r="64" spans="1:65">
      <c r="B64" s="8"/>
      <c r="C64" s="8"/>
      <c r="D64" s="8"/>
      <c r="E64" s="8"/>
      <c r="F64" s="8"/>
      <c r="G64" s="8"/>
      <c r="H64" s="8"/>
      <c r="I64" s="8"/>
      <c r="J64" s="8"/>
      <c r="K64" s="8"/>
      <c r="L64" s="8"/>
      <c r="M64" s="93"/>
      <c r="N64" s="8"/>
      <c r="O64" s="8"/>
      <c r="P64" s="70"/>
      <c r="Q64" s="70"/>
      <c r="R64" s="76"/>
      <c r="S64" s="76"/>
      <c r="T64" s="76"/>
      <c r="U64" s="76"/>
      <c r="V64" s="76"/>
      <c r="W64" s="76"/>
      <c r="X64" s="76"/>
      <c r="Y64" s="76"/>
      <c r="Z64" s="76"/>
      <c r="AA64" s="76"/>
      <c r="AB64" s="76"/>
      <c r="AC64" s="76"/>
      <c r="AD64" s="76"/>
      <c r="AE64" s="76"/>
      <c r="AF64" s="76"/>
      <c r="AG64" s="76"/>
      <c r="AH64" s="76"/>
      <c r="AI64" s="76"/>
      <c r="AJ64" s="70"/>
      <c r="AK64" s="70"/>
      <c r="AL64" s="70"/>
      <c r="AM64" s="70"/>
      <c r="AN64" s="70"/>
      <c r="AO64" s="70"/>
      <c r="AP64" s="70"/>
      <c r="AQ64" s="70"/>
      <c r="AR64" s="70"/>
      <c r="AS64" s="70"/>
      <c r="AT64" s="70"/>
      <c r="AU64" s="70"/>
      <c r="AV64" s="70"/>
      <c r="AW64" s="76"/>
      <c r="AX64" s="76"/>
      <c r="BE64" s="76"/>
    </row>
    <row r="65" spans="1:57" ht="12.75" customHeight="1">
      <c r="A65" s="73" t="s">
        <v>33</v>
      </c>
      <c r="B65" s="73" t="s">
        <v>34</v>
      </c>
      <c r="C65" s="73" t="s">
        <v>35</v>
      </c>
      <c r="D65" s="73" t="s">
        <v>34</v>
      </c>
      <c r="E65" s="73" t="s">
        <v>34</v>
      </c>
      <c r="F65" s="73" t="s">
        <v>34</v>
      </c>
      <c r="G65" s="73" t="s">
        <v>34</v>
      </c>
      <c r="H65" s="73" t="s">
        <v>34</v>
      </c>
      <c r="I65" s="73" t="s">
        <v>34</v>
      </c>
      <c r="J65" s="73" t="s">
        <v>34</v>
      </c>
      <c r="K65" s="73" t="s">
        <v>34</v>
      </c>
      <c r="L65" s="73" t="s">
        <v>34</v>
      </c>
      <c r="M65" s="79" t="s">
        <v>184</v>
      </c>
      <c r="N65" s="73"/>
      <c r="O65" s="73" t="s">
        <v>36</v>
      </c>
      <c r="P65" s="73" t="s">
        <v>36</v>
      </c>
      <c r="Q65" s="73" t="s">
        <v>36</v>
      </c>
      <c r="R65" s="73" t="s">
        <v>36</v>
      </c>
      <c r="S65" s="83" t="s">
        <v>194</v>
      </c>
      <c r="T65" s="83" t="s">
        <v>194</v>
      </c>
      <c r="U65" s="83" t="s">
        <v>194</v>
      </c>
      <c r="V65" s="83" t="s">
        <v>194</v>
      </c>
      <c r="W65" s="83" t="s">
        <v>194</v>
      </c>
      <c r="X65" s="83" t="s">
        <v>194</v>
      </c>
      <c r="Y65" s="83" t="s">
        <v>194</v>
      </c>
      <c r="Z65" s="83" t="s">
        <v>194</v>
      </c>
      <c r="AA65" s="83" t="s">
        <v>194</v>
      </c>
      <c r="AB65" s="83" t="s">
        <v>194</v>
      </c>
      <c r="AC65" s="83" t="s">
        <v>194</v>
      </c>
      <c r="AD65" s="83" t="s">
        <v>194</v>
      </c>
      <c r="AE65" s="83" t="s">
        <v>194</v>
      </c>
      <c r="AF65" s="83" t="s">
        <v>194</v>
      </c>
      <c r="AG65" s="83" t="s">
        <v>194</v>
      </c>
      <c r="AH65" s="73"/>
      <c r="AI65" s="73"/>
      <c r="AJ65" s="73"/>
      <c r="AK65" s="73"/>
      <c r="AL65" s="73"/>
      <c r="AM65" s="73"/>
      <c r="AN65" s="73"/>
      <c r="AO65" s="73"/>
      <c r="AP65" s="73"/>
      <c r="AQ65" s="13"/>
      <c r="AR65" s="13"/>
      <c r="AS65" s="13"/>
      <c r="AT65" s="13"/>
      <c r="AU65" s="13"/>
      <c r="AV65" s="13"/>
      <c r="AW65" s="13"/>
      <c r="AX65" s="13"/>
      <c r="AY65" s="13"/>
      <c r="AZ65" s="13"/>
      <c r="BA65" s="13"/>
      <c r="BB65" s="13"/>
      <c r="BC65" s="13"/>
      <c r="BE65" s="83"/>
    </row>
    <row r="66" spans="1:57" ht="12.75" customHeight="1">
      <c r="A66" s="65" t="s">
        <v>37</v>
      </c>
      <c r="B66" s="65" t="s">
        <v>38</v>
      </c>
      <c r="C66" s="73" t="s">
        <v>39</v>
      </c>
      <c r="D66" s="65" t="s">
        <v>38</v>
      </c>
      <c r="E66" s="65" t="s">
        <v>38</v>
      </c>
      <c r="F66" s="65" t="s">
        <v>38</v>
      </c>
      <c r="G66" s="65" t="s">
        <v>38</v>
      </c>
      <c r="H66" s="65" t="s">
        <v>38</v>
      </c>
      <c r="I66" s="65" t="s">
        <v>38</v>
      </c>
      <c r="J66" s="65" t="s">
        <v>38</v>
      </c>
      <c r="K66" s="65" t="s">
        <v>38</v>
      </c>
      <c r="L66" s="65" t="s">
        <v>38</v>
      </c>
      <c r="M66" s="72" t="s">
        <v>185</v>
      </c>
      <c r="N66" s="65"/>
      <c r="O66" s="65" t="s">
        <v>121</v>
      </c>
      <c r="P66" s="65" t="s">
        <v>121</v>
      </c>
      <c r="Q66" s="65" t="s">
        <v>121</v>
      </c>
      <c r="R66" s="65" t="s">
        <v>121</v>
      </c>
      <c r="S66" s="70" t="s">
        <v>195</v>
      </c>
      <c r="T66" s="70" t="s">
        <v>195</v>
      </c>
      <c r="U66" s="70" t="s">
        <v>195</v>
      </c>
      <c r="V66" s="70" t="s">
        <v>195</v>
      </c>
      <c r="W66" s="70" t="s">
        <v>195</v>
      </c>
      <c r="X66" s="70" t="s">
        <v>195</v>
      </c>
      <c r="Y66" s="70" t="s">
        <v>195</v>
      </c>
      <c r="Z66" s="70" t="s">
        <v>195</v>
      </c>
      <c r="AA66" s="70" t="s">
        <v>195</v>
      </c>
      <c r="AB66" s="70" t="s">
        <v>195</v>
      </c>
      <c r="AC66" s="70" t="s">
        <v>195</v>
      </c>
      <c r="AD66" s="70" t="s">
        <v>195</v>
      </c>
      <c r="AE66" s="70" t="s">
        <v>195</v>
      </c>
      <c r="AF66" s="70" t="s">
        <v>195</v>
      </c>
      <c r="AG66" s="70" t="s">
        <v>195</v>
      </c>
      <c r="AH66" s="73"/>
      <c r="AI66" s="73"/>
      <c r="AJ66" s="73"/>
      <c r="AK66" s="73"/>
      <c r="AL66" s="73"/>
      <c r="AM66" s="73"/>
      <c r="AN66" s="73"/>
      <c r="AO66" s="73"/>
      <c r="AP66" s="73"/>
      <c r="AY66" s="2"/>
      <c r="AZ66" s="2"/>
      <c r="BA66" s="2"/>
      <c r="BB66" s="2"/>
      <c r="BC66" s="2"/>
      <c r="BE66" s="70"/>
    </row>
    <row r="67" spans="1:57" ht="12.75" customHeight="1">
      <c r="A67" s="65" t="s">
        <v>40</v>
      </c>
      <c r="B67" s="65" t="s">
        <v>41</v>
      </c>
      <c r="C67" s="73" t="s">
        <v>42</v>
      </c>
      <c r="D67" s="65" t="s">
        <v>41</v>
      </c>
      <c r="E67" s="65" t="s">
        <v>41</v>
      </c>
      <c r="F67" s="65" t="s">
        <v>41</v>
      </c>
      <c r="G67" s="65" t="s">
        <v>41</v>
      </c>
      <c r="H67" s="65" t="s">
        <v>41</v>
      </c>
      <c r="I67" s="65" t="s">
        <v>41</v>
      </c>
      <c r="J67" s="65" t="s">
        <v>41</v>
      </c>
      <c r="K67" s="65" t="s">
        <v>41</v>
      </c>
      <c r="L67" s="65" t="s">
        <v>41</v>
      </c>
      <c r="M67" s="72" t="s">
        <v>186</v>
      </c>
      <c r="N67" s="65"/>
      <c r="O67" s="65" t="s">
        <v>44</v>
      </c>
      <c r="P67" s="65" t="s">
        <v>44</v>
      </c>
      <c r="Q67" s="65" t="s">
        <v>44</v>
      </c>
      <c r="R67" s="65" t="s">
        <v>44</v>
      </c>
      <c r="S67" s="70" t="s">
        <v>199</v>
      </c>
      <c r="T67" s="70" t="s">
        <v>199</v>
      </c>
      <c r="U67" s="70" t="s">
        <v>199</v>
      </c>
      <c r="V67" s="70" t="s">
        <v>199</v>
      </c>
      <c r="W67" s="70" t="s">
        <v>199</v>
      </c>
      <c r="X67" s="70" t="s">
        <v>199</v>
      </c>
      <c r="Y67" s="70" t="s">
        <v>199</v>
      </c>
      <c r="Z67" s="70" t="s">
        <v>199</v>
      </c>
      <c r="AA67" s="70" t="s">
        <v>199</v>
      </c>
      <c r="AB67" s="70" t="s">
        <v>199</v>
      </c>
      <c r="AC67" s="70" t="s">
        <v>199</v>
      </c>
      <c r="AD67" s="70" t="s">
        <v>199</v>
      </c>
      <c r="AE67" s="70" t="s">
        <v>199</v>
      </c>
      <c r="AF67" s="70" t="s">
        <v>199</v>
      </c>
      <c r="AG67" s="70" t="s">
        <v>199</v>
      </c>
      <c r="AH67" s="73"/>
      <c r="AI67" s="73"/>
      <c r="AJ67" s="73"/>
      <c r="AK67" s="73"/>
      <c r="AL67" s="73"/>
      <c r="AM67" s="73"/>
      <c r="AN67" s="73"/>
      <c r="AO67" s="73"/>
      <c r="AP67" s="73"/>
      <c r="AY67" s="2"/>
      <c r="AZ67" s="2"/>
      <c r="BA67" s="2"/>
      <c r="BB67" s="2"/>
      <c r="BC67" s="2"/>
      <c r="BE67" s="70"/>
    </row>
    <row r="68" spans="1:57" ht="12.75" customHeight="1">
      <c r="A68" s="65" t="s">
        <v>43</v>
      </c>
      <c r="B68" s="65" t="s">
        <v>44</v>
      </c>
      <c r="C68" s="73" t="s">
        <v>45</v>
      </c>
      <c r="D68" s="65" t="s">
        <v>44</v>
      </c>
      <c r="E68" s="65" t="s">
        <v>44</v>
      </c>
      <c r="F68" s="65" t="s">
        <v>44</v>
      </c>
      <c r="G68" s="65" t="s">
        <v>44</v>
      </c>
      <c r="H68" s="65" t="s">
        <v>44</v>
      </c>
      <c r="I68" s="65" t="s">
        <v>44</v>
      </c>
      <c r="J68" s="65" t="s">
        <v>44</v>
      </c>
      <c r="K68" s="65" t="s">
        <v>44</v>
      </c>
      <c r="L68" s="65" t="s">
        <v>44</v>
      </c>
      <c r="M68" s="72" t="s">
        <v>187</v>
      </c>
      <c r="N68" s="65"/>
      <c r="O68" s="65" t="s">
        <v>119</v>
      </c>
      <c r="P68" s="65" t="s">
        <v>119</v>
      </c>
      <c r="Q68" s="65" t="s">
        <v>119</v>
      </c>
      <c r="R68" s="65" t="s">
        <v>119</v>
      </c>
      <c r="S68" s="70" t="s">
        <v>200</v>
      </c>
      <c r="T68" s="70" t="s">
        <v>200</v>
      </c>
      <c r="U68" s="70" t="s">
        <v>200</v>
      </c>
      <c r="V68" s="70" t="s">
        <v>200</v>
      </c>
      <c r="W68" s="70" t="s">
        <v>200</v>
      </c>
      <c r="X68" s="70" t="s">
        <v>200</v>
      </c>
      <c r="Y68" s="70" t="s">
        <v>200</v>
      </c>
      <c r="Z68" s="70" t="s">
        <v>200</v>
      </c>
      <c r="AA68" s="70" t="s">
        <v>200</v>
      </c>
      <c r="AB68" s="70" t="s">
        <v>200</v>
      </c>
      <c r="AC68" s="70" t="s">
        <v>200</v>
      </c>
      <c r="AD68" s="70" t="s">
        <v>200</v>
      </c>
      <c r="AE68" s="70" t="s">
        <v>200</v>
      </c>
      <c r="AF68" s="70" t="s">
        <v>200</v>
      </c>
      <c r="AG68" s="70" t="s">
        <v>200</v>
      </c>
      <c r="AH68" s="73"/>
      <c r="AI68" s="73"/>
      <c r="AJ68" s="73"/>
      <c r="AK68" s="73"/>
      <c r="AL68" s="73"/>
      <c r="AM68" s="73"/>
      <c r="AN68" s="73"/>
      <c r="AO68" s="73"/>
      <c r="AP68" s="73"/>
      <c r="AY68" s="2"/>
      <c r="AZ68" s="2"/>
      <c r="BA68" s="2"/>
      <c r="BB68" s="2"/>
      <c r="BC68" s="2"/>
      <c r="BE68" s="70"/>
    </row>
    <row r="69" spans="1:57" ht="12.75" customHeight="1">
      <c r="A69" s="65" t="s">
        <v>46</v>
      </c>
      <c r="B69" s="65" t="s">
        <v>1</v>
      </c>
      <c r="C69" s="73" t="s">
        <v>38</v>
      </c>
      <c r="D69" s="65" t="s">
        <v>1</v>
      </c>
      <c r="E69" s="65" t="s">
        <v>1</v>
      </c>
      <c r="F69" s="65" t="s">
        <v>1</v>
      </c>
      <c r="G69" s="65" t="s">
        <v>1</v>
      </c>
      <c r="H69" s="65" t="s">
        <v>1</v>
      </c>
      <c r="I69" s="65" t="s">
        <v>1</v>
      </c>
      <c r="J69" s="65" t="s">
        <v>1</v>
      </c>
      <c r="K69" s="65" t="s">
        <v>1</v>
      </c>
      <c r="L69" s="65" t="s">
        <v>1</v>
      </c>
      <c r="M69" s="72" t="s">
        <v>188</v>
      </c>
      <c r="N69" s="65"/>
      <c r="O69" s="65" t="s">
        <v>120</v>
      </c>
      <c r="P69" s="65" t="s">
        <v>120</v>
      </c>
      <c r="Q69" s="65" t="s">
        <v>120</v>
      </c>
      <c r="R69" s="65" t="s">
        <v>120</v>
      </c>
      <c r="S69" s="83" t="s">
        <v>201</v>
      </c>
      <c r="T69" s="83" t="s">
        <v>201</v>
      </c>
      <c r="U69" s="83" t="s">
        <v>201</v>
      </c>
      <c r="V69" s="83" t="s">
        <v>201</v>
      </c>
      <c r="W69" s="83" t="s">
        <v>201</v>
      </c>
      <c r="X69" s="83" t="s">
        <v>201</v>
      </c>
      <c r="Y69" s="83" t="s">
        <v>201</v>
      </c>
      <c r="Z69" s="83" t="s">
        <v>201</v>
      </c>
      <c r="AA69" s="83" t="s">
        <v>201</v>
      </c>
      <c r="AB69" s="83" t="s">
        <v>201</v>
      </c>
      <c r="AC69" s="83" t="s">
        <v>201</v>
      </c>
      <c r="AD69" s="83" t="s">
        <v>201</v>
      </c>
      <c r="AE69" s="83" t="s">
        <v>201</v>
      </c>
      <c r="AF69" s="83" t="s">
        <v>201</v>
      </c>
      <c r="AG69" s="83" t="s">
        <v>201</v>
      </c>
      <c r="AH69" s="73"/>
      <c r="AI69" s="73"/>
      <c r="AJ69" s="73"/>
      <c r="AK69" s="73"/>
      <c r="AL69" s="73"/>
      <c r="AM69" s="73"/>
      <c r="AN69" s="73"/>
      <c r="AO69" s="73"/>
      <c r="AP69" s="73"/>
      <c r="AY69" s="2"/>
      <c r="AZ69" s="2"/>
      <c r="BA69" s="2"/>
      <c r="BB69" s="2"/>
      <c r="BC69" s="2"/>
      <c r="BE69" s="83"/>
    </row>
    <row r="70" spans="1:57" ht="12.75" customHeight="1">
      <c r="A70" s="65" t="s">
        <v>47</v>
      </c>
      <c r="B70" s="65" t="s">
        <v>48</v>
      </c>
      <c r="C70" s="73" t="s">
        <v>49</v>
      </c>
      <c r="D70" s="65" t="s">
        <v>48</v>
      </c>
      <c r="E70" s="65" t="s">
        <v>48</v>
      </c>
      <c r="F70" s="65" t="s">
        <v>48</v>
      </c>
      <c r="G70" s="65" t="s">
        <v>48</v>
      </c>
      <c r="H70" s="65" t="s">
        <v>48</v>
      </c>
      <c r="I70" s="65" t="s">
        <v>48</v>
      </c>
      <c r="J70" s="65" t="s">
        <v>48</v>
      </c>
      <c r="K70" s="65" t="s">
        <v>48</v>
      </c>
      <c r="L70" s="65" t="s">
        <v>48</v>
      </c>
      <c r="M70" s="72"/>
      <c r="N70" s="65"/>
      <c r="O70" s="65" t="s">
        <v>122</v>
      </c>
      <c r="P70" s="65" t="s">
        <v>133</v>
      </c>
      <c r="Q70" s="65" t="s">
        <v>182</v>
      </c>
      <c r="R70" s="65" t="s">
        <v>181</v>
      </c>
      <c r="S70" s="84" t="s">
        <v>0</v>
      </c>
      <c r="T70" s="84" t="s">
        <v>0</v>
      </c>
      <c r="U70" s="84" t="s">
        <v>0</v>
      </c>
      <c r="V70" s="84" t="s">
        <v>0</v>
      </c>
      <c r="W70" s="84" t="s">
        <v>0</v>
      </c>
      <c r="X70" s="84" t="s">
        <v>0</v>
      </c>
      <c r="Y70" s="84" t="s">
        <v>0</v>
      </c>
      <c r="Z70" s="84" t="s">
        <v>0</v>
      </c>
      <c r="AA70" s="84" t="s">
        <v>227</v>
      </c>
      <c r="AB70" s="84" t="s">
        <v>0</v>
      </c>
      <c r="AC70" s="84" t="s">
        <v>228</v>
      </c>
      <c r="AD70" s="84" t="s">
        <v>242</v>
      </c>
      <c r="AE70" s="84" t="s">
        <v>242</v>
      </c>
      <c r="AF70" s="84" t="s">
        <v>242</v>
      </c>
      <c r="AG70" s="84" t="s">
        <v>242</v>
      </c>
      <c r="AH70" s="73"/>
      <c r="AI70" s="73"/>
      <c r="AJ70" s="73"/>
      <c r="AK70" s="73"/>
      <c r="AL70" s="73"/>
      <c r="AM70" s="73"/>
      <c r="AN70" s="73"/>
      <c r="AO70" s="73"/>
      <c r="AP70" s="73"/>
      <c r="AY70" s="2"/>
      <c r="AZ70" s="2"/>
      <c r="BA70" s="2"/>
      <c r="BB70" s="2"/>
      <c r="BC70" s="2"/>
      <c r="BE70" s="84"/>
    </row>
    <row r="71" spans="1:57" ht="12.75" customHeight="1">
      <c r="A71" s="65" t="s">
        <v>50</v>
      </c>
      <c r="B71" s="65" t="s">
        <v>51</v>
      </c>
      <c r="C71" s="73" t="s">
        <v>52</v>
      </c>
      <c r="D71" s="65" t="s">
        <v>51</v>
      </c>
      <c r="E71" s="65" t="s">
        <v>51</v>
      </c>
      <c r="F71" s="65" t="s">
        <v>51</v>
      </c>
      <c r="G71" s="65" t="s">
        <v>51</v>
      </c>
      <c r="H71" s="65" t="s">
        <v>51</v>
      </c>
      <c r="I71" s="65" t="s">
        <v>51</v>
      </c>
      <c r="J71" s="65" t="s">
        <v>51</v>
      </c>
      <c r="K71" s="65" t="s">
        <v>51</v>
      </c>
      <c r="L71" s="65" t="s">
        <v>51</v>
      </c>
      <c r="M71" s="72"/>
      <c r="N71" s="65"/>
      <c r="O71" s="85" t="s">
        <v>221</v>
      </c>
      <c r="P71" s="85" t="s">
        <v>222</v>
      </c>
      <c r="Q71" s="85" t="s">
        <v>223</v>
      </c>
      <c r="R71" s="85" t="s">
        <v>224</v>
      </c>
      <c r="S71" s="84" t="s">
        <v>196</v>
      </c>
      <c r="T71" s="84" t="s">
        <v>196</v>
      </c>
      <c r="U71" s="84" t="s">
        <v>196</v>
      </c>
      <c r="V71" s="84" t="s">
        <v>196</v>
      </c>
      <c r="W71" s="84" t="s">
        <v>196</v>
      </c>
      <c r="X71" s="84" t="s">
        <v>196</v>
      </c>
      <c r="Y71" s="84" t="s">
        <v>196</v>
      </c>
      <c r="Z71" s="84" t="s">
        <v>196</v>
      </c>
      <c r="AA71" s="84" t="s">
        <v>228</v>
      </c>
      <c r="AB71" s="84" t="s">
        <v>196</v>
      </c>
      <c r="AC71" s="84" t="s">
        <v>229</v>
      </c>
      <c r="AD71" s="84" t="s">
        <v>229</v>
      </c>
      <c r="AE71" s="84" t="s">
        <v>229</v>
      </c>
      <c r="AF71" s="84" t="s">
        <v>229</v>
      </c>
      <c r="AG71" s="84" t="s">
        <v>229</v>
      </c>
      <c r="AH71" s="73"/>
      <c r="AI71" s="73"/>
      <c r="AJ71" s="73"/>
      <c r="AK71" s="73"/>
      <c r="AL71" s="73"/>
      <c r="AM71" s="73"/>
      <c r="AN71" s="73"/>
      <c r="AO71" s="73"/>
      <c r="AP71" s="73"/>
      <c r="AY71" s="2"/>
      <c r="AZ71" s="2"/>
      <c r="BA71" s="2"/>
      <c r="BB71" s="2"/>
      <c r="BC71" s="2"/>
      <c r="BE71" s="84"/>
    </row>
    <row r="72" spans="1:57" ht="12.75" customHeight="1">
      <c r="A72" s="65" t="s">
        <v>53</v>
      </c>
      <c r="B72" s="65" t="s">
        <v>54</v>
      </c>
      <c r="C72" s="73" t="s">
        <v>55</v>
      </c>
      <c r="D72" s="65" t="s">
        <v>56</v>
      </c>
      <c r="E72" s="65" t="s">
        <v>57</v>
      </c>
      <c r="F72" s="65" t="s">
        <v>58</v>
      </c>
      <c r="G72" s="65" t="s">
        <v>59</v>
      </c>
      <c r="H72" s="65" t="s">
        <v>60</v>
      </c>
      <c r="I72" s="65" t="s">
        <v>61</v>
      </c>
      <c r="J72" s="65" t="s">
        <v>62</v>
      </c>
      <c r="K72" s="80" t="s">
        <v>16</v>
      </c>
      <c r="L72" s="80" t="s">
        <v>17</v>
      </c>
      <c r="M72" s="72"/>
      <c r="N72" s="65"/>
      <c r="O72" s="86" t="s">
        <v>123</v>
      </c>
      <c r="P72" s="86" t="s">
        <v>134</v>
      </c>
      <c r="Q72" s="86" t="s">
        <v>179</v>
      </c>
      <c r="R72" s="86" t="s">
        <v>180</v>
      </c>
      <c r="S72" s="84" t="s">
        <v>120</v>
      </c>
      <c r="T72" s="84" t="s">
        <v>120</v>
      </c>
      <c r="U72" s="84" t="s">
        <v>120</v>
      </c>
      <c r="V72" s="84" t="s">
        <v>120</v>
      </c>
      <c r="W72" s="84" t="s">
        <v>120</v>
      </c>
      <c r="X72" s="84" t="s">
        <v>120</v>
      </c>
      <c r="Y72" s="84" t="s">
        <v>120</v>
      </c>
      <c r="Z72" s="84" t="s">
        <v>120</v>
      </c>
      <c r="AA72" s="84" t="s">
        <v>229</v>
      </c>
      <c r="AB72" s="84" t="s">
        <v>120</v>
      </c>
      <c r="AC72" s="84" t="s">
        <v>230</v>
      </c>
      <c r="AD72" s="87" t="s">
        <v>241</v>
      </c>
      <c r="AE72" s="87" t="s">
        <v>246</v>
      </c>
      <c r="AF72" s="87" t="s">
        <v>257</v>
      </c>
      <c r="AG72" s="87" t="s">
        <v>258</v>
      </c>
      <c r="AH72" s="73"/>
      <c r="AI72" s="73"/>
      <c r="AJ72" s="73"/>
      <c r="AK72" s="73"/>
      <c r="AL72" s="73"/>
      <c r="AM72" s="73"/>
      <c r="AN72" s="73"/>
      <c r="AO72" s="73"/>
      <c r="AP72" s="73"/>
      <c r="AY72" s="2"/>
      <c r="AZ72" s="2"/>
      <c r="BA72" s="2"/>
      <c r="BB72" s="2"/>
      <c r="BC72" s="2"/>
      <c r="BE72" s="84"/>
    </row>
    <row r="73" spans="1:57" ht="12.75" customHeight="1">
      <c r="A73" s="65" t="s">
        <v>63</v>
      </c>
      <c r="B73" s="65" t="s">
        <v>64</v>
      </c>
      <c r="C73" s="73" t="s">
        <v>65</v>
      </c>
      <c r="D73" s="65" t="s">
        <v>64</v>
      </c>
      <c r="E73" s="65" t="s">
        <v>64</v>
      </c>
      <c r="F73" s="65" t="s">
        <v>64</v>
      </c>
      <c r="G73" s="65" t="s">
        <v>64</v>
      </c>
      <c r="H73" s="65" t="s">
        <v>66</v>
      </c>
      <c r="I73" s="65" t="s">
        <v>66</v>
      </c>
      <c r="J73" s="65" t="s">
        <v>66</v>
      </c>
      <c r="K73" s="65" t="s">
        <v>66</v>
      </c>
      <c r="L73" s="65" t="s">
        <v>66</v>
      </c>
      <c r="M73" s="72"/>
      <c r="N73" s="65"/>
      <c r="O73" s="65" t="s">
        <v>124</v>
      </c>
      <c r="P73" s="65" t="s">
        <v>124</v>
      </c>
      <c r="Q73" s="65" t="s">
        <v>124</v>
      </c>
      <c r="R73" s="65" t="s">
        <v>124</v>
      </c>
      <c r="S73" s="84" t="s">
        <v>197</v>
      </c>
      <c r="T73" s="84" t="s">
        <v>197</v>
      </c>
      <c r="U73" s="84" t="s">
        <v>197</v>
      </c>
      <c r="V73" s="84" t="s">
        <v>197</v>
      </c>
      <c r="W73" s="84" t="s">
        <v>197</v>
      </c>
      <c r="X73" s="84" t="s">
        <v>197</v>
      </c>
      <c r="Y73" s="84" t="s">
        <v>197</v>
      </c>
      <c r="Z73" s="84" t="s">
        <v>197</v>
      </c>
      <c r="AA73" s="84" t="s">
        <v>230</v>
      </c>
      <c r="AB73" s="84" t="s">
        <v>197</v>
      </c>
      <c r="AC73" s="87" t="s">
        <v>235</v>
      </c>
      <c r="AD73" s="8" t="s">
        <v>243</v>
      </c>
      <c r="AE73" s="8" t="s">
        <v>243</v>
      </c>
      <c r="AF73" s="8" t="s">
        <v>243</v>
      </c>
      <c r="AG73" s="8" t="s">
        <v>243</v>
      </c>
      <c r="AH73" s="73"/>
      <c r="AI73" s="73"/>
      <c r="AJ73" s="73"/>
      <c r="AK73" s="73"/>
      <c r="AL73" s="73"/>
      <c r="AM73" s="73"/>
      <c r="AN73" s="73"/>
      <c r="AO73" s="73"/>
      <c r="AP73" s="73"/>
      <c r="AY73" s="2"/>
      <c r="AZ73" s="2"/>
      <c r="BA73" s="2"/>
      <c r="BB73" s="2"/>
      <c r="BC73" s="2"/>
      <c r="BE73" s="84"/>
    </row>
    <row r="74" spans="1:57" ht="12.75" customHeight="1">
      <c r="A74" s="65" t="s">
        <v>67</v>
      </c>
      <c r="B74" s="65" t="s">
        <v>68</v>
      </c>
      <c r="C74" s="73" t="s">
        <v>69</v>
      </c>
      <c r="D74" s="65" t="s">
        <v>68</v>
      </c>
      <c r="E74" s="65" t="s">
        <v>68</v>
      </c>
      <c r="F74" s="65" t="s">
        <v>68</v>
      </c>
      <c r="G74" s="65" t="s">
        <v>68</v>
      </c>
      <c r="H74" s="65" t="s">
        <v>70</v>
      </c>
      <c r="I74" s="65" t="s">
        <v>71</v>
      </c>
      <c r="J74" s="65" t="s">
        <v>71</v>
      </c>
      <c r="K74" s="65" t="s">
        <v>71</v>
      </c>
      <c r="L74" s="65" t="s">
        <v>71</v>
      </c>
      <c r="M74" s="72"/>
      <c r="N74" s="65"/>
      <c r="O74" s="65" t="s">
        <v>125</v>
      </c>
      <c r="P74" s="65" t="s">
        <v>125</v>
      </c>
      <c r="Q74" s="65" t="s">
        <v>125</v>
      </c>
      <c r="R74" s="65" t="s">
        <v>125</v>
      </c>
      <c r="S74" s="87" t="s">
        <v>198</v>
      </c>
      <c r="T74" s="87" t="s">
        <v>198</v>
      </c>
      <c r="U74" s="87" t="s">
        <v>198</v>
      </c>
      <c r="V74" s="87" t="s">
        <v>198</v>
      </c>
      <c r="W74" s="87" t="s">
        <v>198</v>
      </c>
      <c r="X74" s="87" t="s">
        <v>198</v>
      </c>
      <c r="Y74" s="87" t="s">
        <v>198</v>
      </c>
      <c r="Z74" s="87" t="s">
        <v>198</v>
      </c>
      <c r="AA74" s="87" t="s">
        <v>232</v>
      </c>
      <c r="AB74" s="87" t="s">
        <v>198</v>
      </c>
      <c r="AC74" s="224" t="s">
        <v>234</v>
      </c>
      <c r="AD74" s="224" t="s">
        <v>234</v>
      </c>
      <c r="AE74" s="224" t="s">
        <v>234</v>
      </c>
      <c r="AF74" s="224" t="s">
        <v>234</v>
      </c>
      <c r="AG74" s="224" t="s">
        <v>234</v>
      </c>
      <c r="AH74" s="73"/>
      <c r="AI74" s="73"/>
      <c r="AJ74" s="73"/>
      <c r="AK74" s="73"/>
      <c r="AL74" s="73"/>
      <c r="AM74" s="73"/>
      <c r="AN74" s="73"/>
      <c r="AO74" s="73"/>
      <c r="AP74" s="73"/>
      <c r="AY74" s="2"/>
      <c r="AZ74" s="2"/>
      <c r="BA74" s="2"/>
      <c r="BB74" s="2"/>
      <c r="BC74" s="2"/>
      <c r="BE74" s="87"/>
    </row>
    <row r="75" spans="1:57" ht="12.75" customHeight="1">
      <c r="A75" s="65" t="s">
        <v>44</v>
      </c>
      <c r="B75" s="65" t="s">
        <v>37</v>
      </c>
      <c r="C75" s="73" t="s">
        <v>72</v>
      </c>
      <c r="D75" s="65" t="s">
        <v>37</v>
      </c>
      <c r="E75" s="65" t="s">
        <v>37</v>
      </c>
      <c r="F75" s="65" t="s">
        <v>37</v>
      </c>
      <c r="G75" s="65" t="s">
        <v>37</v>
      </c>
      <c r="H75" s="65" t="s">
        <v>73</v>
      </c>
      <c r="I75" s="65" t="s">
        <v>73</v>
      </c>
      <c r="J75" s="65" t="s">
        <v>73</v>
      </c>
      <c r="K75" s="65" t="s">
        <v>73</v>
      </c>
      <c r="L75" s="65" t="s">
        <v>73</v>
      </c>
      <c r="M75" s="72"/>
      <c r="N75" s="65"/>
      <c r="O75" s="65" t="s">
        <v>126</v>
      </c>
      <c r="P75" s="65" t="s">
        <v>126</v>
      </c>
      <c r="Q75" s="65" t="s">
        <v>126</v>
      </c>
      <c r="R75" s="65" t="s">
        <v>126</v>
      </c>
      <c r="S75" s="88">
        <v>2003</v>
      </c>
      <c r="T75" s="88">
        <v>2004</v>
      </c>
      <c r="U75" s="88">
        <v>2005</v>
      </c>
      <c r="V75" s="88">
        <v>2006</v>
      </c>
      <c r="W75" s="88">
        <v>2007</v>
      </c>
      <c r="X75" s="88">
        <v>2008</v>
      </c>
      <c r="Y75" s="88">
        <v>2009</v>
      </c>
      <c r="Z75" s="88">
        <v>2010</v>
      </c>
      <c r="AA75" s="88" t="s">
        <v>231</v>
      </c>
      <c r="AB75" s="88">
        <v>2012</v>
      </c>
      <c r="AC75" s="88"/>
      <c r="AD75" s="88"/>
      <c r="AE75" s="88"/>
      <c r="AF75" s="88"/>
      <c r="AG75" s="88"/>
      <c r="AH75" s="73"/>
      <c r="AI75" s="73"/>
      <c r="AJ75" s="73"/>
      <c r="AK75" s="73"/>
      <c r="AL75" s="73"/>
      <c r="AM75" s="73"/>
      <c r="AN75" s="73"/>
      <c r="AO75" s="73"/>
      <c r="AP75" s="73"/>
      <c r="AY75" s="2"/>
      <c r="AZ75" s="2"/>
      <c r="BA75" s="2"/>
      <c r="BB75" s="2"/>
      <c r="BC75" s="2"/>
      <c r="BE75" s="88"/>
    </row>
    <row r="76" spans="1:57" ht="12.75" customHeight="1">
      <c r="A76" s="65" t="s">
        <v>74</v>
      </c>
      <c r="B76" s="65" t="s">
        <v>45</v>
      </c>
      <c r="C76" s="73" t="s">
        <v>38</v>
      </c>
      <c r="D76" s="65" t="s">
        <v>45</v>
      </c>
      <c r="E76" s="65" t="s">
        <v>66</v>
      </c>
      <c r="F76" s="65" t="s">
        <v>66</v>
      </c>
      <c r="G76" s="65" t="s">
        <v>66</v>
      </c>
      <c r="H76" s="65" t="s">
        <v>75</v>
      </c>
      <c r="I76" s="65" t="s">
        <v>76</v>
      </c>
      <c r="J76" s="65" t="s">
        <v>76</v>
      </c>
      <c r="K76" s="65" t="s">
        <v>76</v>
      </c>
      <c r="L76" s="65" t="s">
        <v>76</v>
      </c>
      <c r="M76" s="72"/>
      <c r="N76" s="65"/>
      <c r="O76" s="65" t="s">
        <v>127</v>
      </c>
      <c r="P76" s="65" t="s">
        <v>127</v>
      </c>
      <c r="Q76" s="65" t="s">
        <v>127</v>
      </c>
      <c r="R76" s="65" t="s">
        <v>127</v>
      </c>
      <c r="S76" s="70"/>
      <c r="T76" s="70"/>
      <c r="U76" s="70"/>
      <c r="V76" s="70" t="s">
        <v>206</v>
      </c>
      <c r="W76" s="70" t="s">
        <v>206</v>
      </c>
      <c r="X76" s="70" t="s">
        <v>206</v>
      </c>
      <c r="Y76" s="70" t="s">
        <v>206</v>
      </c>
      <c r="Z76" s="70" t="s">
        <v>206</v>
      </c>
      <c r="AA76" s="70"/>
      <c r="AB76" s="70" t="s">
        <v>206</v>
      </c>
      <c r="AC76" s="70"/>
      <c r="AD76" s="70"/>
      <c r="AE76" s="70"/>
      <c r="AF76" s="70"/>
      <c r="AG76" s="70"/>
      <c r="AH76" s="73"/>
      <c r="AI76" s="73"/>
      <c r="AJ76" s="73"/>
      <c r="AK76" s="73"/>
      <c r="AL76" s="73"/>
      <c r="AM76" s="73"/>
      <c r="AN76" s="73"/>
      <c r="AO76" s="73"/>
      <c r="AP76" s="73"/>
      <c r="AY76" s="2"/>
      <c r="AZ76" s="2"/>
      <c r="BA76" s="2"/>
      <c r="BB76" s="2"/>
      <c r="BC76" s="2"/>
      <c r="BE76" s="70"/>
    </row>
    <row r="77" spans="1:57" ht="12.75" customHeight="1">
      <c r="A77" s="65" t="s">
        <v>43</v>
      </c>
      <c r="B77" s="65" t="s">
        <v>38</v>
      </c>
      <c r="C77" s="73" t="s">
        <v>77</v>
      </c>
      <c r="D77" s="65" t="s">
        <v>38</v>
      </c>
      <c r="E77" s="65" t="s">
        <v>70</v>
      </c>
      <c r="F77" s="65" t="s">
        <v>70</v>
      </c>
      <c r="G77" s="65" t="s">
        <v>70</v>
      </c>
      <c r="H77" s="65" t="s">
        <v>78</v>
      </c>
      <c r="I77" s="65" t="s">
        <v>79</v>
      </c>
      <c r="J77" s="65" t="s">
        <v>79</v>
      </c>
      <c r="K77" s="65" t="s">
        <v>79</v>
      </c>
      <c r="L77" s="65" t="s">
        <v>79</v>
      </c>
      <c r="M77" s="72"/>
      <c r="N77" s="65"/>
      <c r="O77" s="65" t="s">
        <v>128</v>
      </c>
      <c r="P77" s="65" t="s">
        <v>128</v>
      </c>
      <c r="Q77" s="65" t="s">
        <v>128</v>
      </c>
      <c r="R77" s="65" t="s">
        <v>128</v>
      </c>
      <c r="S77" s="70"/>
      <c r="T77" s="70"/>
      <c r="U77" s="70"/>
      <c r="V77" s="70"/>
      <c r="W77" s="70"/>
      <c r="X77" s="70"/>
      <c r="Y77" s="70"/>
      <c r="Z77" s="70"/>
      <c r="AA77" s="70"/>
      <c r="AB77" s="70"/>
      <c r="AC77" s="224"/>
      <c r="AD77" s="224"/>
      <c r="AE77" s="224"/>
      <c r="AF77" s="224"/>
      <c r="AG77" s="224"/>
      <c r="AH77" s="73"/>
      <c r="AI77" s="73"/>
      <c r="AJ77" s="73"/>
      <c r="AK77" s="73"/>
      <c r="AL77" s="73"/>
      <c r="AM77" s="73"/>
      <c r="AN77" s="73"/>
      <c r="AO77" s="73"/>
      <c r="AP77" s="73"/>
      <c r="AY77" s="2"/>
      <c r="AZ77" s="2"/>
      <c r="BA77" s="2"/>
      <c r="BB77" s="2"/>
      <c r="BC77" s="2"/>
      <c r="BE77" s="70"/>
    </row>
    <row r="78" spans="1:57" ht="12.75" customHeight="1">
      <c r="A78" s="65" t="s">
        <v>80</v>
      </c>
      <c r="B78" s="65" t="s">
        <v>49</v>
      </c>
      <c r="C78" s="73" t="s">
        <v>81</v>
      </c>
      <c r="D78" s="65" t="s">
        <v>49</v>
      </c>
      <c r="E78" s="65" t="s">
        <v>73</v>
      </c>
      <c r="F78" s="65" t="s">
        <v>73</v>
      </c>
      <c r="G78" s="65" t="s">
        <v>73</v>
      </c>
      <c r="H78" s="65" t="s">
        <v>79</v>
      </c>
      <c r="I78" s="65" t="s">
        <v>82</v>
      </c>
      <c r="J78" s="65" t="s">
        <v>82</v>
      </c>
      <c r="K78" s="65" t="s">
        <v>82</v>
      </c>
      <c r="L78" s="65" t="s">
        <v>82</v>
      </c>
      <c r="M78" s="72"/>
      <c r="N78" s="65"/>
      <c r="O78" s="65" t="s">
        <v>42</v>
      </c>
      <c r="P78" s="65" t="s">
        <v>42</v>
      </c>
      <c r="Q78" s="65" t="s">
        <v>42</v>
      </c>
      <c r="R78" s="65" t="s">
        <v>42</v>
      </c>
      <c r="S78" s="70"/>
      <c r="T78" s="70"/>
      <c r="U78" s="70"/>
      <c r="V78" s="70"/>
      <c r="W78" s="70"/>
      <c r="X78" s="70"/>
      <c r="Y78" s="70"/>
      <c r="Z78" s="70"/>
      <c r="AA78" s="70"/>
      <c r="AB78" s="70"/>
      <c r="AC78" s="70"/>
      <c r="AD78" s="70"/>
      <c r="AE78" s="70"/>
      <c r="AF78" s="70"/>
      <c r="AG78" s="70"/>
      <c r="AH78" s="73"/>
      <c r="AI78" s="73"/>
      <c r="AJ78" s="73"/>
      <c r="AK78" s="73"/>
      <c r="AL78" s="73"/>
      <c r="AM78" s="73"/>
      <c r="AN78" s="73"/>
      <c r="AO78" s="73"/>
      <c r="AP78" s="73"/>
      <c r="AY78" s="2"/>
      <c r="AZ78" s="2"/>
      <c r="BA78" s="2"/>
      <c r="BB78" s="2"/>
      <c r="BC78" s="2"/>
      <c r="BE78" s="70"/>
    </row>
    <row r="79" spans="1:57" ht="12.75" customHeight="1">
      <c r="A79" s="65" t="s">
        <v>83</v>
      </c>
      <c r="B79" s="65" t="s">
        <v>52</v>
      </c>
      <c r="C79" s="73" t="s">
        <v>84</v>
      </c>
      <c r="D79" s="65" t="s">
        <v>52</v>
      </c>
      <c r="E79" s="65" t="s">
        <v>75</v>
      </c>
      <c r="F79" s="65" t="s">
        <v>75</v>
      </c>
      <c r="G79" s="65" t="s">
        <v>75</v>
      </c>
      <c r="H79" s="65" t="s">
        <v>82</v>
      </c>
      <c r="I79" s="65" t="s">
        <v>38</v>
      </c>
      <c r="J79" s="65" t="s">
        <v>38</v>
      </c>
      <c r="K79" s="65" t="s">
        <v>38</v>
      </c>
      <c r="L79" s="65" t="s">
        <v>38</v>
      </c>
      <c r="M79" s="72"/>
      <c r="N79" s="65"/>
      <c r="O79" s="65" t="s">
        <v>129</v>
      </c>
      <c r="P79" s="65" t="s">
        <v>183</v>
      </c>
      <c r="Q79" s="65" t="s">
        <v>183</v>
      </c>
      <c r="R79" s="65" t="s">
        <v>183</v>
      </c>
      <c r="S79" s="70"/>
      <c r="T79" s="70"/>
      <c r="U79" s="70"/>
      <c r="V79" s="70"/>
      <c r="W79" s="70"/>
      <c r="X79" s="70"/>
      <c r="Y79" s="70"/>
      <c r="Z79" s="70"/>
      <c r="AA79" s="70"/>
      <c r="AB79" s="70"/>
      <c r="AC79" s="70"/>
      <c r="AD79" s="70"/>
      <c r="AE79" s="70"/>
      <c r="AF79" s="70"/>
      <c r="AG79" s="70"/>
      <c r="AH79" s="73"/>
      <c r="AI79" s="73"/>
      <c r="AJ79" s="73"/>
      <c r="AK79" s="73"/>
      <c r="AL79" s="73"/>
      <c r="AM79" s="73"/>
      <c r="AN79" s="73"/>
      <c r="AO79" s="73"/>
      <c r="AP79" s="73"/>
      <c r="AY79" s="2"/>
      <c r="AZ79" s="2"/>
      <c r="BA79" s="2"/>
      <c r="BB79" s="2"/>
      <c r="BC79" s="2"/>
      <c r="BE79" s="70"/>
    </row>
    <row r="80" spans="1:57" ht="12.75" customHeight="1">
      <c r="A80" s="65" t="s">
        <v>85</v>
      </c>
      <c r="B80" s="65" t="s">
        <v>55</v>
      </c>
      <c r="C80" s="73" t="s">
        <v>86</v>
      </c>
      <c r="D80" s="65" t="s">
        <v>55</v>
      </c>
      <c r="E80" s="65" t="s">
        <v>78</v>
      </c>
      <c r="F80" s="65" t="s">
        <v>78</v>
      </c>
      <c r="G80" s="65" t="s">
        <v>78</v>
      </c>
      <c r="H80" s="65" t="s">
        <v>38</v>
      </c>
      <c r="I80" s="65" t="s">
        <v>42</v>
      </c>
      <c r="J80" s="65" t="s">
        <v>42</v>
      </c>
      <c r="K80" s="65" t="s">
        <v>42</v>
      </c>
      <c r="L80" s="65" t="s">
        <v>42</v>
      </c>
      <c r="M80" s="72"/>
      <c r="N80" s="65"/>
      <c r="O80" s="89">
        <v>2000</v>
      </c>
      <c r="P80" s="89">
        <v>2001</v>
      </c>
      <c r="Q80" s="89">
        <v>2001</v>
      </c>
      <c r="R80" s="89">
        <v>2001</v>
      </c>
      <c r="S80" s="90"/>
      <c r="T80" s="90"/>
      <c r="U80" s="90"/>
      <c r="V80" s="90"/>
      <c r="W80" s="90"/>
      <c r="X80" s="90"/>
      <c r="Y80" s="90"/>
      <c r="Z80" s="90"/>
      <c r="AA80" s="90"/>
      <c r="AB80" s="90"/>
      <c r="AC80" s="90"/>
      <c r="AD80" s="90"/>
      <c r="AE80" s="90"/>
      <c r="AF80" s="90"/>
      <c r="AG80" s="90"/>
      <c r="AH80" s="73"/>
      <c r="AI80" s="73"/>
      <c r="AJ80" s="73"/>
      <c r="AK80" s="73"/>
      <c r="AL80" s="73"/>
      <c r="AM80" s="73"/>
      <c r="AN80" s="73"/>
      <c r="AO80" s="73"/>
      <c r="AP80" s="73"/>
      <c r="AY80" s="2"/>
      <c r="AZ80" s="2"/>
      <c r="BA80" s="2"/>
      <c r="BB80" s="2"/>
      <c r="BC80" s="2"/>
      <c r="BE80" s="90"/>
    </row>
    <row r="81" spans="1:57" ht="12.75" customHeight="1">
      <c r="A81" s="65" t="s">
        <v>210</v>
      </c>
      <c r="B81" s="65" t="s">
        <v>79</v>
      </c>
      <c r="C81" s="73" t="s">
        <v>88</v>
      </c>
      <c r="D81" s="65" t="s">
        <v>79</v>
      </c>
      <c r="E81" s="65" t="s">
        <v>79</v>
      </c>
      <c r="F81" s="65" t="s">
        <v>79</v>
      </c>
      <c r="G81" s="65" t="s">
        <v>79</v>
      </c>
      <c r="H81" s="65" t="s">
        <v>42</v>
      </c>
      <c r="I81" s="65" t="s">
        <v>89</v>
      </c>
      <c r="J81" s="65" t="s">
        <v>90</v>
      </c>
      <c r="K81" s="65" t="s">
        <v>110</v>
      </c>
      <c r="L81" s="65" t="s">
        <v>89</v>
      </c>
      <c r="M81" s="72"/>
      <c r="N81" s="65"/>
      <c r="O81" s="81" t="s">
        <v>130</v>
      </c>
      <c r="P81" s="81"/>
      <c r="Q81" s="65"/>
      <c r="AH81" s="73"/>
      <c r="AI81" s="73"/>
      <c r="AJ81" s="73"/>
      <c r="AK81" s="73"/>
      <c r="AL81" s="73"/>
      <c r="AM81" s="73"/>
      <c r="AN81" s="73"/>
      <c r="AO81" s="73"/>
      <c r="AP81" s="73"/>
      <c r="AY81" s="2"/>
      <c r="AZ81" s="2"/>
      <c r="BA81" s="2"/>
      <c r="BB81" s="2"/>
      <c r="BC81" s="2"/>
    </row>
    <row r="82" spans="1:57" ht="12.75" customHeight="1">
      <c r="B82" s="65" t="s">
        <v>82</v>
      </c>
      <c r="C82" s="73"/>
      <c r="D82" s="65" t="s">
        <v>82</v>
      </c>
      <c r="E82" s="65" t="s">
        <v>82</v>
      </c>
      <c r="F82" s="65" t="s">
        <v>82</v>
      </c>
      <c r="G82" s="65" t="s">
        <v>82</v>
      </c>
      <c r="H82" s="65" t="s">
        <v>90</v>
      </c>
      <c r="I82" s="65" t="s">
        <v>92</v>
      </c>
      <c r="J82" s="65" t="s">
        <v>93</v>
      </c>
      <c r="K82" s="81" t="s">
        <v>112</v>
      </c>
      <c r="L82" s="81" t="s">
        <v>111</v>
      </c>
      <c r="M82" s="82"/>
      <c r="N82" s="81"/>
      <c r="O82" s="81"/>
      <c r="P82" s="81"/>
      <c r="Q82" s="65"/>
      <c r="R82" s="91"/>
      <c r="S82" s="92"/>
      <c r="T82" s="92"/>
      <c r="U82" s="92"/>
      <c r="V82" s="92"/>
      <c r="W82" s="92"/>
      <c r="X82" s="92"/>
      <c r="Y82" s="92"/>
      <c r="Z82" s="92"/>
      <c r="AA82" s="92"/>
      <c r="AB82" s="92"/>
      <c r="AC82" s="92"/>
      <c r="AD82" s="92"/>
      <c r="AE82" s="92"/>
      <c r="AF82" s="92"/>
      <c r="AG82" s="92"/>
      <c r="AH82" s="73"/>
      <c r="AI82" s="73"/>
      <c r="AJ82" s="73"/>
      <c r="AK82" s="73"/>
      <c r="AL82" s="73"/>
      <c r="AM82" s="73"/>
      <c r="AN82" s="73"/>
      <c r="AO82" s="73"/>
      <c r="AP82" s="13"/>
      <c r="AY82" s="2"/>
      <c r="AZ82" s="2"/>
      <c r="BA82" s="2"/>
      <c r="BB82" s="2"/>
      <c r="BC82" s="2"/>
      <c r="BE82" s="92"/>
    </row>
    <row r="83" spans="1:57" ht="12.75" customHeight="1">
      <c r="B83" s="65" t="s">
        <v>38</v>
      </c>
      <c r="C83" s="73"/>
      <c r="D83" s="65" t="s">
        <v>38</v>
      </c>
      <c r="E83" s="65" t="s">
        <v>38</v>
      </c>
      <c r="F83" s="65" t="s">
        <v>38</v>
      </c>
      <c r="G83" s="65" t="s">
        <v>38</v>
      </c>
      <c r="H83" s="65" t="s">
        <v>95</v>
      </c>
      <c r="I83" s="65"/>
      <c r="J83" s="65"/>
      <c r="K83" s="65"/>
      <c r="L83" s="65"/>
      <c r="M83" s="77"/>
      <c r="N83" s="65"/>
      <c r="O83" s="65"/>
      <c r="P83" s="65"/>
      <c r="Q83" s="65"/>
      <c r="R83" s="65"/>
      <c r="S83" s="70"/>
      <c r="T83" s="70"/>
      <c r="U83" s="70"/>
      <c r="V83" s="70"/>
      <c r="W83" s="70"/>
      <c r="X83" s="70"/>
      <c r="Y83" s="70"/>
      <c r="Z83" s="70"/>
      <c r="AA83" s="70"/>
      <c r="AB83" s="70"/>
      <c r="AC83" s="70"/>
      <c r="AD83" s="70"/>
      <c r="AE83" s="70"/>
      <c r="AF83" s="70"/>
      <c r="AG83" s="70"/>
      <c r="AH83" s="73"/>
      <c r="AI83" s="73"/>
      <c r="AJ83" s="73"/>
      <c r="AK83" s="73"/>
      <c r="AL83" s="73"/>
      <c r="AM83" s="73"/>
      <c r="AN83" s="73"/>
      <c r="AO83" s="73"/>
      <c r="AP83" s="13"/>
      <c r="AY83" s="2"/>
      <c r="AZ83" s="2"/>
      <c r="BA83" s="2"/>
      <c r="BB83" s="2"/>
      <c r="BC83" s="2"/>
      <c r="BE83" s="70"/>
    </row>
    <row r="84" spans="1:57" ht="12.75" customHeight="1">
      <c r="B84" s="65" t="s">
        <v>42</v>
      </c>
      <c r="C84" s="73"/>
      <c r="D84" s="65" t="s">
        <v>42</v>
      </c>
      <c r="E84" s="65" t="s">
        <v>42</v>
      </c>
      <c r="F84" s="65" t="s">
        <v>42</v>
      </c>
      <c r="G84" s="65" t="s">
        <v>42</v>
      </c>
      <c r="H84" s="65"/>
      <c r="I84" s="65"/>
      <c r="J84" s="65"/>
      <c r="K84" s="65"/>
      <c r="L84" s="65"/>
      <c r="M84" s="77"/>
      <c r="N84" s="65"/>
      <c r="O84" s="65"/>
      <c r="P84" s="65"/>
      <c r="Q84" s="65"/>
      <c r="R84" s="65"/>
      <c r="S84" s="70"/>
      <c r="T84" s="70"/>
      <c r="U84" s="70"/>
      <c r="V84" s="70"/>
      <c r="W84" s="70"/>
      <c r="X84" s="70"/>
      <c r="Y84" s="70"/>
      <c r="Z84" s="70"/>
      <c r="AA84" s="70"/>
      <c r="AB84" s="70"/>
      <c r="AC84" s="70"/>
      <c r="AD84" s="70"/>
      <c r="AE84" s="70"/>
      <c r="AF84" s="70"/>
      <c r="AG84" s="70"/>
      <c r="AH84" s="73"/>
      <c r="AI84" s="73"/>
      <c r="AJ84" s="73"/>
      <c r="AK84" s="73"/>
      <c r="AL84" s="73"/>
      <c r="AM84" s="73"/>
      <c r="AN84" s="73"/>
      <c r="AO84" s="73"/>
      <c r="AP84" s="13"/>
      <c r="AY84" s="2"/>
      <c r="AZ84" s="2"/>
      <c r="BA84" s="2"/>
      <c r="BB84" s="2"/>
      <c r="BC84" s="2"/>
      <c r="BE84" s="70"/>
    </row>
    <row r="85" spans="1:57" ht="12.75" customHeight="1">
      <c r="B85" s="65" t="s">
        <v>97</v>
      </c>
      <c r="C85" s="73"/>
      <c r="D85" s="65" t="s">
        <v>97</v>
      </c>
      <c r="E85" s="65" t="s">
        <v>98</v>
      </c>
      <c r="F85" s="65" t="s">
        <v>98</v>
      </c>
      <c r="G85" s="65" t="s">
        <v>89</v>
      </c>
      <c r="H85" s="65"/>
      <c r="I85" s="65"/>
      <c r="J85" s="65"/>
      <c r="K85" s="65"/>
      <c r="L85" s="65"/>
      <c r="M85" s="77"/>
      <c r="N85" s="65"/>
      <c r="O85" s="65"/>
      <c r="P85" s="65"/>
      <c r="Q85" s="65"/>
      <c r="R85" s="65"/>
      <c r="S85" s="70"/>
      <c r="T85" s="70"/>
      <c r="U85" s="70"/>
      <c r="V85" s="70"/>
      <c r="W85" s="70"/>
      <c r="X85" s="70"/>
      <c r="Y85" s="70"/>
      <c r="Z85" s="70"/>
      <c r="AA85" s="70"/>
      <c r="AB85" s="70"/>
      <c r="AC85" s="70"/>
      <c r="AD85" s="70"/>
      <c r="AE85" s="70"/>
      <c r="AF85" s="70"/>
      <c r="AG85" s="70"/>
      <c r="AH85" s="73"/>
      <c r="AI85" s="73"/>
      <c r="AJ85" s="73"/>
      <c r="AK85" s="73"/>
      <c r="AL85" s="73"/>
      <c r="AM85" s="73"/>
      <c r="AN85" s="73"/>
      <c r="AO85" s="73"/>
      <c r="AP85" s="13"/>
      <c r="AY85" s="2"/>
      <c r="AZ85" s="2"/>
      <c r="BA85" s="2"/>
      <c r="BB85" s="2"/>
      <c r="BC85" s="2"/>
      <c r="BE85" s="70"/>
    </row>
    <row r="86" spans="1:57" ht="12.75" customHeight="1">
      <c r="B86" s="65" t="s">
        <v>100</v>
      </c>
      <c r="C86" s="73"/>
      <c r="D86" s="65" t="s">
        <v>100</v>
      </c>
      <c r="E86" s="65" t="s">
        <v>101</v>
      </c>
      <c r="F86" s="65" t="s">
        <v>101</v>
      </c>
      <c r="G86" s="65" t="s">
        <v>102</v>
      </c>
      <c r="H86" s="65"/>
      <c r="I86" s="65"/>
      <c r="J86" s="65"/>
      <c r="K86" s="65"/>
      <c r="L86" s="65"/>
      <c r="M86" s="77"/>
      <c r="N86" s="65"/>
      <c r="O86" s="65"/>
      <c r="P86" s="65"/>
      <c r="Q86" s="65"/>
      <c r="R86" s="65"/>
      <c r="S86" s="70"/>
      <c r="T86" s="70"/>
      <c r="U86" s="70"/>
      <c r="V86" s="70"/>
      <c r="W86" s="70"/>
      <c r="X86" s="70"/>
      <c r="Y86" s="70"/>
      <c r="Z86" s="70"/>
      <c r="AA86" s="70"/>
      <c r="AB86" s="70"/>
      <c r="AC86" s="70"/>
      <c r="AD86" s="70"/>
      <c r="AE86" s="70"/>
      <c r="AF86" s="70"/>
      <c r="AG86" s="70"/>
      <c r="AH86" s="73"/>
      <c r="AI86" s="73"/>
      <c r="AJ86" s="73"/>
      <c r="AK86" s="73"/>
      <c r="AL86" s="73"/>
      <c r="AM86" s="73"/>
      <c r="AN86" s="73"/>
      <c r="AO86" s="73"/>
      <c r="AP86" s="73"/>
      <c r="AQ86" s="65"/>
      <c r="AR86" s="65"/>
      <c r="AS86" s="65"/>
      <c r="AT86" s="65"/>
      <c r="AU86" s="65"/>
      <c r="AV86" s="65"/>
      <c r="AW86" s="65"/>
      <c r="AX86" s="65"/>
      <c r="BE86" s="70"/>
    </row>
    <row r="87" spans="1:57" ht="12.75" customHeight="1">
      <c r="B87" s="65"/>
      <c r="C87" s="65"/>
      <c r="D87" s="65"/>
      <c r="E87" s="65"/>
      <c r="F87" s="65"/>
      <c r="G87" s="65"/>
      <c r="H87" s="65"/>
      <c r="I87" s="65"/>
      <c r="J87" s="65"/>
      <c r="K87" s="65"/>
      <c r="L87" s="65"/>
      <c r="M87" s="77"/>
      <c r="N87" s="65"/>
      <c r="O87" s="65"/>
      <c r="P87" s="65"/>
      <c r="Q87" s="65"/>
      <c r="R87" s="65"/>
      <c r="S87" s="70"/>
      <c r="T87" s="70"/>
      <c r="U87" s="70"/>
      <c r="V87" s="70"/>
      <c r="W87" s="70"/>
      <c r="X87" s="70"/>
      <c r="Y87" s="70"/>
      <c r="Z87" s="70"/>
      <c r="AA87" s="70"/>
      <c r="AB87" s="70"/>
      <c r="AC87" s="70"/>
      <c r="AD87" s="70"/>
      <c r="AE87" s="70"/>
      <c r="AF87" s="70"/>
      <c r="AG87" s="70"/>
      <c r="AH87" s="73"/>
      <c r="AI87" s="73"/>
      <c r="AJ87" s="73"/>
      <c r="AK87" s="73"/>
      <c r="AL87" s="73"/>
      <c r="AM87" s="73"/>
      <c r="AN87" s="73"/>
      <c r="AO87" s="73"/>
      <c r="AP87" s="73"/>
      <c r="AQ87" s="65"/>
      <c r="AR87" s="65"/>
      <c r="AS87" s="65"/>
      <c r="AT87" s="65"/>
      <c r="AU87" s="65"/>
      <c r="AV87" s="65"/>
      <c r="AW87" s="65"/>
      <c r="AX87" s="65"/>
      <c r="BE87" s="70"/>
    </row>
    <row r="88" spans="1:57" ht="12.75" customHeight="1">
      <c r="B88" s="65"/>
      <c r="C88" s="65"/>
      <c r="D88" s="65"/>
      <c r="E88" s="65"/>
      <c r="F88" s="65"/>
      <c r="G88" s="65"/>
      <c r="H88" s="65"/>
      <c r="I88" s="65"/>
      <c r="J88" s="65"/>
      <c r="K88" s="65"/>
      <c r="L88" s="65"/>
      <c r="M88" s="77"/>
      <c r="N88" s="65"/>
      <c r="O88" s="65"/>
      <c r="P88" s="65"/>
      <c r="Q88" s="65"/>
      <c r="R88" s="65"/>
      <c r="S88" s="70"/>
      <c r="T88" s="70"/>
      <c r="U88" s="70"/>
      <c r="V88" s="70"/>
      <c r="W88" s="70"/>
      <c r="X88" s="70"/>
      <c r="Y88" s="70"/>
      <c r="Z88" s="70"/>
      <c r="AA88" s="70"/>
      <c r="AB88" s="70"/>
      <c r="AC88" s="70"/>
      <c r="AD88" s="70"/>
      <c r="AE88" s="70"/>
      <c r="AF88" s="70"/>
      <c r="AG88" s="70"/>
      <c r="AH88" s="73"/>
      <c r="AI88" s="73"/>
      <c r="AJ88" s="73"/>
      <c r="AK88" s="73"/>
      <c r="AL88" s="73"/>
      <c r="AM88" s="73"/>
      <c r="AN88" s="73"/>
      <c r="AO88" s="73"/>
      <c r="AP88" s="73"/>
      <c r="AQ88" s="65"/>
      <c r="AR88" s="65"/>
      <c r="AS88" s="65"/>
      <c r="AT88" s="65"/>
      <c r="AU88" s="65"/>
      <c r="AV88" s="65"/>
      <c r="AW88" s="65"/>
      <c r="AX88" s="65"/>
      <c r="BE88" s="70"/>
    </row>
    <row r="89" spans="1:57" ht="12.75" customHeight="1">
      <c r="B89" s="65"/>
      <c r="C89" s="65"/>
      <c r="D89" s="65"/>
      <c r="E89" s="65"/>
      <c r="F89" s="65"/>
      <c r="G89" s="65"/>
      <c r="H89" s="65"/>
      <c r="I89" s="65"/>
      <c r="J89" s="65"/>
      <c r="K89" s="65"/>
      <c r="L89" s="65"/>
      <c r="M89" s="77"/>
      <c r="N89" s="65"/>
      <c r="O89" s="65"/>
      <c r="P89" s="65"/>
      <c r="Q89" s="65"/>
      <c r="R89" s="65"/>
      <c r="S89" s="70"/>
      <c r="T89" s="70"/>
      <c r="U89" s="70"/>
      <c r="V89" s="70"/>
      <c r="W89" s="70"/>
      <c r="X89" s="70"/>
      <c r="Y89" s="70"/>
      <c r="Z89" s="70"/>
      <c r="AA89" s="70"/>
      <c r="AB89" s="70"/>
      <c r="AC89" s="70"/>
      <c r="AD89" s="70"/>
      <c r="AE89" s="70"/>
      <c r="AF89" s="70"/>
      <c r="AG89" s="70"/>
      <c r="AH89" s="73"/>
      <c r="AI89" s="73"/>
      <c r="AJ89" s="73"/>
      <c r="AK89" s="73"/>
      <c r="AL89" s="73"/>
      <c r="AM89" s="73"/>
      <c r="AN89" s="73"/>
      <c r="AO89" s="73"/>
      <c r="AP89" s="73"/>
      <c r="AQ89" s="65"/>
      <c r="AR89" s="65"/>
      <c r="AS89" s="65"/>
      <c r="AT89" s="65"/>
      <c r="AU89" s="65"/>
      <c r="AV89" s="65"/>
      <c r="AW89" s="65"/>
      <c r="AX89" s="65"/>
      <c r="BE89" s="70"/>
    </row>
    <row r="90" spans="1:57" ht="12.75" customHeight="1">
      <c r="B90" s="65"/>
      <c r="C90" s="65"/>
      <c r="D90" s="65"/>
      <c r="E90" s="65"/>
      <c r="F90" s="65"/>
      <c r="G90" s="65"/>
      <c r="H90" s="65"/>
      <c r="I90" s="65"/>
      <c r="J90" s="65"/>
      <c r="K90" s="65"/>
      <c r="L90" s="65"/>
      <c r="M90" s="77"/>
      <c r="N90" s="65"/>
      <c r="O90" s="65"/>
      <c r="P90" s="65"/>
      <c r="Q90" s="65"/>
      <c r="R90" s="65"/>
      <c r="S90" s="70"/>
      <c r="T90" s="70"/>
      <c r="U90" s="70"/>
      <c r="V90" s="70"/>
      <c r="W90" s="70"/>
      <c r="X90" s="70"/>
      <c r="Y90" s="70"/>
      <c r="Z90" s="70"/>
      <c r="AA90" s="70"/>
      <c r="AB90" s="70"/>
      <c r="AC90" s="70"/>
      <c r="AD90" s="70"/>
      <c r="AE90" s="70"/>
      <c r="AF90" s="70"/>
      <c r="AG90" s="70"/>
      <c r="AH90" s="73"/>
      <c r="AI90" s="73"/>
      <c r="AJ90" s="73"/>
      <c r="AK90" s="73"/>
      <c r="AL90" s="73"/>
      <c r="AM90" s="73"/>
      <c r="AN90" s="73"/>
      <c r="AO90" s="73"/>
      <c r="AP90" s="73"/>
      <c r="AQ90" s="65"/>
      <c r="AR90" s="65"/>
      <c r="AS90" s="65"/>
      <c r="AT90" s="65"/>
      <c r="AU90" s="65"/>
      <c r="AV90" s="65"/>
      <c r="AW90" s="65"/>
      <c r="AX90" s="65"/>
      <c r="BE90" s="70"/>
    </row>
    <row r="91" spans="1:57" ht="12.75" customHeight="1">
      <c r="B91" s="65"/>
      <c r="C91" s="65"/>
      <c r="D91" s="65"/>
      <c r="E91" s="65"/>
      <c r="F91" s="65"/>
      <c r="G91" s="65"/>
      <c r="H91" s="65"/>
      <c r="I91" s="65"/>
      <c r="J91" s="65"/>
      <c r="K91" s="65"/>
      <c r="L91" s="65"/>
      <c r="M91" s="77"/>
      <c r="N91" s="65"/>
      <c r="O91" s="65"/>
      <c r="P91" s="65"/>
      <c r="Q91" s="65"/>
      <c r="R91" s="65"/>
      <c r="S91" s="70"/>
      <c r="T91" s="70"/>
      <c r="U91" s="70"/>
      <c r="V91" s="70"/>
      <c r="W91" s="70"/>
      <c r="X91" s="70"/>
      <c r="Y91" s="70"/>
      <c r="Z91" s="70"/>
      <c r="AA91" s="70"/>
      <c r="AB91" s="70"/>
      <c r="AC91" s="70"/>
      <c r="AD91" s="70"/>
      <c r="AE91" s="70"/>
      <c r="AF91" s="70"/>
      <c r="AG91" s="70"/>
      <c r="AH91" s="73"/>
      <c r="AI91" s="73"/>
      <c r="AJ91" s="73"/>
      <c r="AK91" s="73"/>
      <c r="AL91" s="73"/>
      <c r="AM91" s="73"/>
      <c r="AN91" s="73"/>
      <c r="AO91" s="73"/>
      <c r="AP91" s="73"/>
      <c r="AQ91" s="65"/>
      <c r="AR91" s="65"/>
      <c r="AS91" s="65"/>
      <c r="AT91" s="65"/>
      <c r="AU91" s="65"/>
      <c r="AV91" s="65"/>
      <c r="AW91" s="65"/>
      <c r="AX91" s="65"/>
      <c r="BE91" s="70"/>
    </row>
    <row r="92" spans="1:57" ht="12.75" customHeight="1">
      <c r="B92" s="65"/>
      <c r="C92" s="65"/>
      <c r="D92" s="65"/>
      <c r="E92" s="65"/>
      <c r="F92" s="65"/>
      <c r="G92" s="65"/>
      <c r="H92" s="65"/>
      <c r="I92" s="65"/>
      <c r="J92" s="65"/>
      <c r="K92" s="65"/>
      <c r="L92" s="65"/>
      <c r="M92" s="77"/>
      <c r="N92" s="65"/>
      <c r="O92" s="65"/>
      <c r="P92" s="65"/>
      <c r="Q92" s="65"/>
      <c r="R92" s="65"/>
      <c r="S92" s="70"/>
      <c r="T92" s="70"/>
      <c r="U92" s="70"/>
      <c r="V92" s="70"/>
      <c r="W92" s="70"/>
      <c r="X92" s="70"/>
      <c r="Y92" s="70"/>
      <c r="Z92" s="70"/>
      <c r="AA92" s="70"/>
      <c r="AB92" s="70"/>
      <c r="AC92" s="70"/>
      <c r="AD92" s="70"/>
      <c r="AE92" s="70"/>
      <c r="AF92" s="70"/>
      <c r="AG92" s="70"/>
      <c r="AH92" s="73"/>
      <c r="AI92" s="73"/>
      <c r="AJ92" s="73"/>
      <c r="AK92" s="73"/>
      <c r="AL92" s="73"/>
      <c r="AM92" s="73"/>
      <c r="AN92" s="73"/>
      <c r="AO92" s="73"/>
      <c r="AP92" s="73"/>
      <c r="AQ92" s="65"/>
      <c r="AR92" s="65"/>
      <c r="AS92" s="65"/>
      <c r="AT92" s="65"/>
      <c r="AU92" s="65"/>
      <c r="AV92" s="65"/>
      <c r="AW92" s="65"/>
      <c r="AX92" s="65"/>
      <c r="BE92" s="70"/>
    </row>
    <row r="93" spans="1:57" ht="12.75" customHeight="1">
      <c r="B93" s="65"/>
      <c r="C93" s="65"/>
      <c r="D93" s="65"/>
      <c r="E93" s="65"/>
      <c r="F93" s="65"/>
      <c r="G93" s="65"/>
      <c r="H93" s="65"/>
      <c r="I93" s="65"/>
      <c r="J93" s="65"/>
      <c r="K93" s="65"/>
      <c r="L93" s="65"/>
      <c r="M93" s="77"/>
      <c r="N93" s="65"/>
      <c r="O93" s="65"/>
      <c r="P93" s="65"/>
      <c r="Q93" s="65"/>
      <c r="R93" s="65"/>
      <c r="S93" s="70"/>
      <c r="T93" s="70"/>
      <c r="U93" s="70"/>
      <c r="V93" s="70"/>
      <c r="W93" s="70"/>
      <c r="X93" s="70"/>
      <c r="Y93" s="70"/>
      <c r="Z93" s="70"/>
      <c r="AA93" s="70"/>
      <c r="AB93" s="70"/>
      <c r="AC93" s="70"/>
      <c r="AD93" s="70"/>
      <c r="AE93" s="70"/>
      <c r="AF93" s="70"/>
      <c r="AG93" s="70"/>
      <c r="AH93" s="73"/>
      <c r="AI93" s="73"/>
      <c r="AJ93" s="73"/>
      <c r="AK93" s="73"/>
      <c r="AL93" s="73"/>
      <c r="AM93" s="73"/>
      <c r="AN93" s="73"/>
      <c r="AO93" s="73"/>
      <c r="AP93" s="73"/>
      <c r="AQ93" s="65"/>
      <c r="AR93" s="65"/>
      <c r="AS93" s="65"/>
      <c r="AT93" s="65"/>
      <c r="AU93" s="65"/>
      <c r="AV93" s="65"/>
      <c r="AW93" s="65"/>
      <c r="AX93" s="65"/>
      <c r="BE93" s="70"/>
    </row>
    <row r="94" spans="1:57" ht="12.75" customHeight="1">
      <c r="B94" s="65"/>
      <c r="C94" s="65"/>
      <c r="D94" s="65"/>
      <c r="E94" s="65"/>
      <c r="F94" s="65"/>
      <c r="G94" s="65"/>
      <c r="H94" s="65"/>
      <c r="I94" s="65"/>
      <c r="J94" s="65"/>
      <c r="K94" s="65"/>
      <c r="L94" s="65"/>
      <c r="M94" s="77"/>
      <c r="N94" s="65"/>
      <c r="O94" s="65"/>
      <c r="P94" s="65"/>
      <c r="Q94" s="65"/>
      <c r="R94" s="65"/>
      <c r="S94" s="70"/>
      <c r="T94" s="70"/>
      <c r="U94" s="70"/>
      <c r="V94" s="70"/>
      <c r="W94" s="70"/>
      <c r="X94" s="70"/>
      <c r="Y94" s="70"/>
      <c r="Z94" s="70"/>
      <c r="AA94" s="70"/>
      <c r="AB94" s="70"/>
      <c r="AC94" s="70"/>
      <c r="AD94" s="70"/>
      <c r="AE94" s="70"/>
      <c r="AF94" s="70"/>
      <c r="AG94" s="70"/>
      <c r="AH94" s="73"/>
      <c r="AI94" s="73"/>
      <c r="AJ94" s="73"/>
      <c r="AK94" s="73"/>
      <c r="AL94" s="73"/>
      <c r="AM94" s="73"/>
      <c r="AN94" s="73"/>
      <c r="AO94" s="73"/>
      <c r="AP94" s="73"/>
      <c r="AQ94" s="65"/>
      <c r="AR94" s="65"/>
      <c r="AS94" s="65"/>
      <c r="AT94" s="65"/>
      <c r="AU94" s="65"/>
      <c r="AV94" s="65"/>
      <c r="AW94" s="65"/>
      <c r="AX94" s="65"/>
      <c r="BE94" s="70"/>
    </row>
    <row r="95" spans="1:57" ht="12.75" customHeight="1">
      <c r="B95" s="65"/>
      <c r="C95" s="65"/>
      <c r="D95" s="65"/>
      <c r="E95" s="65"/>
      <c r="F95" s="65"/>
      <c r="G95" s="65"/>
      <c r="H95" s="65"/>
      <c r="I95" s="65"/>
      <c r="J95" s="65"/>
      <c r="K95" s="65"/>
      <c r="L95" s="65"/>
      <c r="M95" s="77"/>
      <c r="N95" s="65"/>
      <c r="O95" s="65"/>
      <c r="P95" s="65"/>
      <c r="Q95" s="65"/>
      <c r="R95" s="65"/>
      <c r="S95" s="70"/>
      <c r="T95" s="70"/>
      <c r="U95" s="70"/>
      <c r="V95" s="70"/>
      <c r="W95" s="70"/>
      <c r="X95" s="70"/>
      <c r="Y95" s="70"/>
      <c r="Z95" s="70"/>
      <c r="AA95" s="70"/>
      <c r="AB95" s="70"/>
      <c r="AC95" s="70"/>
      <c r="AD95" s="70"/>
      <c r="AE95" s="70"/>
      <c r="AF95" s="70"/>
      <c r="AG95" s="70"/>
      <c r="AH95" s="73"/>
      <c r="AI95" s="73"/>
      <c r="AJ95" s="73"/>
      <c r="AK95" s="73"/>
      <c r="AL95" s="73"/>
      <c r="AM95" s="73"/>
      <c r="AN95" s="73"/>
      <c r="AO95" s="73"/>
      <c r="AP95" s="73"/>
      <c r="AQ95" s="65"/>
      <c r="AR95" s="65"/>
      <c r="AS95" s="65"/>
      <c r="AT95" s="65"/>
      <c r="AU95" s="65"/>
      <c r="AV95" s="65"/>
      <c r="AW95" s="65"/>
      <c r="AX95" s="65"/>
      <c r="BE95" s="70"/>
    </row>
    <row r="96" spans="1:57" ht="12.75" customHeight="1">
      <c r="B96" s="65"/>
      <c r="C96" s="65"/>
      <c r="D96" s="65"/>
      <c r="E96" s="65"/>
      <c r="F96" s="65"/>
      <c r="G96" s="65"/>
      <c r="H96" s="65"/>
      <c r="I96" s="65"/>
      <c r="J96" s="65"/>
      <c r="K96" s="65"/>
      <c r="L96" s="65"/>
      <c r="M96" s="77"/>
      <c r="N96" s="65"/>
      <c r="O96" s="65"/>
      <c r="P96" s="65"/>
      <c r="Q96" s="65"/>
      <c r="R96" s="65"/>
      <c r="S96" s="70"/>
      <c r="T96" s="70"/>
      <c r="U96" s="70"/>
      <c r="V96" s="70"/>
      <c r="W96" s="70"/>
      <c r="X96" s="70"/>
      <c r="Y96" s="70"/>
      <c r="Z96" s="70"/>
      <c r="AA96" s="70"/>
      <c r="AB96" s="70"/>
      <c r="AC96" s="70"/>
      <c r="AD96" s="70"/>
      <c r="AE96" s="70"/>
      <c r="AF96" s="70"/>
      <c r="AG96" s="70"/>
      <c r="AH96" s="73"/>
      <c r="AI96" s="73"/>
      <c r="AJ96" s="73"/>
      <c r="AK96" s="73"/>
      <c r="AL96" s="73"/>
      <c r="AM96" s="73"/>
      <c r="AN96" s="73"/>
      <c r="AO96" s="73"/>
      <c r="AP96" s="73"/>
      <c r="AQ96" s="65"/>
      <c r="AR96" s="65"/>
      <c r="AS96" s="65"/>
      <c r="AT96" s="65"/>
      <c r="AU96" s="65"/>
      <c r="AV96" s="65"/>
      <c r="AW96" s="65"/>
      <c r="AX96" s="65"/>
      <c r="BE96" s="70"/>
    </row>
    <row r="97" spans="2:57" ht="12.75" customHeight="1">
      <c r="B97" s="65"/>
      <c r="C97" s="65"/>
      <c r="D97" s="65"/>
      <c r="E97" s="65"/>
      <c r="F97" s="65"/>
      <c r="G97" s="65"/>
      <c r="H97" s="65"/>
      <c r="I97" s="65"/>
      <c r="J97" s="65"/>
      <c r="K97" s="65"/>
      <c r="L97" s="65"/>
      <c r="M97" s="77"/>
      <c r="N97" s="65"/>
      <c r="O97" s="65"/>
      <c r="P97" s="65"/>
      <c r="Q97" s="65"/>
      <c r="R97" s="65"/>
      <c r="S97" s="70"/>
      <c r="T97" s="70"/>
      <c r="U97" s="70"/>
      <c r="V97" s="70"/>
      <c r="W97" s="70"/>
      <c r="X97" s="70"/>
      <c r="Y97" s="70"/>
      <c r="Z97" s="70"/>
      <c r="AA97" s="70"/>
      <c r="AB97" s="70"/>
      <c r="AC97" s="70"/>
      <c r="AD97" s="70"/>
      <c r="AE97" s="70"/>
      <c r="AF97" s="70"/>
      <c r="AG97" s="70"/>
      <c r="AH97" s="73"/>
      <c r="AI97" s="73"/>
      <c r="AJ97" s="73"/>
      <c r="AK97" s="73"/>
      <c r="AL97" s="73"/>
      <c r="AM97" s="73"/>
      <c r="AN97" s="73"/>
      <c r="AO97" s="73"/>
      <c r="AP97" s="73"/>
      <c r="AQ97" s="65"/>
      <c r="AR97" s="65"/>
      <c r="AS97" s="65"/>
      <c r="AT97" s="65"/>
      <c r="AU97" s="65"/>
      <c r="AV97" s="65"/>
      <c r="AW97" s="65"/>
      <c r="AX97" s="65"/>
      <c r="BE97" s="70"/>
    </row>
    <row r="98" spans="2:57" ht="12.75" customHeight="1">
      <c r="B98" s="65"/>
      <c r="C98" s="65"/>
      <c r="D98" s="65"/>
      <c r="E98" s="65"/>
      <c r="F98" s="65"/>
      <c r="G98" s="65"/>
      <c r="H98" s="65"/>
      <c r="I98" s="65"/>
      <c r="J98" s="65"/>
      <c r="K98" s="65"/>
      <c r="L98" s="65"/>
      <c r="M98" s="77"/>
      <c r="N98" s="65"/>
      <c r="O98" s="65"/>
      <c r="P98" s="65"/>
      <c r="Q98" s="65"/>
      <c r="R98" s="65"/>
      <c r="S98" s="70"/>
      <c r="T98" s="70"/>
      <c r="U98" s="70"/>
      <c r="V98" s="70"/>
      <c r="W98" s="70"/>
      <c r="X98" s="70"/>
      <c r="Y98" s="70"/>
      <c r="Z98" s="70"/>
      <c r="AA98" s="70"/>
      <c r="AB98" s="70"/>
      <c r="AC98" s="70"/>
      <c r="AD98" s="70"/>
      <c r="AE98" s="70"/>
      <c r="AF98" s="70"/>
      <c r="AG98" s="70"/>
      <c r="AH98" s="73"/>
      <c r="AI98" s="73"/>
      <c r="AJ98" s="73"/>
      <c r="AK98" s="73"/>
      <c r="AL98" s="73"/>
      <c r="AM98" s="73"/>
      <c r="AN98" s="73"/>
      <c r="AO98" s="73"/>
      <c r="AP98" s="73"/>
      <c r="AQ98" s="65"/>
      <c r="AR98" s="65"/>
      <c r="AS98" s="65"/>
      <c r="AT98" s="65"/>
      <c r="AU98" s="65"/>
      <c r="AV98" s="65"/>
      <c r="AW98" s="65"/>
      <c r="AX98" s="65"/>
      <c r="BE98" s="70"/>
    </row>
    <row r="99" spans="2:57" ht="12.75" customHeight="1">
      <c r="B99" s="65"/>
      <c r="C99" s="65"/>
      <c r="D99" s="65"/>
      <c r="E99" s="65"/>
      <c r="F99" s="65"/>
      <c r="G99" s="65"/>
      <c r="H99" s="65"/>
      <c r="I99" s="65"/>
      <c r="J99" s="65"/>
      <c r="K99" s="65"/>
      <c r="L99" s="65"/>
      <c r="M99" s="77"/>
      <c r="N99" s="65"/>
      <c r="O99" s="65"/>
      <c r="P99" s="65"/>
      <c r="Q99" s="65"/>
      <c r="R99" s="65"/>
      <c r="S99" s="70"/>
      <c r="T99" s="70"/>
      <c r="U99" s="70"/>
      <c r="V99" s="70"/>
      <c r="W99" s="70"/>
      <c r="X99" s="70"/>
      <c r="Y99" s="70"/>
      <c r="Z99" s="70"/>
      <c r="AA99" s="70"/>
      <c r="AB99" s="70"/>
      <c r="AC99" s="70"/>
      <c r="AD99" s="70"/>
      <c r="AE99" s="70"/>
      <c r="AF99" s="70"/>
      <c r="AG99" s="70"/>
      <c r="AH99" s="73"/>
      <c r="AI99" s="73"/>
      <c r="AJ99" s="73"/>
      <c r="AK99" s="73"/>
      <c r="AL99" s="73"/>
      <c r="AM99" s="73"/>
      <c r="AN99" s="73"/>
      <c r="AO99" s="73"/>
      <c r="AP99" s="73"/>
      <c r="AQ99" s="65"/>
      <c r="AR99" s="65"/>
      <c r="AS99" s="65"/>
      <c r="AT99" s="65"/>
      <c r="AU99" s="65"/>
      <c r="AV99" s="65"/>
      <c r="AW99" s="65"/>
      <c r="AX99" s="65"/>
      <c r="BE99" s="70"/>
    </row>
    <row r="100" spans="2:57" ht="12.75" customHeight="1">
      <c r="B100" s="65"/>
      <c r="C100" s="65"/>
      <c r="D100" s="65"/>
      <c r="E100" s="65"/>
      <c r="F100" s="65"/>
      <c r="G100" s="65"/>
      <c r="H100" s="65"/>
      <c r="I100" s="65"/>
      <c r="J100" s="65"/>
      <c r="K100" s="65"/>
      <c r="L100" s="65"/>
      <c r="M100" s="77"/>
      <c r="N100" s="65"/>
      <c r="O100" s="65"/>
      <c r="P100" s="65"/>
      <c r="Q100" s="65"/>
      <c r="R100" s="65"/>
      <c r="S100" s="70"/>
      <c r="T100" s="70"/>
      <c r="U100" s="70"/>
      <c r="V100" s="70"/>
      <c r="W100" s="70"/>
      <c r="X100" s="70"/>
      <c r="Y100" s="70"/>
      <c r="Z100" s="70"/>
      <c r="AA100" s="70"/>
      <c r="AB100" s="70"/>
      <c r="AC100" s="70"/>
      <c r="AD100" s="70"/>
      <c r="AE100" s="70"/>
      <c r="AF100" s="70"/>
      <c r="AG100" s="70"/>
      <c r="AH100" s="73"/>
      <c r="AI100" s="73"/>
      <c r="AJ100" s="73"/>
      <c r="AK100" s="73"/>
      <c r="AL100" s="73"/>
      <c r="AM100" s="73"/>
      <c r="AN100" s="73"/>
      <c r="AO100" s="73"/>
      <c r="AP100" s="73"/>
      <c r="AQ100" s="65"/>
      <c r="AR100" s="65"/>
      <c r="AS100" s="65"/>
      <c r="AT100" s="65"/>
      <c r="AU100" s="65"/>
      <c r="AV100" s="65"/>
      <c r="AW100" s="65"/>
      <c r="AX100" s="65"/>
      <c r="BE100" s="70"/>
    </row>
    <row r="101" spans="2:57" ht="12.75" customHeight="1">
      <c r="B101" s="65"/>
      <c r="C101" s="65"/>
      <c r="D101" s="65"/>
      <c r="E101" s="65"/>
      <c r="F101" s="65"/>
      <c r="G101" s="65"/>
      <c r="H101" s="65"/>
      <c r="I101" s="65"/>
      <c r="J101" s="65"/>
      <c r="K101" s="65"/>
      <c r="L101" s="65"/>
      <c r="M101" s="77"/>
      <c r="N101" s="65"/>
      <c r="O101" s="65"/>
      <c r="P101" s="65"/>
      <c r="Q101" s="65"/>
      <c r="R101" s="65"/>
      <c r="S101" s="70"/>
      <c r="T101" s="70"/>
      <c r="U101" s="70"/>
      <c r="V101" s="70"/>
      <c r="W101" s="70"/>
      <c r="X101" s="70"/>
      <c r="Y101" s="70"/>
      <c r="Z101" s="70"/>
      <c r="AA101" s="70"/>
      <c r="AB101" s="70"/>
      <c r="AC101" s="70"/>
      <c r="AD101" s="70"/>
      <c r="AE101" s="70"/>
      <c r="AF101" s="70"/>
      <c r="AG101" s="70"/>
      <c r="AH101" s="73"/>
      <c r="AI101" s="73"/>
      <c r="AJ101" s="73"/>
      <c r="AK101" s="73"/>
      <c r="AL101" s="73"/>
      <c r="AM101" s="73"/>
      <c r="AN101" s="73"/>
      <c r="AO101" s="73"/>
      <c r="AP101" s="73"/>
      <c r="AQ101" s="65"/>
      <c r="AR101" s="65"/>
      <c r="AS101" s="65"/>
      <c r="AT101" s="65"/>
      <c r="AU101" s="65"/>
      <c r="AV101" s="65"/>
      <c r="AW101" s="65"/>
      <c r="AX101" s="65"/>
      <c r="BE101" s="70"/>
    </row>
    <row r="102" spans="2:57" ht="12.75" customHeight="1">
      <c r="B102" s="65"/>
      <c r="C102" s="65"/>
      <c r="D102" s="65"/>
      <c r="E102" s="65"/>
      <c r="F102" s="65"/>
      <c r="G102" s="65"/>
      <c r="H102" s="65"/>
      <c r="I102" s="65"/>
      <c r="J102" s="65"/>
      <c r="K102" s="65"/>
      <c r="L102" s="65"/>
      <c r="M102" s="77"/>
      <c r="N102" s="65"/>
      <c r="O102" s="65"/>
      <c r="P102" s="65"/>
      <c r="Q102" s="65"/>
      <c r="R102" s="65"/>
      <c r="S102" s="70"/>
      <c r="T102" s="70"/>
      <c r="U102" s="70"/>
      <c r="V102" s="70"/>
      <c r="W102" s="70"/>
      <c r="X102" s="70"/>
      <c r="Y102" s="70"/>
      <c r="Z102" s="70"/>
      <c r="AA102" s="70"/>
      <c r="AB102" s="70"/>
      <c r="AC102" s="70"/>
      <c r="AD102" s="70"/>
      <c r="AE102" s="70"/>
      <c r="AF102" s="70"/>
      <c r="AG102" s="70"/>
      <c r="AH102" s="73"/>
      <c r="AI102" s="73"/>
      <c r="AJ102" s="73"/>
      <c r="AK102" s="73"/>
      <c r="AL102" s="73"/>
      <c r="AM102" s="73"/>
      <c r="AN102" s="73"/>
      <c r="AO102" s="73"/>
      <c r="AP102" s="73"/>
      <c r="AQ102" s="65"/>
      <c r="AR102" s="65"/>
      <c r="AS102" s="65"/>
      <c r="AT102" s="65"/>
      <c r="AU102" s="65"/>
      <c r="AV102" s="65"/>
      <c r="AW102" s="65"/>
      <c r="AX102" s="65"/>
      <c r="BE102" s="70"/>
    </row>
    <row r="103" spans="2:57" ht="12.75" customHeight="1">
      <c r="B103" s="65"/>
      <c r="C103" s="65"/>
      <c r="D103" s="65"/>
      <c r="E103" s="65"/>
      <c r="F103" s="65"/>
      <c r="G103" s="65"/>
      <c r="H103" s="65"/>
      <c r="I103" s="65"/>
      <c r="J103" s="65"/>
      <c r="K103" s="65"/>
      <c r="L103" s="65"/>
      <c r="M103" s="77"/>
      <c r="N103" s="65"/>
      <c r="O103" s="65"/>
      <c r="P103" s="65"/>
      <c r="Q103" s="65"/>
      <c r="R103" s="65"/>
      <c r="S103" s="70"/>
      <c r="T103" s="70"/>
      <c r="U103" s="70"/>
      <c r="V103" s="70"/>
      <c r="W103" s="70"/>
      <c r="X103" s="70"/>
      <c r="Y103" s="70"/>
      <c r="Z103" s="70"/>
      <c r="AA103" s="70"/>
      <c r="AB103" s="70"/>
      <c r="AC103" s="70"/>
      <c r="AD103" s="70"/>
      <c r="AE103" s="70"/>
      <c r="AF103" s="70"/>
      <c r="AG103" s="70"/>
      <c r="AH103" s="65"/>
      <c r="AI103" s="73"/>
      <c r="AJ103" s="65"/>
      <c r="AK103" s="65"/>
      <c r="AL103" s="65"/>
      <c r="AM103" s="65"/>
      <c r="AN103" s="65"/>
      <c r="AO103" s="65"/>
      <c r="AP103" s="65"/>
      <c r="AQ103" s="65"/>
      <c r="AR103" s="65"/>
      <c r="AS103" s="65"/>
      <c r="AT103" s="65"/>
      <c r="AU103" s="65"/>
      <c r="AV103" s="65"/>
      <c r="AW103" s="65"/>
      <c r="AX103" s="65"/>
      <c r="BE103" s="70"/>
    </row>
    <row r="104" spans="2:57" ht="12.75" customHeight="1">
      <c r="B104" s="65"/>
      <c r="C104" s="65"/>
      <c r="D104" s="65"/>
      <c r="E104" s="65"/>
      <c r="F104" s="65"/>
      <c r="G104" s="65"/>
      <c r="H104" s="65"/>
      <c r="I104" s="65"/>
      <c r="J104" s="65"/>
      <c r="K104" s="65"/>
      <c r="L104" s="65"/>
      <c r="M104" s="77"/>
      <c r="N104" s="65"/>
      <c r="O104" s="65"/>
      <c r="P104" s="65"/>
      <c r="Q104" s="65"/>
      <c r="R104" s="65"/>
      <c r="S104" s="70"/>
      <c r="T104" s="70"/>
      <c r="U104" s="70"/>
      <c r="V104" s="70"/>
      <c r="W104" s="70"/>
      <c r="X104" s="70"/>
      <c r="Y104" s="70"/>
      <c r="Z104" s="70"/>
      <c r="AA104" s="70"/>
      <c r="AB104" s="70"/>
      <c r="AC104" s="70"/>
      <c r="AD104" s="70"/>
      <c r="AE104" s="70"/>
      <c r="AF104" s="70"/>
      <c r="AG104" s="70"/>
      <c r="AH104" s="65"/>
      <c r="AI104" s="73"/>
      <c r="AJ104" s="65"/>
      <c r="AK104" s="65"/>
      <c r="AL104" s="65"/>
      <c r="AM104" s="65"/>
      <c r="AN104" s="65"/>
      <c r="AO104" s="65"/>
      <c r="AP104" s="65"/>
      <c r="AQ104" s="65"/>
      <c r="AR104" s="65"/>
      <c r="AS104" s="65"/>
      <c r="AT104" s="65"/>
      <c r="AU104" s="65"/>
      <c r="AV104" s="65"/>
      <c r="AW104" s="65"/>
      <c r="AX104" s="65"/>
      <c r="BE104" s="70"/>
    </row>
    <row r="105" spans="2:57" ht="12.75" customHeight="1">
      <c r="B105" s="65"/>
      <c r="C105" s="65"/>
      <c r="D105" s="65"/>
      <c r="E105" s="65"/>
      <c r="F105" s="65"/>
      <c r="G105" s="65"/>
      <c r="H105" s="65"/>
      <c r="I105" s="65"/>
      <c r="J105" s="65"/>
      <c r="K105" s="65"/>
      <c r="L105" s="65"/>
      <c r="M105" s="77"/>
      <c r="N105" s="65"/>
      <c r="O105" s="65"/>
      <c r="P105" s="65"/>
      <c r="Q105" s="65"/>
      <c r="R105" s="65"/>
      <c r="S105" s="70"/>
      <c r="T105" s="70"/>
      <c r="U105" s="70"/>
      <c r="V105" s="70"/>
      <c r="W105" s="70"/>
      <c r="X105" s="70"/>
      <c r="Y105" s="70"/>
      <c r="Z105" s="70"/>
      <c r="AA105" s="70"/>
      <c r="AB105" s="70"/>
      <c r="AC105" s="70"/>
      <c r="AD105" s="70"/>
      <c r="AE105" s="70"/>
      <c r="AF105" s="70"/>
      <c r="AG105" s="70"/>
      <c r="AH105" s="65"/>
      <c r="AI105" s="73"/>
      <c r="AJ105" s="65"/>
      <c r="AK105" s="65"/>
      <c r="AL105" s="65"/>
      <c r="AM105" s="65"/>
      <c r="AN105" s="65"/>
      <c r="AO105" s="65"/>
      <c r="AP105" s="65"/>
      <c r="AQ105" s="65"/>
      <c r="AR105" s="65"/>
      <c r="AS105" s="65"/>
      <c r="AT105" s="65"/>
      <c r="AU105" s="65"/>
      <c r="AV105" s="65"/>
      <c r="AW105" s="65"/>
      <c r="AX105" s="65"/>
      <c r="BE105" s="70"/>
    </row>
    <row r="106" spans="2:57">
      <c r="B106" s="65"/>
      <c r="C106" s="65"/>
      <c r="D106" s="65"/>
      <c r="E106" s="65"/>
      <c r="F106" s="65"/>
      <c r="G106" s="65"/>
      <c r="H106" s="65"/>
      <c r="I106" s="65"/>
      <c r="J106" s="65"/>
      <c r="K106" s="65"/>
      <c r="L106" s="65"/>
      <c r="M106" s="77"/>
      <c r="N106" s="65"/>
      <c r="O106" s="65"/>
      <c r="P106" s="65"/>
      <c r="Q106" s="65"/>
      <c r="R106" s="65"/>
      <c r="S106" s="70"/>
      <c r="T106" s="70"/>
      <c r="U106" s="70"/>
      <c r="V106" s="70"/>
      <c r="W106" s="70"/>
      <c r="X106" s="70"/>
      <c r="Y106" s="70"/>
      <c r="Z106" s="70"/>
      <c r="AA106" s="70"/>
      <c r="AB106" s="70"/>
      <c r="AC106" s="70"/>
      <c r="AD106" s="70"/>
      <c r="AE106" s="70"/>
      <c r="AF106" s="70"/>
      <c r="AG106" s="70"/>
      <c r="AH106" s="65"/>
      <c r="AI106" s="73"/>
      <c r="AJ106" s="65"/>
      <c r="AK106" s="65"/>
      <c r="AL106" s="65"/>
      <c r="AM106" s="65"/>
      <c r="AN106" s="65"/>
      <c r="AO106" s="65"/>
      <c r="AP106" s="65"/>
      <c r="AQ106" s="65"/>
      <c r="AR106" s="65"/>
      <c r="AS106" s="65"/>
      <c r="AT106" s="65"/>
      <c r="AU106" s="65"/>
      <c r="AV106" s="65"/>
      <c r="AW106" s="65"/>
      <c r="AX106" s="65"/>
      <c r="BE106" s="70"/>
    </row>
    <row r="107" spans="2:57">
      <c r="B107" s="65"/>
      <c r="C107" s="65"/>
      <c r="D107" s="65"/>
      <c r="E107" s="65"/>
      <c r="F107" s="65"/>
      <c r="G107" s="65"/>
      <c r="H107" s="65"/>
      <c r="I107" s="65"/>
      <c r="J107" s="65"/>
      <c r="K107" s="65"/>
      <c r="L107" s="65"/>
      <c r="M107" s="77"/>
      <c r="N107" s="65"/>
      <c r="O107" s="65"/>
      <c r="P107" s="65"/>
      <c r="Q107" s="65"/>
      <c r="R107" s="65"/>
      <c r="S107" s="70"/>
      <c r="T107" s="70"/>
      <c r="U107" s="70"/>
      <c r="V107" s="70"/>
      <c r="W107" s="70"/>
      <c r="X107" s="70"/>
      <c r="Y107" s="70"/>
      <c r="Z107" s="70"/>
      <c r="AA107" s="70"/>
      <c r="AB107" s="70"/>
      <c r="AC107" s="70"/>
      <c r="AD107" s="70"/>
      <c r="AE107" s="70"/>
      <c r="AF107" s="70"/>
      <c r="AG107" s="70"/>
      <c r="AH107" s="65"/>
      <c r="AI107" s="73"/>
      <c r="AJ107" s="65"/>
      <c r="AK107" s="65"/>
      <c r="AL107" s="65"/>
      <c r="AM107" s="65"/>
      <c r="AN107" s="65"/>
      <c r="AO107" s="65"/>
      <c r="AP107" s="65"/>
      <c r="AQ107" s="65"/>
      <c r="AR107" s="65"/>
      <c r="AS107" s="65"/>
      <c r="AT107" s="65"/>
      <c r="AU107" s="65"/>
      <c r="AV107" s="65"/>
      <c r="AW107" s="65"/>
      <c r="AX107" s="65"/>
      <c r="BE107" s="70"/>
    </row>
    <row r="108" spans="2:57">
      <c r="B108" s="65"/>
      <c r="C108" s="65"/>
      <c r="D108" s="65"/>
      <c r="E108" s="65"/>
      <c r="F108" s="65"/>
      <c r="G108" s="65"/>
      <c r="H108" s="65"/>
      <c r="I108" s="65"/>
      <c r="J108" s="65"/>
      <c r="K108" s="65"/>
      <c r="L108" s="65"/>
      <c r="M108" s="77"/>
      <c r="N108" s="65"/>
      <c r="O108" s="65"/>
      <c r="P108" s="65"/>
      <c r="Q108" s="65"/>
      <c r="R108" s="65"/>
      <c r="S108" s="70"/>
      <c r="T108" s="70"/>
      <c r="U108" s="70"/>
      <c r="V108" s="70"/>
      <c r="W108" s="70"/>
      <c r="X108" s="70"/>
      <c r="Y108" s="70"/>
      <c r="Z108" s="70"/>
      <c r="AA108" s="70"/>
      <c r="AB108" s="70"/>
      <c r="AC108" s="70"/>
      <c r="AD108" s="70"/>
      <c r="AE108" s="70"/>
      <c r="AF108" s="70"/>
      <c r="AG108" s="70"/>
      <c r="AH108" s="65"/>
      <c r="AI108" s="73"/>
      <c r="AJ108" s="65"/>
      <c r="AK108" s="65"/>
      <c r="AL108" s="65"/>
      <c r="AM108" s="65"/>
      <c r="AN108" s="65"/>
      <c r="AO108" s="65"/>
      <c r="AP108" s="65"/>
      <c r="AQ108" s="65"/>
      <c r="AR108" s="65"/>
      <c r="AS108" s="65"/>
      <c r="AT108" s="65"/>
      <c r="AU108" s="65"/>
      <c r="AV108" s="65"/>
      <c r="AW108" s="65"/>
      <c r="AX108" s="65"/>
      <c r="BE108" s="70"/>
    </row>
    <row r="109" spans="2:57">
      <c r="B109" s="65"/>
      <c r="C109" s="65"/>
      <c r="D109" s="65"/>
      <c r="E109" s="65"/>
      <c r="F109" s="65"/>
      <c r="G109" s="65"/>
      <c r="H109" s="65"/>
      <c r="I109" s="65"/>
      <c r="J109" s="65"/>
      <c r="K109" s="65"/>
      <c r="L109" s="65"/>
      <c r="M109" s="77"/>
      <c r="N109" s="65"/>
      <c r="O109" s="65"/>
      <c r="P109" s="65"/>
      <c r="Q109" s="65"/>
      <c r="R109" s="65"/>
      <c r="S109" s="70"/>
      <c r="T109" s="70"/>
      <c r="U109" s="70"/>
      <c r="V109" s="70"/>
      <c r="W109" s="70"/>
      <c r="X109" s="70"/>
      <c r="Y109" s="70"/>
      <c r="Z109" s="70"/>
      <c r="AA109" s="70"/>
      <c r="AB109" s="70"/>
      <c r="AC109" s="70"/>
      <c r="AD109" s="70"/>
      <c r="AE109" s="70"/>
      <c r="AF109" s="70"/>
      <c r="AG109" s="70"/>
      <c r="AH109" s="65"/>
      <c r="AI109" s="73"/>
      <c r="AJ109" s="65"/>
      <c r="AK109" s="65"/>
      <c r="AL109" s="65"/>
      <c r="AM109" s="65"/>
      <c r="AN109" s="65"/>
      <c r="AO109" s="65"/>
      <c r="AP109" s="65"/>
      <c r="AQ109" s="65"/>
      <c r="AR109" s="65"/>
      <c r="AS109" s="65"/>
      <c r="AT109" s="65"/>
      <c r="AU109" s="65"/>
      <c r="AV109" s="65"/>
      <c r="AW109" s="65"/>
      <c r="AX109" s="65"/>
      <c r="BE109" s="70"/>
    </row>
    <row r="110" spans="2:57">
      <c r="B110" s="65"/>
      <c r="C110" s="65"/>
      <c r="D110" s="65"/>
      <c r="E110" s="65"/>
      <c r="F110" s="65"/>
      <c r="G110" s="65"/>
      <c r="H110" s="65"/>
      <c r="I110" s="65"/>
      <c r="J110" s="65"/>
      <c r="K110" s="65"/>
      <c r="L110" s="65"/>
      <c r="M110" s="77"/>
      <c r="N110" s="65"/>
      <c r="O110" s="65"/>
      <c r="P110" s="65"/>
      <c r="Q110" s="65"/>
      <c r="R110" s="65"/>
      <c r="S110" s="70"/>
      <c r="T110" s="70"/>
      <c r="U110" s="70"/>
      <c r="V110" s="70"/>
      <c r="W110" s="70"/>
      <c r="X110" s="70"/>
      <c r="Y110" s="70"/>
      <c r="Z110" s="70"/>
      <c r="AA110" s="70"/>
      <c r="AB110" s="70"/>
      <c r="AC110" s="70"/>
      <c r="AD110" s="70"/>
      <c r="AE110" s="70"/>
      <c r="AF110" s="70"/>
      <c r="AG110" s="70"/>
      <c r="AH110" s="65"/>
      <c r="AI110" s="73"/>
      <c r="AJ110" s="65"/>
      <c r="AK110" s="65"/>
      <c r="AL110" s="65"/>
      <c r="AM110" s="65"/>
      <c r="AN110" s="65"/>
      <c r="AO110" s="65"/>
      <c r="AP110" s="65"/>
      <c r="AQ110" s="65"/>
      <c r="AR110" s="65"/>
      <c r="AS110" s="65"/>
      <c r="AT110" s="65"/>
      <c r="AU110" s="65"/>
      <c r="AV110" s="65"/>
      <c r="AW110" s="65"/>
      <c r="AX110" s="65"/>
      <c r="BE110" s="70"/>
    </row>
    <row r="111" spans="2:57">
      <c r="B111" s="65"/>
      <c r="C111" s="65"/>
      <c r="D111" s="65"/>
      <c r="E111" s="65"/>
      <c r="F111" s="65"/>
      <c r="G111" s="65"/>
      <c r="H111" s="65"/>
      <c r="I111" s="65"/>
      <c r="J111" s="65"/>
      <c r="K111" s="65"/>
      <c r="L111" s="65"/>
      <c r="M111" s="77"/>
      <c r="N111" s="65"/>
      <c r="O111" s="65"/>
      <c r="P111" s="65"/>
      <c r="Q111" s="65"/>
      <c r="R111" s="65"/>
      <c r="S111" s="70"/>
      <c r="T111" s="70"/>
      <c r="U111" s="70"/>
      <c r="V111" s="70"/>
      <c r="W111" s="70"/>
      <c r="X111" s="70"/>
      <c r="Y111" s="70"/>
      <c r="Z111" s="70"/>
      <c r="AA111" s="70"/>
      <c r="AB111" s="70"/>
      <c r="AC111" s="70"/>
      <c r="AD111" s="70"/>
      <c r="AE111" s="70"/>
      <c r="AF111" s="70"/>
      <c r="AG111" s="70"/>
      <c r="AH111" s="65"/>
      <c r="AI111" s="73"/>
      <c r="AJ111" s="65"/>
      <c r="AK111" s="65"/>
      <c r="AL111" s="65"/>
      <c r="AM111" s="65"/>
      <c r="AN111" s="65"/>
      <c r="AO111" s="65"/>
      <c r="AP111" s="65"/>
      <c r="AQ111" s="65"/>
      <c r="AR111" s="65"/>
      <c r="AS111" s="65"/>
      <c r="AT111" s="65"/>
      <c r="AU111" s="65"/>
      <c r="AV111" s="65"/>
      <c r="AW111" s="65"/>
      <c r="AX111" s="65"/>
      <c r="BE111" s="70"/>
    </row>
    <row r="112" spans="2:57">
      <c r="B112" s="65"/>
      <c r="C112" s="65"/>
      <c r="D112" s="65"/>
      <c r="E112" s="65"/>
      <c r="F112" s="65"/>
      <c r="G112" s="65"/>
      <c r="H112" s="65"/>
      <c r="I112" s="65"/>
      <c r="J112" s="65"/>
      <c r="K112" s="65"/>
      <c r="L112" s="65"/>
      <c r="M112" s="77"/>
      <c r="N112" s="65"/>
      <c r="O112" s="65"/>
      <c r="P112" s="65"/>
      <c r="Q112" s="65"/>
      <c r="R112" s="65"/>
      <c r="S112" s="70"/>
      <c r="T112" s="70"/>
      <c r="U112" s="70"/>
      <c r="V112" s="70"/>
      <c r="W112" s="70"/>
      <c r="X112" s="70"/>
      <c r="Y112" s="70"/>
      <c r="Z112" s="70"/>
      <c r="AA112" s="70"/>
      <c r="AB112" s="70"/>
      <c r="AC112" s="70"/>
      <c r="AD112" s="70"/>
      <c r="AE112" s="70"/>
      <c r="AF112" s="70"/>
      <c r="AG112" s="70"/>
      <c r="AH112" s="65"/>
      <c r="AI112" s="73"/>
      <c r="AJ112" s="65"/>
      <c r="AK112" s="65"/>
      <c r="AL112" s="65"/>
      <c r="AM112" s="65"/>
      <c r="AN112" s="65"/>
      <c r="AO112" s="65"/>
      <c r="AP112" s="65"/>
      <c r="AQ112" s="65"/>
      <c r="AR112" s="65"/>
      <c r="AS112" s="65"/>
      <c r="AT112" s="65"/>
      <c r="AU112" s="65"/>
      <c r="AV112" s="65"/>
      <c r="AW112" s="65"/>
      <c r="AX112" s="65"/>
      <c r="BE112" s="70"/>
    </row>
    <row r="113" spans="2:57">
      <c r="B113" s="65"/>
      <c r="C113" s="65"/>
      <c r="D113" s="65"/>
      <c r="E113" s="65"/>
      <c r="F113" s="65"/>
      <c r="G113" s="65"/>
      <c r="H113" s="65"/>
      <c r="I113" s="65"/>
      <c r="J113" s="65"/>
      <c r="K113" s="65"/>
      <c r="L113" s="65"/>
      <c r="M113" s="77"/>
      <c r="N113" s="65"/>
      <c r="O113" s="65"/>
      <c r="P113" s="65"/>
      <c r="Q113" s="65"/>
      <c r="R113" s="65"/>
      <c r="S113" s="70"/>
      <c r="T113" s="70"/>
      <c r="U113" s="70"/>
      <c r="V113" s="70"/>
      <c r="W113" s="70"/>
      <c r="X113" s="70"/>
      <c r="Y113" s="70"/>
      <c r="Z113" s="70"/>
      <c r="AA113" s="70"/>
      <c r="AB113" s="70"/>
      <c r="AC113" s="70"/>
      <c r="AD113" s="70"/>
      <c r="AE113" s="70"/>
      <c r="AF113" s="70"/>
      <c r="AG113" s="70"/>
      <c r="AH113" s="65"/>
      <c r="AI113" s="73"/>
      <c r="AJ113" s="65"/>
      <c r="AK113" s="65"/>
      <c r="AL113" s="65"/>
      <c r="AM113" s="65"/>
      <c r="AN113" s="65"/>
      <c r="AO113" s="65"/>
      <c r="AP113" s="65"/>
      <c r="AQ113" s="65"/>
      <c r="AR113" s="65"/>
      <c r="AS113" s="65"/>
      <c r="AT113" s="65"/>
      <c r="AU113" s="65"/>
      <c r="AV113" s="65"/>
      <c r="AW113" s="65"/>
      <c r="AX113" s="65"/>
      <c r="BE113" s="70"/>
    </row>
    <row r="114" spans="2:57">
      <c r="B114" s="65"/>
      <c r="C114" s="65"/>
      <c r="D114" s="65"/>
      <c r="E114" s="65"/>
      <c r="F114" s="65"/>
      <c r="G114" s="65"/>
      <c r="H114" s="65"/>
      <c r="I114" s="65"/>
      <c r="J114" s="65"/>
      <c r="K114" s="65"/>
      <c r="L114" s="65"/>
      <c r="M114" s="77"/>
      <c r="N114" s="65"/>
      <c r="O114" s="65"/>
      <c r="P114" s="65"/>
      <c r="Q114" s="65"/>
      <c r="R114" s="65"/>
      <c r="S114" s="70"/>
      <c r="T114" s="70"/>
      <c r="U114" s="70"/>
      <c r="V114" s="70"/>
      <c r="W114" s="70"/>
      <c r="X114" s="70"/>
      <c r="Y114" s="70"/>
      <c r="Z114" s="70"/>
      <c r="AA114" s="70"/>
      <c r="AB114" s="70"/>
      <c r="AC114" s="70"/>
      <c r="AD114" s="70"/>
      <c r="AE114" s="70"/>
      <c r="AF114" s="70"/>
      <c r="AG114" s="70"/>
      <c r="AH114" s="65"/>
      <c r="AI114" s="73"/>
      <c r="AJ114" s="65"/>
      <c r="AK114" s="65"/>
      <c r="AL114" s="65"/>
      <c r="AM114" s="65"/>
      <c r="AN114" s="65"/>
      <c r="AO114" s="65"/>
      <c r="AP114" s="65"/>
      <c r="AQ114" s="65"/>
      <c r="AR114" s="65"/>
      <c r="AS114" s="65"/>
      <c r="AT114" s="65"/>
      <c r="AU114" s="65"/>
      <c r="AV114" s="65"/>
      <c r="AW114" s="65"/>
      <c r="AX114" s="65"/>
      <c r="BE114" s="70"/>
    </row>
    <row r="115" spans="2:57">
      <c r="B115" s="65"/>
      <c r="C115" s="65"/>
      <c r="D115" s="65"/>
      <c r="E115" s="65"/>
      <c r="F115" s="65"/>
      <c r="G115" s="65"/>
      <c r="H115" s="65"/>
      <c r="I115" s="65"/>
      <c r="J115" s="65"/>
      <c r="K115" s="65"/>
      <c r="L115" s="65"/>
      <c r="M115" s="77"/>
      <c r="N115" s="65"/>
      <c r="O115" s="65"/>
      <c r="P115" s="65"/>
      <c r="Q115" s="65"/>
      <c r="R115" s="65"/>
      <c r="S115" s="70"/>
      <c r="T115" s="70"/>
      <c r="U115" s="70"/>
      <c r="V115" s="70"/>
      <c r="W115" s="70"/>
      <c r="X115" s="70"/>
      <c r="Y115" s="70"/>
      <c r="Z115" s="70"/>
      <c r="AA115" s="70"/>
      <c r="AB115" s="70"/>
      <c r="AC115" s="70"/>
      <c r="AD115" s="70"/>
      <c r="AE115" s="70"/>
      <c r="AF115" s="70"/>
      <c r="AG115" s="70"/>
      <c r="AH115" s="65"/>
      <c r="AI115" s="73"/>
      <c r="AJ115" s="65"/>
      <c r="AK115" s="65"/>
      <c r="AL115" s="65"/>
      <c r="AM115" s="65"/>
      <c r="AN115" s="65"/>
      <c r="AO115" s="65"/>
      <c r="AP115" s="65"/>
      <c r="AQ115" s="65"/>
      <c r="AR115" s="65"/>
      <c r="AS115" s="65"/>
      <c r="AT115" s="65"/>
      <c r="AU115" s="65"/>
      <c r="AV115" s="65"/>
      <c r="AW115" s="65"/>
      <c r="AX115" s="65"/>
      <c r="BE115" s="70"/>
    </row>
    <row r="116" spans="2:57">
      <c r="B116" s="65"/>
      <c r="C116" s="65"/>
      <c r="D116" s="65"/>
      <c r="E116" s="65"/>
      <c r="F116" s="65"/>
      <c r="G116" s="65"/>
      <c r="H116" s="65"/>
      <c r="I116" s="65"/>
      <c r="J116" s="65"/>
      <c r="K116" s="65"/>
      <c r="L116" s="65"/>
      <c r="M116" s="77"/>
      <c r="N116" s="65"/>
      <c r="O116" s="65"/>
      <c r="P116" s="65"/>
      <c r="Q116" s="65"/>
      <c r="R116" s="65"/>
      <c r="S116" s="70"/>
      <c r="T116" s="70"/>
      <c r="U116" s="70"/>
      <c r="V116" s="70"/>
      <c r="W116" s="70"/>
      <c r="X116" s="70"/>
      <c r="Y116" s="70"/>
      <c r="Z116" s="70"/>
      <c r="AA116" s="70"/>
      <c r="AB116" s="70"/>
      <c r="AC116" s="70"/>
      <c r="AD116" s="70"/>
      <c r="AE116" s="70"/>
      <c r="AF116" s="70"/>
      <c r="AG116" s="70"/>
      <c r="AH116" s="65"/>
      <c r="AI116" s="73"/>
      <c r="AJ116" s="65"/>
      <c r="AK116" s="65"/>
      <c r="AL116" s="65"/>
      <c r="AM116" s="65"/>
      <c r="AN116" s="65"/>
      <c r="AO116" s="65"/>
      <c r="AP116" s="65"/>
      <c r="AQ116" s="65"/>
      <c r="AR116" s="65"/>
      <c r="AS116" s="65"/>
      <c r="AT116" s="65"/>
      <c r="AU116" s="65"/>
      <c r="AV116" s="65"/>
      <c r="AW116" s="65"/>
      <c r="AX116" s="65"/>
      <c r="BE116" s="70"/>
    </row>
    <row r="117" spans="2:57">
      <c r="B117" s="65"/>
      <c r="C117" s="65"/>
      <c r="D117" s="65"/>
      <c r="E117" s="65"/>
      <c r="F117" s="65"/>
      <c r="G117" s="65"/>
      <c r="H117" s="65"/>
      <c r="I117" s="65"/>
      <c r="J117" s="65"/>
      <c r="K117" s="65"/>
      <c r="L117" s="65"/>
      <c r="M117" s="77"/>
      <c r="N117" s="65"/>
      <c r="O117" s="65"/>
      <c r="P117" s="65"/>
      <c r="Q117" s="65"/>
      <c r="R117" s="65"/>
      <c r="S117" s="70"/>
      <c r="T117" s="70"/>
      <c r="U117" s="70"/>
      <c r="V117" s="70"/>
      <c r="W117" s="70"/>
      <c r="X117" s="70"/>
      <c r="Y117" s="70"/>
      <c r="Z117" s="70"/>
      <c r="AA117" s="70"/>
      <c r="AB117" s="70"/>
      <c r="AC117" s="70"/>
      <c r="AD117" s="70"/>
      <c r="AE117" s="70"/>
      <c r="AF117" s="70"/>
      <c r="AG117" s="70"/>
      <c r="AH117" s="65"/>
      <c r="AI117" s="73"/>
      <c r="AJ117" s="65"/>
      <c r="AK117" s="65"/>
      <c r="AL117" s="65"/>
      <c r="AM117" s="65"/>
      <c r="AN117" s="65"/>
      <c r="AO117" s="65"/>
      <c r="AP117" s="65"/>
      <c r="AQ117" s="65"/>
      <c r="AR117" s="65"/>
      <c r="AS117" s="65"/>
      <c r="AT117" s="65"/>
      <c r="AU117" s="65"/>
      <c r="AV117" s="65"/>
      <c r="AW117" s="65"/>
      <c r="AX117" s="65"/>
      <c r="BE117" s="70"/>
    </row>
    <row r="118" spans="2:57">
      <c r="B118" s="65"/>
      <c r="C118" s="65"/>
      <c r="D118" s="65"/>
      <c r="E118" s="65"/>
      <c r="F118" s="65"/>
      <c r="G118" s="65"/>
      <c r="H118" s="65"/>
      <c r="I118" s="65"/>
      <c r="J118" s="65"/>
      <c r="K118" s="65"/>
      <c r="L118" s="65"/>
      <c r="M118" s="77"/>
      <c r="N118" s="65"/>
      <c r="O118" s="65"/>
      <c r="P118" s="65"/>
      <c r="Q118" s="65"/>
      <c r="R118" s="65"/>
      <c r="S118" s="70"/>
      <c r="T118" s="70"/>
      <c r="U118" s="70"/>
      <c r="V118" s="70"/>
      <c r="W118" s="70"/>
      <c r="X118" s="70"/>
      <c r="Y118" s="70"/>
      <c r="Z118" s="70"/>
      <c r="AA118" s="70"/>
      <c r="AB118" s="70"/>
      <c r="AC118" s="70"/>
      <c r="AD118" s="70"/>
      <c r="AE118" s="70"/>
      <c r="AF118" s="70"/>
      <c r="AG118" s="70"/>
      <c r="AH118" s="65"/>
      <c r="AI118" s="73"/>
      <c r="AJ118" s="65"/>
      <c r="AK118" s="65"/>
      <c r="AL118" s="65"/>
      <c r="AM118" s="65"/>
      <c r="AN118" s="65"/>
      <c r="AO118" s="65"/>
      <c r="AP118" s="65"/>
      <c r="AQ118" s="65"/>
      <c r="AR118" s="65"/>
      <c r="AS118" s="65"/>
      <c r="AT118" s="65"/>
      <c r="AU118" s="65"/>
      <c r="AV118" s="65"/>
      <c r="AW118" s="65"/>
      <c r="AX118" s="65"/>
      <c r="BE118" s="70"/>
    </row>
    <row r="119" spans="2:57">
      <c r="B119" s="65"/>
      <c r="C119" s="65"/>
      <c r="D119" s="65"/>
      <c r="E119" s="65"/>
      <c r="F119" s="65"/>
      <c r="G119" s="65"/>
      <c r="H119" s="65"/>
      <c r="I119" s="65"/>
      <c r="J119" s="65"/>
      <c r="K119" s="65"/>
      <c r="L119" s="65"/>
      <c r="M119" s="77"/>
      <c r="N119" s="65"/>
      <c r="O119" s="65"/>
      <c r="P119" s="65"/>
      <c r="Q119" s="65"/>
      <c r="R119" s="65"/>
      <c r="S119" s="70"/>
      <c r="T119" s="70"/>
      <c r="U119" s="70"/>
      <c r="V119" s="70"/>
      <c r="W119" s="70"/>
      <c r="X119" s="70"/>
      <c r="Y119" s="70"/>
      <c r="Z119" s="70"/>
      <c r="AA119" s="70"/>
      <c r="AB119" s="70"/>
      <c r="AC119" s="70"/>
      <c r="AD119" s="70"/>
      <c r="AE119" s="70"/>
      <c r="AF119" s="70"/>
      <c r="AG119" s="70"/>
      <c r="AH119" s="65"/>
      <c r="AI119" s="73"/>
      <c r="AJ119" s="65"/>
      <c r="AK119" s="65"/>
      <c r="AL119" s="65"/>
      <c r="AM119" s="65"/>
      <c r="AN119" s="65"/>
      <c r="AO119" s="65"/>
      <c r="AP119" s="65"/>
      <c r="AQ119" s="65"/>
      <c r="AR119" s="65"/>
      <c r="AS119" s="65"/>
      <c r="AT119" s="65"/>
      <c r="AU119" s="65"/>
      <c r="AV119" s="65"/>
      <c r="AW119" s="65"/>
      <c r="AX119" s="65"/>
      <c r="BE119" s="70"/>
    </row>
    <row r="120" spans="2:57">
      <c r="B120" s="65"/>
      <c r="C120" s="65"/>
      <c r="D120" s="65"/>
      <c r="E120" s="65"/>
      <c r="F120" s="65"/>
      <c r="G120" s="65"/>
      <c r="H120" s="65"/>
      <c r="I120" s="65"/>
      <c r="J120" s="65"/>
      <c r="K120" s="65"/>
      <c r="L120" s="65"/>
      <c r="M120" s="77"/>
      <c r="N120" s="65"/>
      <c r="O120" s="65"/>
      <c r="P120" s="65"/>
      <c r="Q120" s="65"/>
      <c r="R120" s="65"/>
      <c r="S120" s="70"/>
      <c r="T120" s="70"/>
      <c r="U120" s="70"/>
      <c r="V120" s="70"/>
      <c r="W120" s="70"/>
      <c r="X120" s="70"/>
      <c r="Y120" s="70"/>
      <c r="Z120" s="70"/>
      <c r="AA120" s="70"/>
      <c r="AB120" s="70"/>
      <c r="AC120" s="70"/>
      <c r="AD120" s="70"/>
      <c r="AE120" s="70"/>
      <c r="AF120" s="70"/>
      <c r="AG120" s="70"/>
      <c r="AH120" s="65"/>
      <c r="AI120" s="73"/>
      <c r="AJ120" s="65"/>
      <c r="AK120" s="65"/>
      <c r="AL120" s="65"/>
      <c r="AM120" s="65"/>
      <c r="AN120" s="65"/>
      <c r="AO120" s="65"/>
      <c r="AP120" s="65"/>
      <c r="AQ120" s="65"/>
      <c r="AR120" s="65"/>
      <c r="AS120" s="65"/>
      <c r="AT120" s="65"/>
      <c r="AU120" s="65"/>
      <c r="AV120" s="65"/>
      <c r="AW120" s="65"/>
      <c r="AX120" s="65"/>
      <c r="BE120" s="70"/>
    </row>
    <row r="121" spans="2:57">
      <c r="B121" s="65"/>
      <c r="C121" s="65"/>
      <c r="D121" s="65"/>
      <c r="E121" s="65"/>
      <c r="F121" s="65"/>
      <c r="G121" s="65"/>
      <c r="H121" s="65"/>
      <c r="I121" s="65"/>
      <c r="J121" s="65"/>
      <c r="K121" s="65"/>
      <c r="L121" s="65"/>
      <c r="M121" s="77"/>
      <c r="N121" s="65"/>
      <c r="O121" s="65"/>
      <c r="P121" s="65"/>
      <c r="Q121" s="65"/>
      <c r="R121" s="65"/>
      <c r="S121" s="70"/>
      <c r="T121" s="70"/>
      <c r="U121" s="70"/>
      <c r="V121" s="70"/>
      <c r="W121" s="70"/>
      <c r="X121" s="70"/>
      <c r="Y121" s="70"/>
      <c r="Z121" s="70"/>
      <c r="AA121" s="70"/>
      <c r="AB121" s="70"/>
      <c r="AC121" s="70"/>
      <c r="AD121" s="70"/>
      <c r="AE121" s="70"/>
      <c r="AF121" s="70"/>
      <c r="AG121" s="70"/>
      <c r="AH121" s="65"/>
      <c r="AI121" s="73"/>
      <c r="AJ121" s="65"/>
      <c r="AK121" s="65"/>
      <c r="AL121" s="65"/>
      <c r="AM121" s="65"/>
      <c r="AN121" s="65"/>
      <c r="AO121" s="65"/>
      <c r="AP121" s="65"/>
      <c r="AQ121" s="65"/>
      <c r="AR121" s="65"/>
      <c r="AS121" s="65"/>
      <c r="AT121" s="65"/>
      <c r="AU121" s="65"/>
      <c r="AV121" s="65"/>
      <c r="AW121" s="65"/>
      <c r="AX121" s="65"/>
      <c r="BE121" s="70"/>
    </row>
    <row r="122" spans="2:57">
      <c r="B122" s="65"/>
      <c r="C122" s="65"/>
      <c r="D122" s="65"/>
      <c r="E122" s="65"/>
      <c r="F122" s="65"/>
      <c r="G122" s="65"/>
      <c r="H122" s="65"/>
      <c r="I122" s="65"/>
      <c r="J122" s="65"/>
      <c r="K122" s="65"/>
      <c r="L122" s="65"/>
      <c r="M122" s="77"/>
      <c r="N122" s="65"/>
      <c r="AH122" s="65"/>
      <c r="AI122" s="73"/>
      <c r="AJ122" s="65"/>
      <c r="AK122" s="65"/>
      <c r="AL122" s="65"/>
      <c r="AM122" s="65"/>
      <c r="AN122" s="65"/>
      <c r="AO122" s="65"/>
      <c r="AP122" s="65"/>
      <c r="AQ122" s="65"/>
      <c r="AR122" s="65"/>
      <c r="AS122" s="65"/>
      <c r="AT122" s="65"/>
      <c r="AU122" s="65"/>
      <c r="AV122" s="65"/>
      <c r="AW122" s="65"/>
      <c r="AX122" s="65"/>
    </row>
  </sheetData>
  <phoneticPr fontId="3" type="noConversion"/>
  <hyperlinks>
    <hyperlink ref="AC74" r:id="rId1" xr:uid="{00000000-0004-0000-0100-000000000000}"/>
    <hyperlink ref="AD74" r:id="rId2" xr:uid="{00000000-0004-0000-0100-000001000000}"/>
    <hyperlink ref="AE74" r:id="rId3" xr:uid="{00000000-0004-0000-0100-000002000000}"/>
    <hyperlink ref="AF74" r:id="rId4" xr:uid="{00000000-0004-0000-0100-000003000000}"/>
    <hyperlink ref="AG74" r:id="rId5" xr:uid="{00000000-0004-0000-0100-000004000000}"/>
  </hyperlinks>
  <pageMargins left="0.75" right="0.5" top="0.5" bottom="0.55000000000000004" header="0.5" footer="0.5"/>
  <pageSetup orientation="portrait" verticalDpi="300" r:id="rId6"/>
  <headerFooter alignWithMargins="0">
    <oddFooter>&amp;LSREB Fact Book 1996/1997&amp;CDraft&amp;R&amp;D</oddFooter>
  </headerFooter>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AG63"/>
  <sheetViews>
    <sheetView zoomScale="85" workbookViewId="0">
      <pane xSplit="1" ySplit="3" topLeftCell="W25" activePane="bottomRight" state="frozen"/>
      <selection pane="topRight" activeCell="B1" sqref="B1"/>
      <selection pane="bottomLeft" activeCell="A4" sqref="A4"/>
      <selection pane="bottomRight" activeCell="AI27" sqref="AI27"/>
    </sheetView>
  </sheetViews>
  <sheetFormatPr defaultRowHeight="12.75"/>
  <cols>
    <col min="1" max="1" width="19.28515625" style="2" customWidth="1"/>
    <col min="2" max="22" width="9.140625" style="2"/>
    <col min="23" max="29" width="8.85546875" style="13" customWidth="1"/>
    <col min="30" max="16384" width="9.140625" style="2"/>
  </cols>
  <sheetData>
    <row r="1" spans="1:33" s="125" customFormat="1">
      <c r="W1" s="126"/>
      <c r="X1" s="126"/>
      <c r="Y1" s="126"/>
      <c r="Z1" s="126"/>
      <c r="AA1" s="126"/>
      <c r="AB1" s="126"/>
      <c r="AC1" s="126"/>
    </row>
    <row r="2" spans="1:33" s="125" customFormat="1">
      <c r="W2" s="126"/>
      <c r="X2" s="126"/>
      <c r="Y2" s="126"/>
      <c r="Z2" s="126"/>
      <c r="AA2" s="126"/>
      <c r="AB2" s="126"/>
      <c r="AC2" s="126"/>
    </row>
    <row r="3" spans="1:33" s="127" customFormat="1">
      <c r="A3" s="152"/>
      <c r="B3" s="95" t="s">
        <v>7</v>
      </c>
      <c r="C3" s="95" t="s">
        <v>8</v>
      </c>
      <c r="D3" s="95" t="s">
        <v>9</v>
      </c>
      <c r="E3" s="95" t="s">
        <v>10</v>
      </c>
      <c r="F3" s="95" t="s">
        <v>11</v>
      </c>
      <c r="G3" s="95" t="s">
        <v>12</v>
      </c>
      <c r="H3" s="95" t="s">
        <v>13</v>
      </c>
      <c r="I3" s="95" t="s">
        <v>14</v>
      </c>
      <c r="J3" s="95" t="s">
        <v>15</v>
      </c>
      <c r="K3" s="95" t="s">
        <v>16</v>
      </c>
      <c r="L3" s="95" t="s">
        <v>17</v>
      </c>
      <c r="M3" s="195" t="s">
        <v>177</v>
      </c>
      <c r="N3" s="195" t="s">
        <v>114</v>
      </c>
      <c r="O3" s="195" t="s">
        <v>115</v>
      </c>
      <c r="P3" s="101" t="s">
        <v>132</v>
      </c>
      <c r="Q3" s="196" t="s">
        <v>136</v>
      </c>
      <c r="R3" s="101" t="s">
        <v>141</v>
      </c>
      <c r="S3" s="101" t="s">
        <v>192</v>
      </c>
      <c r="T3" s="196" t="s">
        <v>193</v>
      </c>
      <c r="U3" s="196" t="s">
        <v>202</v>
      </c>
      <c r="V3" s="196" t="s">
        <v>203</v>
      </c>
      <c r="W3" s="196" t="s">
        <v>204</v>
      </c>
      <c r="X3" s="196" t="s">
        <v>207</v>
      </c>
      <c r="Y3" s="196" t="s">
        <v>209</v>
      </c>
      <c r="Z3" s="196" t="s">
        <v>213</v>
      </c>
      <c r="AA3" s="196" t="s">
        <v>220</v>
      </c>
      <c r="AB3" s="196" t="s">
        <v>233</v>
      </c>
      <c r="AC3" s="196" t="s">
        <v>238</v>
      </c>
      <c r="AD3" s="242" t="s">
        <v>240</v>
      </c>
      <c r="AE3" s="242" t="s">
        <v>247</v>
      </c>
      <c r="AF3" s="242" t="s">
        <v>250</v>
      </c>
      <c r="AG3" s="233" t="s">
        <v>252</v>
      </c>
    </row>
    <row r="4" spans="1:33">
      <c r="A4" s="22" t="s">
        <v>214</v>
      </c>
      <c r="B4" s="198">
        <f>('College Work-Study'!B4*1000)/'College Work-Study'!AH4</f>
        <v>869.35096311277334</v>
      </c>
      <c r="C4" s="198">
        <f>('College Work-Study'!C4*1000)/'College Work-Study'!AI4</f>
        <v>676.5510049733</v>
      </c>
      <c r="D4" s="198">
        <f>('College Work-Study'!D4*1000)/'College Work-Study'!AJ4</f>
        <v>927.32477175311078</v>
      </c>
      <c r="E4" s="198">
        <f>('College Work-Study'!E4*1000)/'College Work-Study'!AK4</f>
        <v>941.51819574023739</v>
      </c>
      <c r="F4" s="198">
        <f>('College Work-Study'!F4*1000)/'College Work-Study'!AL4</f>
        <v>951.39510069037703</v>
      </c>
      <c r="G4" s="198">
        <f>('College Work-Study'!G4*1000)/'College Work-Study'!AM4</f>
        <v>999.36898314194059</v>
      </c>
      <c r="H4" s="198">
        <f>('College Work-Study'!H4*1000)/'College Work-Study'!AN4</f>
        <v>1079.5101846912921</v>
      </c>
      <c r="I4" s="198">
        <f>('College Work-Study'!I4*1000)/'College Work-Study'!AO4</f>
        <v>1111.3375577118886</v>
      </c>
      <c r="J4" s="199">
        <f>('College Work-Study'!J4*1000)/'College Work-Study'!AP4</f>
        <v>1116.8575165172131</v>
      </c>
      <c r="K4" s="198">
        <f>('College Work-Study'!K4*1000)/'College Work-Study'!AQ4</f>
        <v>1103.4913640825769</v>
      </c>
      <c r="L4" s="198">
        <f>('College Work-Study'!L4*1000)/'College Work-Study'!AR4</f>
        <v>1102.3209014362078</v>
      </c>
      <c r="M4" s="198">
        <f>('College Work-Study'!M4*1000)/'College Work-Study'!AS4</f>
        <v>1120.4886028483759</v>
      </c>
      <c r="N4" s="198">
        <f>('College Work-Study'!N4*1000)/'College Work-Study'!AT4</f>
        <v>1138.7840463989551</v>
      </c>
      <c r="O4" s="198">
        <f>('College Work-Study'!O4*1000)/'College Work-Study'!AU4</f>
        <v>1234.3299297694168</v>
      </c>
      <c r="P4" s="198">
        <f>('College Work-Study'!P4*1000)/'College Work-Study'!AV4</f>
        <v>1250.0021191130913</v>
      </c>
      <c r="Q4" s="198">
        <f>('College Work-Study'!Q4*1000)/'College Work-Study'!AW4</f>
        <v>1271.8294343402988</v>
      </c>
      <c r="R4" s="198">
        <f>('College Work-Study'!R4*1000)/'College Work-Study'!AX4</f>
        <v>1141.3166499177389</v>
      </c>
      <c r="S4" s="198">
        <f>('College Work-Study'!S4*1000)/'College Work-Study'!AY4</f>
        <v>1406.3760375470792</v>
      </c>
      <c r="T4" s="198">
        <f>('College Work-Study'!T4*1000)/'College Work-Study'!AZ4</f>
        <v>1460.2561181063472</v>
      </c>
      <c r="U4" s="198">
        <f>('College Work-Study'!U4*1000)/'College Work-Study'!BA4</f>
        <v>1462.3278504587504</v>
      </c>
      <c r="V4" s="198">
        <f>('College Work-Study'!V4*1000)/'College Work-Study'!BB4</f>
        <v>1344.358155491077</v>
      </c>
      <c r="W4" s="198">
        <f>('College Work-Study'!W4*1000)/'College Work-Study'!BC4</f>
        <v>1491.2094289495217</v>
      </c>
      <c r="X4" s="198">
        <f>('College Work-Study'!X4*1000)/'College Work-Study'!BD4</f>
        <v>1514.6444675690177</v>
      </c>
      <c r="Y4" s="198">
        <f>('College Work-Study'!Y4*1000)/'College Work-Study'!BE4</f>
        <v>1536.267257136891</v>
      </c>
      <c r="Z4" s="198">
        <f>('College Work-Study'!Z4*1000)/'College Work-Study'!BF4</f>
        <v>1652.7973041321241</v>
      </c>
      <c r="AA4" s="198">
        <f>('College Work-Study'!AA4*1000)/'College Work-Study'!BG4</f>
        <v>1711.6505989807492</v>
      </c>
      <c r="AB4" s="198">
        <f>('College Work-Study'!AB4*1000)/'College Work-Study'!BH4</f>
        <v>1678.5891428807493</v>
      </c>
      <c r="AC4" s="198">
        <f>('College Work-Study'!AC4*1000)/'College Work-Study'!BI4</f>
        <v>1680.9116236358061</v>
      </c>
      <c r="AD4" s="198">
        <f>('College Work-Study'!AD4*1000)/'College Work-Study'!BJ4</f>
        <v>1689.083134292378</v>
      </c>
      <c r="AE4" s="198">
        <f>('College Work-Study'!AE4*1000)/'College Work-Study'!BK4</f>
        <v>1682.9082571189433</v>
      </c>
      <c r="AF4" s="198">
        <f>('College Work-Study'!AF4*1000)/'College Work-Study'!BL4</f>
        <v>1701.8385544785385</v>
      </c>
      <c r="AG4" s="198">
        <f>('College Work-Study'!AG4*1000)/'College Work-Study'!BM4</f>
        <v>1741.3051992039279</v>
      </c>
    </row>
    <row r="5" spans="1:33">
      <c r="A5" s="26" t="s">
        <v>116</v>
      </c>
      <c r="B5" s="200">
        <f>('College Work-Study'!B5*1000)/'College Work-Study'!AH5</f>
        <v>846.85532321065318</v>
      </c>
      <c r="C5" s="200">
        <f>('College Work-Study'!C5*1000)/'College Work-Study'!AI5</f>
        <v>677.05764737505945</v>
      </c>
      <c r="D5" s="200">
        <f>('College Work-Study'!D5*1000)/'College Work-Study'!AJ5</f>
        <v>908.54213050599765</v>
      </c>
      <c r="E5" s="200">
        <f>('College Work-Study'!E5*1000)/'College Work-Study'!AK5</f>
        <v>916.18899543895736</v>
      </c>
      <c r="F5" s="200">
        <f>('College Work-Study'!F5*1000)/'College Work-Study'!AL5</f>
        <v>901.57931537727222</v>
      </c>
      <c r="G5" s="200">
        <f>('College Work-Study'!G5*1000)/'College Work-Study'!AM5</f>
        <v>921.35916391529906</v>
      </c>
      <c r="H5" s="200">
        <f>('College Work-Study'!H5*1000)/'College Work-Study'!AN5</f>
        <v>1014.3038789508287</v>
      </c>
      <c r="I5" s="200">
        <f>('College Work-Study'!I5*1000)/'College Work-Study'!AO5</f>
        <v>1069.5595965420732</v>
      </c>
      <c r="J5" s="200">
        <f>('College Work-Study'!J5*1000)/'College Work-Study'!AP5</f>
        <v>1071.2651683414381</v>
      </c>
      <c r="K5" s="200">
        <f>('College Work-Study'!K5*1000)/'College Work-Study'!AQ5</f>
        <v>1088.8179768517809</v>
      </c>
      <c r="L5" s="200">
        <f>('College Work-Study'!L5*1000)/'College Work-Study'!AR5</f>
        <v>1074.1879997692868</v>
      </c>
      <c r="M5" s="200">
        <f>('College Work-Study'!M5*1000)/'College Work-Study'!AS5</f>
        <v>1091.3511354537688</v>
      </c>
      <c r="N5" s="200">
        <f>('College Work-Study'!N5*1000)/'College Work-Study'!AT5</f>
        <v>1109.0236534640637</v>
      </c>
      <c r="O5" s="200">
        <f>('College Work-Study'!O5*1000)/'College Work-Study'!AU5</f>
        <v>1217.7672678750805</v>
      </c>
      <c r="P5" s="200">
        <f>('College Work-Study'!P5*1000)/'College Work-Study'!AV5</f>
        <v>1244.9509542138567</v>
      </c>
      <c r="Q5" s="200">
        <f>('College Work-Study'!Q5*1000)/'College Work-Study'!AW5</f>
        <v>1231.2486147747352</v>
      </c>
      <c r="R5" s="200">
        <f>('College Work-Study'!R5*1000)/'College Work-Study'!AX5</f>
        <v>1292.2058347828743</v>
      </c>
      <c r="S5" s="200">
        <f>('College Work-Study'!S5*1000)/'College Work-Study'!AY5</f>
        <v>1365.2123785445169</v>
      </c>
      <c r="T5" s="200">
        <f>('College Work-Study'!T5*1000)/'College Work-Study'!AZ5</f>
        <v>1391.8275050880216</v>
      </c>
      <c r="U5" s="200">
        <f>('College Work-Study'!U5*1000)/'College Work-Study'!BA5</f>
        <v>1412.7843974809193</v>
      </c>
      <c r="V5" s="200">
        <f>('College Work-Study'!V5*1000)/'College Work-Study'!BB5</f>
        <v>1420.1305984512558</v>
      </c>
      <c r="W5" s="200">
        <f>('College Work-Study'!W5*1000)/'College Work-Study'!BC5</f>
        <v>1452.3977753058955</v>
      </c>
      <c r="X5" s="200">
        <f>('College Work-Study'!X5*1000)/'College Work-Study'!BD5</f>
        <v>1468.2412403691706</v>
      </c>
      <c r="Y5" s="200">
        <f>('College Work-Study'!Y5*1000)/'College Work-Study'!BE5</f>
        <v>1537.2735011763132</v>
      </c>
      <c r="Z5" s="200">
        <f>('College Work-Study'!Z5*1000)/'College Work-Study'!BF5</f>
        <v>1690.5821213697639</v>
      </c>
      <c r="AA5" s="200">
        <f>('College Work-Study'!AA5*1000)/'College Work-Study'!BG5</f>
        <v>1773.8287024143619</v>
      </c>
      <c r="AB5" s="200">
        <f>('College Work-Study'!AB5*1000)/'College Work-Study'!BH5</f>
        <v>1754.083669718749</v>
      </c>
      <c r="AC5" s="200">
        <f>('College Work-Study'!AC5*1000)/'College Work-Study'!BI5</f>
        <v>1782.4474016963943</v>
      </c>
      <c r="AD5" s="200">
        <f>('College Work-Study'!AD5*1000)/'College Work-Study'!BJ5</f>
        <v>1803.4294361261552</v>
      </c>
      <c r="AE5" s="200">
        <f>('College Work-Study'!AE5*1000)/'College Work-Study'!BK5</f>
        <v>1788.9472318440673</v>
      </c>
      <c r="AF5" s="200">
        <f>('College Work-Study'!AF5*1000)/'College Work-Study'!BL5</f>
        <v>1768.7626877311563</v>
      </c>
      <c r="AG5" s="200">
        <f>('College Work-Study'!AG5*1000)/'College Work-Study'!BM5</f>
        <v>1804.2380336665999</v>
      </c>
    </row>
    <row r="6" spans="1:33" s="151" customFormat="1">
      <c r="A6" s="173" t="s">
        <v>215</v>
      </c>
      <c r="B6" s="197">
        <f t="shared" ref="B6:AA6" si="0">(B5/B4)*100</f>
        <v>97.412363837319177</v>
      </c>
      <c r="C6" s="197">
        <f t="shared" si="0"/>
        <v>100.07488606151422</v>
      </c>
      <c r="D6" s="197">
        <f t="shared" si="0"/>
        <v>97.9745347240531</v>
      </c>
      <c r="E6" s="197">
        <f t="shared" si="0"/>
        <v>97.309749252231299</v>
      </c>
      <c r="F6" s="197">
        <f t="shared" si="0"/>
        <v>94.763922446420395</v>
      </c>
      <c r="G6" s="197">
        <f t="shared" si="0"/>
        <v>92.194092418059199</v>
      </c>
      <c r="H6" s="197">
        <f t="shared" si="0"/>
        <v>93.959639597183553</v>
      </c>
      <c r="I6" s="197">
        <f t="shared" si="0"/>
        <v>96.240749637236121</v>
      </c>
      <c r="J6" s="197">
        <f t="shared" si="0"/>
        <v>95.91780083837827</v>
      </c>
      <c r="K6" s="197">
        <f t="shared" si="0"/>
        <v>98.670276206194401</v>
      </c>
      <c r="L6" s="197">
        <f t="shared" si="0"/>
        <v>97.447848296238703</v>
      </c>
      <c r="M6" s="197">
        <f t="shared" si="0"/>
        <v>97.399574853279432</v>
      </c>
      <c r="N6" s="197">
        <f t="shared" si="0"/>
        <v>97.386651751137606</v>
      </c>
      <c r="O6" s="197">
        <f t="shared" si="0"/>
        <v>98.658165738763998</v>
      </c>
      <c r="P6" s="197">
        <f t="shared" si="0"/>
        <v>99.595907493115405</v>
      </c>
      <c r="Q6" s="197">
        <f t="shared" si="0"/>
        <v>96.809256141597871</v>
      </c>
      <c r="R6" s="197">
        <f t="shared" si="0"/>
        <v>113.22062416911301</v>
      </c>
      <c r="S6" s="197">
        <f t="shared" si="0"/>
        <v>97.07306880211371</v>
      </c>
      <c r="T6" s="197">
        <f t="shared" si="0"/>
        <v>95.313930743391538</v>
      </c>
      <c r="U6" s="197">
        <f t="shared" si="0"/>
        <v>96.612014674938408</v>
      </c>
      <c r="V6" s="197">
        <f t="shared" si="0"/>
        <v>105.6363285818354</v>
      </c>
      <c r="W6" s="197">
        <f t="shared" si="0"/>
        <v>97.397303632195587</v>
      </c>
      <c r="X6" s="197">
        <f t="shared" si="0"/>
        <v>96.936361753968342</v>
      </c>
      <c r="Y6" s="197">
        <f t="shared" si="0"/>
        <v>100.0654992830673</v>
      </c>
      <c r="Z6" s="197">
        <f t="shared" si="0"/>
        <v>102.28611319386683</v>
      </c>
      <c r="AA6" s="197">
        <f t="shared" si="0"/>
        <v>103.63263994828375</v>
      </c>
      <c r="AB6" s="197">
        <f t="shared" ref="AB6" si="1">(AB5/AB4)*100</f>
        <v>104.49749881668113</v>
      </c>
      <c r="AC6" s="197">
        <f t="shared" ref="AC6:AD6" si="2">(AC5/AC4)*100</f>
        <v>106.04051852773595</v>
      </c>
      <c r="AD6" s="197">
        <f t="shared" si="2"/>
        <v>106.76972610242072</v>
      </c>
      <c r="AE6" s="197">
        <f t="shared" ref="AE6:AF6" si="3">(AE5/AE4)*100</f>
        <v>106.30093614886991</v>
      </c>
      <c r="AF6" s="197">
        <f t="shared" si="3"/>
        <v>103.93246075407687</v>
      </c>
      <c r="AG6" s="197">
        <f t="shared" ref="AG6" si="4">(AG5/AG4)*100</f>
        <v>103.6141185641347</v>
      </c>
    </row>
    <row r="7" spans="1:33">
      <c r="A7" s="26" t="s">
        <v>18</v>
      </c>
      <c r="B7" s="200">
        <f>('College Work-Study'!B7*1000)/'College Work-Study'!AH7</f>
        <v>836.72879641670283</v>
      </c>
      <c r="C7" s="200">
        <f>('College Work-Study'!C7*1000)/'College Work-Study'!AI7</f>
        <v>676.32321603409548</v>
      </c>
      <c r="D7" s="200">
        <f>('College Work-Study'!D7*1000)/'College Work-Study'!AJ7</f>
        <v>944.92071921705485</v>
      </c>
      <c r="E7" s="200">
        <f>('College Work-Study'!E7*1000)/'College Work-Study'!AK7</f>
        <v>943.17641464574422</v>
      </c>
      <c r="F7" s="200">
        <f>('College Work-Study'!F7*1000)/'College Work-Study'!AL7</f>
        <v>921.7662586993041</v>
      </c>
      <c r="G7" s="200">
        <f>('College Work-Study'!G7*1000)/'College Work-Study'!AM7</f>
        <v>935.05684472823543</v>
      </c>
      <c r="H7" s="200">
        <f>('College Work-Study'!H7*1000)/'College Work-Study'!AN7</f>
        <v>994.47602273637017</v>
      </c>
      <c r="I7" s="200">
        <f>('College Work-Study'!I7*1000)/'College Work-Study'!AO7</f>
        <v>1101.0666200384683</v>
      </c>
      <c r="J7" s="200">
        <f>('College Work-Study'!J7*1000)/'College Work-Study'!AP7</f>
        <v>1137.7013770137701</v>
      </c>
      <c r="K7" s="200">
        <f>('College Work-Study'!K7*1000)/'College Work-Study'!AQ7</f>
        <v>1117.3495859309576</v>
      </c>
      <c r="L7" s="200">
        <f>('College Work-Study'!L7*1000)/'College Work-Study'!AR7</f>
        <v>1124.6880307319045</v>
      </c>
      <c r="M7" s="200">
        <f>('College Work-Study'!M7*1000)/'College Work-Study'!AS7</f>
        <v>1118.4926528599608</v>
      </c>
      <c r="N7" s="200">
        <f>('College Work-Study'!N7*1000)/'College Work-Study'!AT7</f>
        <v>1112.5930881786676</v>
      </c>
      <c r="O7" s="200">
        <f>('College Work-Study'!O7*1000)/'College Work-Study'!AU7</f>
        <v>1238.8858363265701</v>
      </c>
      <c r="P7" s="200">
        <f>('College Work-Study'!P7*1000)/'College Work-Study'!AV7</f>
        <v>1244.4397905759163</v>
      </c>
      <c r="Q7" s="200">
        <f>('College Work-Study'!Q7*1000)/'College Work-Study'!AW7</f>
        <v>1235.7312112367749</v>
      </c>
      <c r="R7" s="200">
        <f>('College Work-Study'!R7*1000)/'College Work-Study'!AX7</f>
        <v>1309.8988078735792</v>
      </c>
      <c r="S7" s="200">
        <f>('College Work-Study'!S7*1000)/'College Work-Study'!AY7</f>
        <v>1534.6061271330207</v>
      </c>
      <c r="T7" s="200">
        <f>('College Work-Study'!T7*1000)/'College Work-Study'!AZ7</f>
        <v>1480.0776442745312</v>
      </c>
      <c r="U7" s="200">
        <f>('College Work-Study'!U7*1000)/'College Work-Study'!BA7</f>
        <v>1417.5329411764706</v>
      </c>
      <c r="V7" s="200">
        <f>('College Work-Study'!V7*1000)/'College Work-Study'!BB7</f>
        <v>1441.8250209751095</v>
      </c>
      <c r="W7" s="200">
        <f>('College Work-Study'!W7*1000)/'College Work-Study'!BC7</f>
        <v>1431.5252347417841</v>
      </c>
      <c r="X7" s="200">
        <f>('College Work-Study'!X7*1000)/'College Work-Study'!BD7</f>
        <v>1420.6864433811802</v>
      </c>
      <c r="Y7" s="200">
        <f>('College Work-Study'!Y7*1000)/'College Work-Study'!BE7</f>
        <v>1309.0372682926829</v>
      </c>
      <c r="Z7" s="200">
        <f>('College Work-Study'!Z7*1000)/'College Work-Study'!BF7</f>
        <v>1664.7750197450073</v>
      </c>
      <c r="AA7" s="200">
        <f>('College Work-Study'!AA7*1000)/'College Work-Study'!BG7</f>
        <v>1825.3406580763922</v>
      </c>
      <c r="AB7" s="200">
        <f>('College Work-Study'!AB7*1000)/'College Work-Study'!BH7</f>
        <v>1739.644245142003</v>
      </c>
      <c r="AC7" s="200">
        <f>('College Work-Study'!AC7*1000)/'College Work-Study'!BI7</f>
        <v>1826.1348535000614</v>
      </c>
      <c r="AD7" s="200">
        <f>('College Work-Study'!AD7*1000)/'College Work-Study'!BJ7</f>
        <v>1784.847619047619</v>
      </c>
      <c r="AE7" s="200">
        <f>('College Work-Study'!AE7*1000)/'College Work-Study'!BK7</f>
        <v>1777.9330408979486</v>
      </c>
      <c r="AF7" s="200">
        <f>('College Work-Study'!AF7*1000)/'College Work-Study'!BL7</f>
        <v>1789.7476130653267</v>
      </c>
      <c r="AG7" s="200">
        <f>('College Work-Study'!AG7*1000)/'College Work-Study'!BM7</f>
        <v>1762.9444373483204</v>
      </c>
    </row>
    <row r="8" spans="1:33">
      <c r="A8" s="26" t="s">
        <v>19</v>
      </c>
      <c r="B8" s="200">
        <f>('College Work-Study'!B8*1000)/'College Work-Study'!AH8</f>
        <v>800.56245605812046</v>
      </c>
      <c r="C8" s="200">
        <f>('College Work-Study'!C8*1000)/'College Work-Study'!AI8</f>
        <v>675.54003927558369</v>
      </c>
      <c r="D8" s="200">
        <f>('College Work-Study'!D8*1000)/'College Work-Study'!AJ8</f>
        <v>806.44358751088441</v>
      </c>
      <c r="E8" s="200">
        <f>('College Work-Study'!E8*1000)/'College Work-Study'!AK8</f>
        <v>825.7347836149039</v>
      </c>
      <c r="F8" s="200">
        <f>('College Work-Study'!F8*1000)/'College Work-Study'!AL8</f>
        <v>866.12734864300626</v>
      </c>
      <c r="G8" s="200">
        <f>('College Work-Study'!G8*1000)/'College Work-Study'!AM8</f>
        <v>764.6225460433111</v>
      </c>
      <c r="H8" s="200">
        <f>('College Work-Study'!H8*1000)/'College Work-Study'!AN8</f>
        <v>1014.167198468411</v>
      </c>
      <c r="I8" s="200">
        <f>('College Work-Study'!I8*1000)/'College Work-Study'!AO8</f>
        <v>1049.9326887773834</v>
      </c>
      <c r="J8" s="200">
        <f>('College Work-Study'!J8*1000)/'College Work-Study'!AP8</f>
        <v>1081.3550280074687</v>
      </c>
      <c r="K8" s="200">
        <f>('College Work-Study'!K8*1000)/'College Work-Study'!AQ8</f>
        <v>1044.0731673389901</v>
      </c>
      <c r="L8" s="200">
        <f>('College Work-Study'!L8*1000)/'College Work-Study'!AR8</f>
        <v>1013.7779204107831</v>
      </c>
      <c r="M8" s="200">
        <f>('College Work-Study'!M8*1000)/'College Work-Study'!AS8</f>
        <v>1009.8760105888244</v>
      </c>
      <c r="N8" s="200">
        <f>('College Work-Study'!N8*1000)/'College Work-Study'!AT8</f>
        <v>1005.9488946310652</v>
      </c>
      <c r="O8" s="200">
        <f>('College Work-Study'!O8*1000)/'College Work-Study'!AU8</f>
        <v>1076.7503423719529</v>
      </c>
      <c r="P8" s="200">
        <f>('College Work-Study'!P8*1000)/'College Work-Study'!AV8</f>
        <v>1066.126441631505</v>
      </c>
      <c r="Q8" s="200">
        <f>('College Work-Study'!Q8*1000)/'College Work-Study'!AW8</f>
        <v>1103.215267831567</v>
      </c>
      <c r="R8" s="200">
        <f>('College Work-Study'!R8*1000)/'College Work-Study'!AX8</f>
        <v>1176.4945295404814</v>
      </c>
      <c r="S8" s="200">
        <f>('College Work-Study'!S8*1000)/'College Work-Study'!AY8</f>
        <v>1197.9022240872848</v>
      </c>
      <c r="T8" s="200">
        <f>('College Work-Study'!T8*1000)/'College Work-Study'!AZ8</f>
        <v>1110.4692911255411</v>
      </c>
      <c r="U8" s="200">
        <f>('College Work-Study'!U8*1000)/'College Work-Study'!BA8</f>
        <v>1150.6053889613211</v>
      </c>
      <c r="V8" s="200">
        <f>('College Work-Study'!V8*1000)/'College Work-Study'!BB8</f>
        <v>1173.9713701431492</v>
      </c>
      <c r="W8" s="200">
        <f>('College Work-Study'!W8*1000)/'College Work-Study'!BC8</f>
        <v>1162.3719886278618</v>
      </c>
      <c r="X8" s="200">
        <f>('College Work-Study'!X8*1000)/'College Work-Study'!BD8</f>
        <v>1279.1577133907597</v>
      </c>
      <c r="Y8" s="200">
        <f>('College Work-Study'!Y8*1000)/'College Work-Study'!BE8</f>
        <v>1406.6912977613197</v>
      </c>
      <c r="Z8" s="200">
        <f>('College Work-Study'!Z8*1000)/'College Work-Study'!BF8</f>
        <v>1469.2022194821209</v>
      </c>
      <c r="AA8" s="200">
        <f>('College Work-Study'!AA8*1000)/'College Work-Study'!BG8</f>
        <v>1579.374791874792</v>
      </c>
      <c r="AB8" s="200">
        <f>('College Work-Study'!AB8*1000)/'College Work-Study'!BH8</f>
        <v>1527.3711708325502</v>
      </c>
      <c r="AC8" s="200">
        <f>('College Work-Study'!AC8*1000)/'College Work-Study'!BI8</f>
        <v>1491.6727631343015</v>
      </c>
      <c r="AD8" s="200">
        <f>('College Work-Study'!AD8*1000)/'College Work-Study'!BJ8</f>
        <v>1529.7200073827978</v>
      </c>
      <c r="AE8" s="200">
        <f>('College Work-Study'!AE8*1000)/'College Work-Study'!BK8</f>
        <v>1506.4212788823213</v>
      </c>
      <c r="AF8" s="200">
        <f>('College Work-Study'!AF8*1000)/'College Work-Study'!BL8</f>
        <v>1540.3350976455558</v>
      </c>
      <c r="AG8" s="200">
        <f>('College Work-Study'!AG8*1000)/'College Work-Study'!BM8</f>
        <v>1630.8202088125995</v>
      </c>
    </row>
    <row r="9" spans="1:33">
      <c r="A9" s="26" t="s">
        <v>113</v>
      </c>
      <c r="B9" s="200">
        <f>('College Work-Study'!B9*1000)/'College Work-Study'!AH9</f>
        <v>750.38718362950999</v>
      </c>
      <c r="C9" s="200">
        <f>('College Work-Study'!C9*1000)/'College Work-Study'!AI9</f>
        <v>752.57120402389182</v>
      </c>
      <c r="D9" s="200">
        <f>('College Work-Study'!D9*1000)/'College Work-Study'!AJ9</f>
        <v>755.63444108761325</v>
      </c>
      <c r="E9" s="200">
        <f>('College Work-Study'!E9*1000)/'College Work-Study'!AK9</f>
        <v>747.96084828711253</v>
      </c>
      <c r="F9" s="200">
        <f>('College Work-Study'!F9*1000)/'College Work-Study'!AL9</f>
        <v>795.01033834586462</v>
      </c>
      <c r="G9" s="200">
        <f>('College Work-Study'!G9*1000)/'College Work-Study'!AM9</f>
        <v>811.44522968197884</v>
      </c>
      <c r="H9" s="200">
        <f>('College Work-Study'!H9*1000)/'College Work-Study'!AN9</f>
        <v>1029.2253258845437</v>
      </c>
      <c r="I9" s="200">
        <f>('College Work-Study'!I9*1000)/'College Work-Study'!AO9</f>
        <v>998.80145058930191</v>
      </c>
      <c r="J9" s="200">
        <f>('College Work-Study'!J9*1000)/'College Work-Study'!AP9</f>
        <v>1000.967074317968</v>
      </c>
      <c r="K9" s="200">
        <f>('College Work-Study'!K9*1000)/'College Work-Study'!AQ9</f>
        <v>982.76510638297873</v>
      </c>
      <c r="L9" s="200">
        <f>('College Work-Study'!L9*1000)/'College Work-Study'!AR9</f>
        <v>932.35617597292719</v>
      </c>
      <c r="M9" s="201">
        <f>('College Work-Study'!M9*1000)/'College Work-Study'!AS9</f>
        <v>875.73646779928879</v>
      </c>
      <c r="N9" s="200">
        <f>('College Work-Study'!N9*1000)/'College Work-Study'!AT9</f>
        <v>826.12601927353592</v>
      </c>
      <c r="O9" s="200">
        <f>('College Work-Study'!O9*1000)/'College Work-Study'!AU9</f>
        <v>1016.5653225806452</v>
      </c>
      <c r="P9" s="200">
        <f>('College Work-Study'!P9*1000)/'College Work-Study'!AV9</f>
        <v>1311.6179775280898</v>
      </c>
      <c r="Q9" s="200">
        <f>('College Work-Study'!Q9*1000)/'College Work-Study'!AW9</f>
        <v>1319.9436795994993</v>
      </c>
      <c r="R9" s="200">
        <f>('College Work-Study'!R9*1000)/'College Work-Study'!AX9</f>
        <v>1069.1693895098883</v>
      </c>
      <c r="S9" s="200">
        <f>('College Work-Study'!S9*1000)/'College Work-Study'!AY9</f>
        <v>1169.0373406193078</v>
      </c>
      <c r="T9" s="200">
        <f>('College Work-Study'!T9*1000)/'College Work-Study'!AZ9</f>
        <v>1252.5348125478195</v>
      </c>
      <c r="U9" s="200">
        <f>('College Work-Study'!U9*1000)/'College Work-Study'!BA9</f>
        <v>1137.8355400696864</v>
      </c>
      <c r="V9" s="200">
        <f>('College Work-Study'!V9*1000)/'College Work-Study'!BB9</f>
        <v>1418.977648202138</v>
      </c>
      <c r="W9" s="200">
        <f>('College Work-Study'!W9*1000)/'College Work-Study'!BC9</f>
        <v>1353.3706739526413</v>
      </c>
      <c r="X9" s="200">
        <f>('College Work-Study'!X9*1000)/'College Work-Study'!BD9</f>
        <v>1352.7312992125985</v>
      </c>
      <c r="Y9" s="200">
        <f>('College Work-Study'!Y9*1000)/'College Work-Study'!BE9</f>
        <v>1290.9001706484642</v>
      </c>
      <c r="Z9" s="200">
        <f>('College Work-Study'!Z9*1000)/'College Work-Study'!BF9</f>
        <v>1367.2354277062832</v>
      </c>
      <c r="AA9" s="200">
        <f>('College Work-Study'!AA9*1000)/'College Work-Study'!BG9</f>
        <v>1378.4234042553192</v>
      </c>
      <c r="AB9" s="200">
        <f>('College Work-Study'!AB9*1000)/'College Work-Study'!BH9</f>
        <v>1449.9226713532514</v>
      </c>
      <c r="AC9" s="200">
        <f>('College Work-Study'!AC9*1000)/'College Work-Study'!BI9</f>
        <v>1505.9529953917051</v>
      </c>
      <c r="AD9" s="200">
        <f>('College Work-Study'!AD9*1000)/'College Work-Study'!BJ9</f>
        <v>1561.4546994072821</v>
      </c>
      <c r="AE9" s="200">
        <f>('College Work-Study'!AE9*1000)/'College Work-Study'!BK9</f>
        <v>1597.1919291338584</v>
      </c>
      <c r="AF9" s="200">
        <f>('College Work-Study'!AF9*1000)/'College Work-Study'!BL9</f>
        <v>1670.4061738424045</v>
      </c>
      <c r="AG9" s="200">
        <f>('College Work-Study'!AG9*1000)/'College Work-Study'!BM9</f>
        <v>1644.5823255813953</v>
      </c>
    </row>
    <row r="10" spans="1:33">
      <c r="A10" s="26" t="s">
        <v>20</v>
      </c>
      <c r="B10" s="200">
        <f>('College Work-Study'!B10*1000)/'College Work-Study'!AH10</f>
        <v>911.76172626886841</v>
      </c>
      <c r="C10" s="200">
        <f>('College Work-Study'!C10*1000)/'College Work-Study'!AI10</f>
        <v>677.36212880833011</v>
      </c>
      <c r="D10" s="200">
        <f>('College Work-Study'!D10*1000)/'College Work-Study'!AJ10</f>
        <v>911.9519457849882</v>
      </c>
      <c r="E10" s="200">
        <f>('College Work-Study'!E10*1000)/'College Work-Study'!AK10</f>
        <v>907.64626973480551</v>
      </c>
      <c r="F10" s="200">
        <f>('College Work-Study'!F10*1000)/'College Work-Study'!AL10</f>
        <v>911.18714668253494</v>
      </c>
      <c r="G10" s="200">
        <f>('College Work-Study'!G10*1000)/'College Work-Study'!AM10</f>
        <v>950.61418901980448</v>
      </c>
      <c r="H10" s="200">
        <f>('College Work-Study'!H10*1000)/'College Work-Study'!AN10</f>
        <v>1016.4655298773636</v>
      </c>
      <c r="I10" s="200">
        <f>('College Work-Study'!I10*1000)/'College Work-Study'!AO10</f>
        <v>1044.2043685427184</v>
      </c>
      <c r="J10" s="200">
        <f>('College Work-Study'!J10*1000)/'College Work-Study'!AP10</f>
        <v>1009.0226831941985</v>
      </c>
      <c r="K10" s="200">
        <f>('College Work-Study'!K10*1000)/'College Work-Study'!AQ10</f>
        <v>1221.3806770336271</v>
      </c>
      <c r="L10" s="200">
        <f>('College Work-Study'!L10*1000)/'College Work-Study'!AR10</f>
        <v>1211.5835525947489</v>
      </c>
      <c r="M10" s="200">
        <f>('College Work-Study'!M10*1000)/'College Work-Study'!AS10</f>
        <v>1177.5015431677273</v>
      </c>
      <c r="N10" s="200">
        <f>('College Work-Study'!N10*1000)/'College Work-Study'!AT10</f>
        <v>1145.0318400000001</v>
      </c>
      <c r="O10" s="200">
        <f>('College Work-Study'!O10*1000)/'College Work-Study'!AU10</f>
        <v>1232.0612634421116</v>
      </c>
      <c r="P10" s="200">
        <f>('College Work-Study'!P10*1000)/'College Work-Study'!AV10</f>
        <v>1403.9430033961708</v>
      </c>
      <c r="Q10" s="200">
        <f>('College Work-Study'!Q10*1000)/'College Work-Study'!AW10</f>
        <v>1322.6269920971051</v>
      </c>
      <c r="R10" s="200">
        <f>('College Work-Study'!R10*1000)/'College Work-Study'!AX10</f>
        <v>1521.8869540119299</v>
      </c>
      <c r="S10" s="200">
        <f>('College Work-Study'!S10*1000)/'College Work-Study'!AY10</f>
        <v>1627.7003490638742</v>
      </c>
      <c r="T10" s="200">
        <f>('College Work-Study'!T10*1000)/'College Work-Study'!AZ10</f>
        <v>1716.256649168854</v>
      </c>
      <c r="U10" s="200">
        <f>('College Work-Study'!U10*1000)/'College Work-Study'!BA10</f>
        <v>1704.0891374201894</v>
      </c>
      <c r="V10" s="200">
        <f>('College Work-Study'!V10*1000)/'College Work-Study'!BB10</f>
        <v>1693.4656732544006</v>
      </c>
      <c r="W10" s="200">
        <f>('College Work-Study'!W10*1000)/'College Work-Study'!BC10</f>
        <v>1798.7184939425929</v>
      </c>
      <c r="X10" s="200">
        <f>('College Work-Study'!X10*1000)/'College Work-Study'!BD10</f>
        <v>1828.7249808624649</v>
      </c>
      <c r="Y10" s="200">
        <f>('College Work-Study'!Y10*1000)/'College Work-Study'!BE10</f>
        <v>1949.4011536444677</v>
      </c>
      <c r="Z10" s="200">
        <f>('College Work-Study'!Z10*1000)/'College Work-Study'!BF10</f>
        <v>2380.2185901370985</v>
      </c>
      <c r="AA10" s="200">
        <f>('College Work-Study'!AA10*1000)/'College Work-Study'!BG10</f>
        <v>2023.3809610733354</v>
      </c>
      <c r="AB10" s="200">
        <f>('College Work-Study'!AB10*1000)/'College Work-Study'!BH10</f>
        <v>1968.8855645236108</v>
      </c>
      <c r="AC10" s="200">
        <f>('College Work-Study'!AC10*1000)/'College Work-Study'!BI10</f>
        <v>2000.3517045454546</v>
      </c>
      <c r="AD10" s="200">
        <f>('College Work-Study'!AD10*1000)/'College Work-Study'!BJ10</f>
        <v>2029.1683266932271</v>
      </c>
      <c r="AE10" s="200">
        <f>('College Work-Study'!AE10*1000)/'College Work-Study'!BK10</f>
        <v>2201.794466403162</v>
      </c>
      <c r="AF10" s="200">
        <f>('College Work-Study'!AF10*1000)/'College Work-Study'!BL10</f>
        <v>2179.5057794101763</v>
      </c>
      <c r="AG10" s="200">
        <f>('College Work-Study'!AG10*1000)/'College Work-Study'!BM10</f>
        <v>2363.2245625955497</v>
      </c>
    </row>
    <row r="11" spans="1:33">
      <c r="A11" s="26" t="s">
        <v>21</v>
      </c>
      <c r="B11" s="200">
        <f>('College Work-Study'!B11*1000)/'College Work-Study'!AH11</f>
        <v>847.07530647985993</v>
      </c>
      <c r="C11" s="200">
        <f>('College Work-Study'!C11*1000)/'College Work-Study'!AI11</f>
        <v>680.60815929012017</v>
      </c>
      <c r="D11" s="200">
        <f>('College Work-Study'!D11*1000)/'College Work-Study'!AJ11</f>
        <v>878.40176183734468</v>
      </c>
      <c r="E11" s="200">
        <f>('College Work-Study'!E11*1000)/'College Work-Study'!AK11</f>
        <v>895.54543976589173</v>
      </c>
      <c r="F11" s="200">
        <f>('College Work-Study'!F11*1000)/'College Work-Study'!AL11</f>
        <v>882.11484948140651</v>
      </c>
      <c r="G11" s="200">
        <f>('College Work-Study'!G11*1000)/'College Work-Study'!AM11</f>
        <v>940.93395035759363</v>
      </c>
      <c r="H11" s="200">
        <f>('College Work-Study'!H11*1000)/'College Work-Study'!AN11</f>
        <v>1087.696028711867</v>
      </c>
      <c r="I11" s="200">
        <f>('College Work-Study'!I11*1000)/'College Work-Study'!AO11</f>
        <v>1063.928481066037</v>
      </c>
      <c r="J11" s="200">
        <f>('College Work-Study'!J11*1000)/'College Work-Study'!AP11</f>
        <v>1032.5445995372099</v>
      </c>
      <c r="K11" s="200">
        <f>('College Work-Study'!K11*1000)/'College Work-Study'!AQ11</f>
        <v>1077.6707495570449</v>
      </c>
      <c r="L11" s="200">
        <f>('College Work-Study'!L11*1000)/'College Work-Study'!AR11</f>
        <v>1020.926014840681</v>
      </c>
      <c r="M11" s="200">
        <f>('College Work-Study'!M11*1000)/'College Work-Study'!AS11</f>
        <v>1044.2216510903427</v>
      </c>
      <c r="N11" s="200">
        <f>('College Work-Study'!N11*1000)/'College Work-Study'!AT11</f>
        <v>1071.0543824367353</v>
      </c>
      <c r="O11" s="200">
        <f>('College Work-Study'!O11*1000)/'College Work-Study'!AU11</f>
        <v>1218.303049874417</v>
      </c>
      <c r="P11" s="200">
        <f>('College Work-Study'!P11*1000)/'College Work-Study'!AV11</f>
        <v>1311.3415485116175</v>
      </c>
      <c r="Q11" s="200">
        <f>('College Work-Study'!Q11*1000)/'College Work-Study'!AW11</f>
        <v>1252.2506691083252</v>
      </c>
      <c r="R11" s="200">
        <f>('College Work-Study'!R11*1000)/'College Work-Study'!AX11</f>
        <v>1330.6090849530465</v>
      </c>
      <c r="S11" s="200">
        <f>('College Work-Study'!S11*1000)/'College Work-Study'!AY11</f>
        <v>1422.773516237402</v>
      </c>
      <c r="T11" s="200">
        <f>('College Work-Study'!T11*1000)/'College Work-Study'!AZ11</f>
        <v>1430.4686901638181</v>
      </c>
      <c r="U11" s="200">
        <f>('College Work-Study'!U11*1000)/'College Work-Study'!BA11</f>
        <v>1469.8320134557432</v>
      </c>
      <c r="V11" s="200">
        <f>('College Work-Study'!V11*1000)/'College Work-Study'!BB11</f>
        <v>1478.3497070100557</v>
      </c>
      <c r="W11" s="200">
        <f>('College Work-Study'!W11*1000)/'College Work-Study'!BC11</f>
        <v>1500.0735577636067</v>
      </c>
      <c r="X11" s="200">
        <f>('College Work-Study'!X11*1000)/'College Work-Study'!BD11</f>
        <v>1552.0223741916302</v>
      </c>
      <c r="Y11" s="200">
        <f>('College Work-Study'!Y11*1000)/'College Work-Study'!BE11</f>
        <v>1603.4493288095589</v>
      </c>
      <c r="Z11" s="200">
        <f>('College Work-Study'!Z11*1000)/'College Work-Study'!BF11</f>
        <v>1712.7882794773491</v>
      </c>
      <c r="AA11" s="200">
        <f>('College Work-Study'!AA11*1000)/'College Work-Study'!BG11</f>
        <v>1823.2218376100534</v>
      </c>
      <c r="AB11" s="200">
        <f>('College Work-Study'!AB11*1000)/'College Work-Study'!BH11</f>
        <v>1800.769455947451</v>
      </c>
      <c r="AC11" s="200">
        <f>('College Work-Study'!AC11*1000)/'College Work-Study'!BI11</f>
        <v>1856.4203264094956</v>
      </c>
      <c r="AD11" s="200">
        <f>('College Work-Study'!AD11*1000)/'College Work-Study'!BJ11</f>
        <v>1915.4872859366892</v>
      </c>
      <c r="AE11" s="200">
        <f>('College Work-Study'!AE11*1000)/'College Work-Study'!BK11</f>
        <v>1832.8531278331823</v>
      </c>
      <c r="AF11" s="200">
        <f>('College Work-Study'!AF11*1000)/'College Work-Study'!BL11</f>
        <v>1849.0874504006847</v>
      </c>
      <c r="AG11" s="200">
        <f>('College Work-Study'!AG11*1000)/'College Work-Study'!BM11</f>
        <v>1885.4120590846719</v>
      </c>
    </row>
    <row r="12" spans="1:33">
      <c r="A12" s="26" t="s">
        <v>22</v>
      </c>
      <c r="B12" s="200">
        <f>('College Work-Study'!B12*1000)/'College Work-Study'!AH12</f>
        <v>992.41001564945225</v>
      </c>
      <c r="C12" s="200">
        <f>('College Work-Study'!C12*1000)/'College Work-Study'!AI12</f>
        <v>676.18172825549357</v>
      </c>
      <c r="D12" s="200">
        <f>('College Work-Study'!D12*1000)/'College Work-Study'!AJ12</f>
        <v>1067.7883837566737</v>
      </c>
      <c r="E12" s="200">
        <f>('College Work-Study'!E12*1000)/'College Work-Study'!AK12</f>
        <v>1118.1998021760633</v>
      </c>
      <c r="F12" s="200">
        <f>('College Work-Study'!F12*1000)/'College Work-Study'!AL12</f>
        <v>1106.7681007345225</v>
      </c>
      <c r="G12" s="200">
        <f>('College Work-Study'!G12*1000)/'College Work-Study'!AM12</f>
        <v>1134.4812742143779</v>
      </c>
      <c r="H12" s="200">
        <f>('College Work-Study'!H12*1000)/'College Work-Study'!AN12</f>
        <v>1234.2588637334472</v>
      </c>
      <c r="I12" s="200">
        <f>('College Work-Study'!I12*1000)/'College Work-Study'!AO12</f>
        <v>1344.9007296792804</v>
      </c>
      <c r="J12" s="200">
        <f>('College Work-Study'!J12*1000)/'College Work-Study'!AP12</f>
        <v>1370.6829056111353</v>
      </c>
      <c r="K12" s="200">
        <f>('College Work-Study'!K12*1000)/'College Work-Study'!AQ12</f>
        <v>1352.1582480281927</v>
      </c>
      <c r="L12" s="200">
        <f>('College Work-Study'!L12*1000)/'College Work-Study'!AR12</f>
        <v>1329.1073057396093</v>
      </c>
      <c r="M12" s="200">
        <f>('College Work-Study'!M12*1000)/'College Work-Study'!AS12</f>
        <v>1346.017078968219</v>
      </c>
      <c r="N12" s="200">
        <f>('College Work-Study'!N12*1000)/'College Work-Study'!AT12</f>
        <v>1363.7253311705867</v>
      </c>
      <c r="O12" s="200">
        <f>('College Work-Study'!O12*1000)/'College Work-Study'!AU12</f>
        <v>1433.708786969567</v>
      </c>
      <c r="P12" s="200">
        <f>('College Work-Study'!P12*1000)/'College Work-Study'!AV12</f>
        <v>1515.2375376973569</v>
      </c>
      <c r="Q12" s="200">
        <f>('College Work-Study'!Q12*1000)/'College Work-Study'!AW12</f>
        <v>1507.5254131864226</v>
      </c>
      <c r="R12" s="200">
        <f>('College Work-Study'!R12*1000)/'College Work-Study'!AX12</f>
        <v>1555.0603739982191</v>
      </c>
      <c r="S12" s="200">
        <f>('College Work-Study'!S12*1000)/'College Work-Study'!AY12</f>
        <v>1601.1922270742359</v>
      </c>
      <c r="T12" s="200">
        <f>('College Work-Study'!T12*1000)/'College Work-Study'!AZ12</f>
        <v>1668.7830361026533</v>
      </c>
      <c r="U12" s="200">
        <f>('College Work-Study'!U12*1000)/'College Work-Study'!BA12</f>
        <v>1675.0452349582783</v>
      </c>
      <c r="V12" s="200">
        <f>('College Work-Study'!V12*1000)/'College Work-Study'!BB12</f>
        <v>1701.5824768756424</v>
      </c>
      <c r="W12" s="200">
        <f>('College Work-Study'!W12*1000)/'College Work-Study'!BC12</f>
        <v>1933.2946946054392</v>
      </c>
      <c r="X12" s="200">
        <f>('College Work-Study'!X12*1000)/'College Work-Study'!BD12</f>
        <v>1960.3255289139634</v>
      </c>
      <c r="Y12" s="200">
        <f>('College Work-Study'!Y12*1000)/'College Work-Study'!BE12</f>
        <v>2071.7903334294224</v>
      </c>
      <c r="Z12" s="200">
        <f>('College Work-Study'!Z12*1000)/'College Work-Study'!BF12</f>
        <v>2159.0571181722185</v>
      </c>
      <c r="AA12" s="200">
        <f>('College Work-Study'!AA12*1000)/'College Work-Study'!BG12</f>
        <v>2477.483314896755</v>
      </c>
      <c r="AB12" s="200">
        <f>('College Work-Study'!AB12*1000)/'College Work-Study'!BH12</f>
        <v>2556.8267125706216</v>
      </c>
      <c r="AC12" s="200">
        <f>('College Work-Study'!AC12*1000)/'College Work-Study'!BI12</f>
        <v>2630.3805901759529</v>
      </c>
      <c r="AD12" s="200">
        <f>('College Work-Study'!AD12*1000)/'College Work-Study'!BJ12</f>
        <v>2653.9286811895508</v>
      </c>
      <c r="AE12" s="200">
        <f>('College Work-Study'!AE12*1000)/'College Work-Study'!BK12</f>
        <v>2709.4504054308882</v>
      </c>
      <c r="AF12" s="200">
        <f>('College Work-Study'!AF12*1000)/'College Work-Study'!BL12</f>
        <v>2105.3438654082888</v>
      </c>
      <c r="AG12" s="200">
        <f>('College Work-Study'!AG12*1000)/'College Work-Study'!BM12</f>
        <v>1748.684571300146</v>
      </c>
    </row>
    <row r="13" spans="1:33">
      <c r="A13" s="26" t="s">
        <v>23</v>
      </c>
      <c r="B13" s="200">
        <f>('College Work-Study'!B13*1000)/'College Work-Study'!AH13</f>
        <v>781.3617653013024</v>
      </c>
      <c r="C13" s="200">
        <f>('College Work-Study'!C13*1000)/'College Work-Study'!AI13</f>
        <v>679.90459153249856</v>
      </c>
      <c r="D13" s="200">
        <f>('College Work-Study'!D13*1000)/'College Work-Study'!AJ13</f>
        <v>948.58984689766316</v>
      </c>
      <c r="E13" s="200">
        <f>('College Work-Study'!E13*1000)/'College Work-Study'!AK13</f>
        <v>994.89539748953973</v>
      </c>
      <c r="F13" s="200">
        <f>('College Work-Study'!F13*1000)/'College Work-Study'!AL13</f>
        <v>942.9463992107859</v>
      </c>
      <c r="G13" s="200">
        <f>('College Work-Study'!G13*1000)/'College Work-Study'!AM13</f>
        <v>943.73587342589599</v>
      </c>
      <c r="H13" s="200">
        <f>('College Work-Study'!H13*1000)/'College Work-Study'!AN13</f>
        <v>968.95183254221456</v>
      </c>
      <c r="I13" s="200">
        <f>('College Work-Study'!I13*1000)/'College Work-Study'!AO13</f>
        <v>1030.1085883514313</v>
      </c>
      <c r="J13" s="200">
        <f>('College Work-Study'!J13*1000)/'College Work-Study'!AP13</f>
        <v>1016.0945968139267</v>
      </c>
      <c r="K13" s="200">
        <f>('College Work-Study'!K13*1000)/'College Work-Study'!AQ13</f>
        <v>1006.4633195020747</v>
      </c>
      <c r="L13" s="200">
        <f>('College Work-Study'!L13*1000)/'College Work-Study'!AR13</f>
        <v>1057.7874823529412</v>
      </c>
      <c r="M13" s="200">
        <f>('College Work-Study'!M13*1000)/'College Work-Study'!AS13</f>
        <v>1073.0964481257897</v>
      </c>
      <c r="N13" s="200">
        <f>('College Work-Study'!N13*1000)/'College Work-Study'!AT13</f>
        <v>1088.2358525688755</v>
      </c>
      <c r="O13" s="200">
        <f>('College Work-Study'!O13*1000)/'College Work-Study'!AU13</f>
        <v>1133.6274390772699</v>
      </c>
      <c r="P13" s="200">
        <f>('College Work-Study'!P13*1000)/'College Work-Study'!AV13</f>
        <v>1195.2465460379713</v>
      </c>
      <c r="Q13" s="200">
        <f>('College Work-Study'!Q13*1000)/'College Work-Study'!AW13</f>
        <v>1163.0419757395932</v>
      </c>
      <c r="R13" s="200">
        <f>('College Work-Study'!R13*1000)/'College Work-Study'!AX13</f>
        <v>1222.453790813503</v>
      </c>
      <c r="S13" s="200">
        <f>('College Work-Study'!S13*1000)/'College Work-Study'!AY13</f>
        <v>1224.0151049204053</v>
      </c>
      <c r="T13" s="200">
        <f>('College Work-Study'!T13*1000)/'College Work-Study'!AZ13</f>
        <v>1221.0191903259727</v>
      </c>
      <c r="U13" s="200">
        <f>('College Work-Study'!U13*1000)/'College Work-Study'!BA13</f>
        <v>1273.4213888128479</v>
      </c>
      <c r="V13" s="200">
        <f>('College Work-Study'!V13*1000)/'College Work-Study'!BB13</f>
        <v>1283.0869441816462</v>
      </c>
      <c r="W13" s="200">
        <f>('College Work-Study'!W13*1000)/'College Work-Study'!BC13</f>
        <v>1132.9653489507077</v>
      </c>
      <c r="X13" s="200">
        <f>('College Work-Study'!X13*1000)/'College Work-Study'!BD13</f>
        <v>1278.7461353486774</v>
      </c>
      <c r="Y13" s="200">
        <f>('College Work-Study'!Y13*1000)/'College Work-Study'!BE13</f>
        <v>1402.873969072165</v>
      </c>
      <c r="Z13" s="200">
        <f>('College Work-Study'!Z13*1000)/'College Work-Study'!BF13</f>
        <v>1536.2161458333333</v>
      </c>
      <c r="AA13" s="200">
        <f>('College Work-Study'!AA13*1000)/'College Work-Study'!BG13</f>
        <v>1581.2069748949223</v>
      </c>
      <c r="AB13" s="200">
        <f>('College Work-Study'!AB13*1000)/'College Work-Study'!BH13</f>
        <v>1675.3955707386028</v>
      </c>
      <c r="AC13" s="200">
        <f>('College Work-Study'!AC13*1000)/'College Work-Study'!BI13</f>
        <v>1698.8598774885145</v>
      </c>
      <c r="AD13" s="200">
        <f>('College Work-Study'!AD13*1000)/'College Work-Study'!BJ13</f>
        <v>1660.1242885506288</v>
      </c>
      <c r="AE13" s="200">
        <f>('College Work-Study'!AE13*1000)/'College Work-Study'!BK13</f>
        <v>1633.7551347025874</v>
      </c>
      <c r="AF13" s="200">
        <f>('College Work-Study'!AF13*1000)/'College Work-Study'!BL13</f>
        <v>1655.6386806596702</v>
      </c>
      <c r="AG13" s="200">
        <f>('College Work-Study'!AG13*1000)/'College Work-Study'!BM13</f>
        <v>1656.1776145203112</v>
      </c>
    </row>
    <row r="14" spans="1:33">
      <c r="A14" s="26" t="s">
        <v>24</v>
      </c>
      <c r="B14" s="200">
        <f>('College Work-Study'!B14*1000)/'College Work-Study'!AH14</f>
        <v>1022.3833543505675</v>
      </c>
      <c r="C14" s="200">
        <f>('College Work-Study'!C14*1000)/'College Work-Study'!AI14</f>
        <v>675.88668302476026</v>
      </c>
      <c r="D14" s="200">
        <f>('College Work-Study'!D14*1000)/'College Work-Study'!AJ14</f>
        <v>1062.0347394540943</v>
      </c>
      <c r="E14" s="200">
        <f>('College Work-Study'!E14*1000)/'College Work-Study'!AK14</f>
        <v>1083.2202623247399</v>
      </c>
      <c r="F14" s="200">
        <f>('College Work-Study'!F14*1000)/'College Work-Study'!AL14</f>
        <v>1080.5726455276858</v>
      </c>
      <c r="G14" s="200">
        <f>('College Work-Study'!G14*1000)/'College Work-Study'!AM14</f>
        <v>1101.3925653124641</v>
      </c>
      <c r="H14" s="200">
        <f>('College Work-Study'!H14*1000)/'College Work-Study'!AN14</f>
        <v>1122.4904128129936</v>
      </c>
      <c r="I14" s="200">
        <f>('College Work-Study'!I14*1000)/'College Work-Study'!AO14</f>
        <v>1273.8424135263565</v>
      </c>
      <c r="J14" s="200">
        <f>('College Work-Study'!J14*1000)/'College Work-Study'!AP14</f>
        <v>1151.2666876905287</v>
      </c>
      <c r="K14" s="200">
        <f>('College Work-Study'!K14*1000)/'College Work-Study'!AQ14</f>
        <v>1155.979076718698</v>
      </c>
      <c r="L14" s="200">
        <f>('College Work-Study'!L14*1000)/'College Work-Study'!AR14</f>
        <v>1156.3340432686919</v>
      </c>
      <c r="M14" s="200">
        <f>('College Work-Study'!M14*1000)/'College Work-Study'!AS14</f>
        <v>1193.7123751578465</v>
      </c>
      <c r="N14" s="200">
        <f>('College Work-Study'!N14*1000)/'College Work-Study'!AT14</f>
        <v>1232.9374191271615</v>
      </c>
      <c r="O14" s="200">
        <f>('College Work-Study'!O14*1000)/'College Work-Study'!AU14</f>
        <v>1328.3935389133626</v>
      </c>
      <c r="P14" s="200">
        <f>('College Work-Study'!P14*1000)/'College Work-Study'!AV14</f>
        <v>1376.6271518849424</v>
      </c>
      <c r="Q14" s="200">
        <f>('College Work-Study'!Q14*1000)/'College Work-Study'!AW14</f>
        <v>1401.8888760407031</v>
      </c>
      <c r="R14" s="200">
        <f>('College Work-Study'!R14*1000)/'College Work-Study'!AX14</f>
        <v>1418.6954035874439</v>
      </c>
      <c r="S14" s="200">
        <f>('College Work-Study'!S14*1000)/'College Work-Study'!AY14</f>
        <v>1620.0856806128461</v>
      </c>
      <c r="T14" s="200">
        <f>('College Work-Study'!T14*1000)/'College Work-Study'!AZ14</f>
        <v>1601.2412677156567</v>
      </c>
      <c r="U14" s="200">
        <f>('College Work-Study'!U14*1000)/'College Work-Study'!BA14</f>
        <v>1703.8412429378532</v>
      </c>
      <c r="V14" s="200">
        <f>('College Work-Study'!V14*1000)/'College Work-Study'!BB14</f>
        <v>1653.3546621998883</v>
      </c>
      <c r="W14" s="200">
        <f>('College Work-Study'!W14*1000)/'College Work-Study'!BC14</f>
        <v>1707.3326819174617</v>
      </c>
      <c r="X14" s="200">
        <f>('College Work-Study'!X14*1000)/'College Work-Study'!BD14</f>
        <v>1750.6014002610657</v>
      </c>
      <c r="Y14" s="200">
        <f>('College Work-Study'!Y14*1000)/'College Work-Study'!BE14</f>
        <v>1710.4902523621577</v>
      </c>
      <c r="Z14" s="200">
        <f>('College Work-Study'!Z14*1000)/'College Work-Study'!BF14</f>
        <v>1799.3337218790068</v>
      </c>
      <c r="AA14" s="200">
        <f>('College Work-Study'!AA14*1000)/'College Work-Study'!BG14</f>
        <v>1896.5913247100802</v>
      </c>
      <c r="AB14" s="200">
        <f>('College Work-Study'!AB14*1000)/'College Work-Study'!BH14</f>
        <v>1941.1488157134604</v>
      </c>
      <c r="AC14" s="200">
        <f>('College Work-Study'!AC14*1000)/'College Work-Study'!BI14</f>
        <v>1907.1094144523265</v>
      </c>
      <c r="AD14" s="200">
        <f>('College Work-Study'!AD14*1000)/'College Work-Study'!BJ14</f>
        <v>1882.4482758620691</v>
      </c>
      <c r="AE14" s="200">
        <f>('College Work-Study'!AE14*1000)/'College Work-Study'!BK14</f>
        <v>1864.4820702402958</v>
      </c>
      <c r="AF14" s="200">
        <f>('College Work-Study'!AF14*1000)/'College Work-Study'!BL14</f>
        <v>1866.6392067124332</v>
      </c>
      <c r="AG14" s="200">
        <f>('College Work-Study'!AG14*1000)/'College Work-Study'!BM14</f>
        <v>1944.7186947654657</v>
      </c>
    </row>
    <row r="15" spans="1:33">
      <c r="A15" s="26" t="s">
        <v>25</v>
      </c>
      <c r="B15" s="200">
        <f>('College Work-Study'!B15*1000)/'College Work-Study'!AH15</f>
        <v>775.91228370738395</v>
      </c>
      <c r="C15" s="200">
        <f>('College Work-Study'!C15*1000)/'College Work-Study'!AI15</f>
        <v>675.38233843117905</v>
      </c>
      <c r="D15" s="200">
        <f>('College Work-Study'!D15*1000)/'College Work-Study'!AJ15</f>
        <v>822.74274598800457</v>
      </c>
      <c r="E15" s="200">
        <f>('College Work-Study'!E15*1000)/'College Work-Study'!AK15</f>
        <v>863.04274084124836</v>
      </c>
      <c r="F15" s="200">
        <f>('College Work-Study'!F15*1000)/'College Work-Study'!AL15</f>
        <v>787.22521775197015</v>
      </c>
      <c r="G15" s="200">
        <f>('College Work-Study'!G15*1000)/'College Work-Study'!AM15</f>
        <v>754.20426579163245</v>
      </c>
      <c r="H15" s="200">
        <f>('College Work-Study'!H15*1000)/'College Work-Study'!AN15</f>
        <v>857.21352019785661</v>
      </c>
      <c r="I15" s="200">
        <f>('College Work-Study'!I15*1000)/'College Work-Study'!AO15</f>
        <v>899.47229551451187</v>
      </c>
      <c r="J15" s="200">
        <f>('College Work-Study'!J15*1000)/'College Work-Study'!AP15</f>
        <v>953.40763749314817</v>
      </c>
      <c r="K15" s="200">
        <f>('College Work-Study'!K15*1000)/'College Work-Study'!AQ15</f>
        <v>993.95363519779028</v>
      </c>
      <c r="L15" s="200">
        <f>('College Work-Study'!L15*1000)/'College Work-Study'!AR15</f>
        <v>970.79308312045589</v>
      </c>
      <c r="M15" s="200">
        <f>('College Work-Study'!M15*1000)/'College Work-Study'!AS15</f>
        <v>993.23432343234322</v>
      </c>
      <c r="N15" s="200">
        <f>('College Work-Study'!N15*1000)/'College Work-Study'!AT15</f>
        <v>1018.0234425873671</v>
      </c>
      <c r="O15" s="200">
        <f>('College Work-Study'!O15*1000)/'College Work-Study'!AU15</f>
        <v>1130.5032505595225</v>
      </c>
      <c r="P15" s="200">
        <f>('College Work-Study'!P15*1000)/'College Work-Study'!AV15</f>
        <v>1076.5751908396946</v>
      </c>
      <c r="Q15" s="200">
        <f>('College Work-Study'!Q15*1000)/'College Work-Study'!AW15</f>
        <v>1171.7719999999999</v>
      </c>
      <c r="R15" s="200">
        <f>('College Work-Study'!R15*1000)/'College Work-Study'!AX15</f>
        <v>1067.5652480128786</v>
      </c>
      <c r="S15" s="200">
        <f>('College Work-Study'!S15*1000)/'College Work-Study'!AY15</f>
        <v>1217.6754069597428</v>
      </c>
      <c r="T15" s="200">
        <f>('College Work-Study'!T15*1000)/'College Work-Study'!AZ15</f>
        <v>1182.8056456846205</v>
      </c>
      <c r="U15" s="200">
        <f>('College Work-Study'!U15*1000)/'College Work-Study'!BA15</f>
        <v>1162.4317162232655</v>
      </c>
      <c r="V15" s="200">
        <f>('College Work-Study'!V15*1000)/'College Work-Study'!BB15</f>
        <v>1187.9761299591114</v>
      </c>
      <c r="W15" s="200">
        <f>('College Work-Study'!W15*1000)/'College Work-Study'!BC15</f>
        <v>1175.5348317119535</v>
      </c>
      <c r="X15" s="200">
        <f>('College Work-Study'!X15*1000)/'College Work-Study'!BD15</f>
        <v>1232.3570681844581</v>
      </c>
      <c r="Y15" s="200">
        <f>('College Work-Study'!Y15*1000)/'College Work-Study'!BE15</f>
        <v>1295.9121110697904</v>
      </c>
      <c r="Z15" s="200">
        <f>('College Work-Study'!Z15*1000)/'College Work-Study'!BF15</f>
        <v>1405.6974197608558</v>
      </c>
      <c r="AA15" s="200">
        <f>('College Work-Study'!AA15*1000)/'College Work-Study'!BG15</f>
        <v>1527.6803300157151</v>
      </c>
      <c r="AB15" s="200">
        <f>('College Work-Study'!AB15*1000)/'College Work-Study'!BH15</f>
        <v>1544.5329153605016</v>
      </c>
      <c r="AC15" s="200">
        <f>('College Work-Study'!AC15*1000)/'College Work-Study'!BI15</f>
        <v>1514.5674714857057</v>
      </c>
      <c r="AD15" s="200">
        <f>('College Work-Study'!AD15*1000)/'College Work-Study'!BJ15</f>
        <v>1517.1600054010262</v>
      </c>
      <c r="AE15" s="200">
        <f>('College Work-Study'!AE15*1000)/'College Work-Study'!BK15</f>
        <v>1480.6320291684196</v>
      </c>
      <c r="AF15" s="200">
        <f>('College Work-Study'!AF15*1000)/'College Work-Study'!BL15</f>
        <v>1542.5824832410376</v>
      </c>
      <c r="AG15" s="200">
        <f>('College Work-Study'!AG15*1000)/'College Work-Study'!BM15</f>
        <v>1580.7380157766991</v>
      </c>
    </row>
    <row r="16" spans="1:33">
      <c r="A16" s="26" t="s">
        <v>26</v>
      </c>
      <c r="B16" s="200">
        <f>('College Work-Study'!B16*1000)/'College Work-Study'!AH16</f>
        <v>652.88528389339513</v>
      </c>
      <c r="C16" s="200">
        <f>('College Work-Study'!C16*1000)/'College Work-Study'!AI16</f>
        <v>675.26192196531792</v>
      </c>
      <c r="D16" s="200">
        <f>('College Work-Study'!D16*1000)/'College Work-Study'!AJ16</f>
        <v>745.59896951481323</v>
      </c>
      <c r="E16" s="200">
        <f>('College Work-Study'!E16*1000)/'College Work-Study'!AK16</f>
        <v>762.52723311546845</v>
      </c>
      <c r="F16" s="200">
        <f>('College Work-Study'!F16*1000)/'College Work-Study'!AL16</f>
        <v>764.42679024605536</v>
      </c>
      <c r="G16" s="200">
        <f>('College Work-Study'!G16*1000)/'College Work-Study'!AM16</f>
        <v>775.40394009340275</v>
      </c>
      <c r="H16" s="200">
        <f>('College Work-Study'!H16*1000)/'College Work-Study'!AN16</f>
        <v>860.31417039380381</v>
      </c>
      <c r="I16" s="200">
        <f>('College Work-Study'!I16*1000)/'College Work-Study'!AO16</f>
        <v>906.74302397394865</v>
      </c>
      <c r="J16" s="200">
        <f>('College Work-Study'!J16*1000)/'College Work-Study'!AP16</f>
        <v>883.71461174808451</v>
      </c>
      <c r="K16" s="200">
        <f>('College Work-Study'!K16*1000)/'College Work-Study'!AQ16</f>
        <v>875.20352010694</v>
      </c>
      <c r="L16" s="200">
        <f>('College Work-Study'!L16*1000)/'College Work-Study'!AR16</f>
        <v>811.5612788632327</v>
      </c>
      <c r="M16" s="200">
        <f>('College Work-Study'!M16*1000)/'College Work-Study'!AS16</f>
        <v>852.37807529465613</v>
      </c>
      <c r="N16" s="200">
        <f>('College Work-Study'!N16*1000)/'College Work-Study'!AT16</f>
        <v>895.7874852420307</v>
      </c>
      <c r="O16" s="200">
        <f>('College Work-Study'!O16*1000)/'College Work-Study'!AU16</f>
        <v>1016.156996976439</v>
      </c>
      <c r="P16" s="200">
        <f>('College Work-Study'!P16*1000)/'College Work-Study'!AV16</f>
        <v>1050.3503283980854</v>
      </c>
      <c r="Q16" s="200">
        <f>('College Work-Study'!Q16*1000)/'College Work-Study'!AW16</f>
        <v>1027.5239062414228</v>
      </c>
      <c r="R16" s="200">
        <f>('College Work-Study'!R16*1000)/'College Work-Study'!AX16</f>
        <v>1068.9560173731377</v>
      </c>
      <c r="S16" s="200">
        <f>('College Work-Study'!S16*1000)/'College Work-Study'!AY16</f>
        <v>1110.023451373655</v>
      </c>
      <c r="T16" s="200">
        <f>('College Work-Study'!T16*1000)/'College Work-Study'!AZ16</f>
        <v>1148.551519366574</v>
      </c>
      <c r="U16" s="200">
        <f>('College Work-Study'!U16*1000)/'College Work-Study'!BA16</f>
        <v>1174.60428169601</v>
      </c>
      <c r="V16" s="200">
        <f>('College Work-Study'!V16*1000)/'College Work-Study'!BB16</f>
        <v>1157.503932959745</v>
      </c>
      <c r="W16" s="200">
        <f>('College Work-Study'!W16*1000)/'College Work-Study'!BC16</f>
        <v>1223.7619925168929</v>
      </c>
      <c r="X16" s="200">
        <f>('College Work-Study'!X16*1000)/'College Work-Study'!BD16</f>
        <v>1220.8031207751239</v>
      </c>
      <c r="Y16" s="200">
        <f>('College Work-Study'!Y16*1000)/'College Work-Study'!BE16</f>
        <v>1281.5115679761768</v>
      </c>
      <c r="Z16" s="200">
        <f>('College Work-Study'!Z16*1000)/'College Work-Study'!BF16</f>
        <v>1363.337217472772</v>
      </c>
      <c r="AA16" s="200">
        <f>('College Work-Study'!AA16*1000)/'College Work-Study'!BG16</f>
        <v>1481.5699010533035</v>
      </c>
      <c r="AB16" s="200">
        <f>('College Work-Study'!AB16*1000)/'College Work-Study'!BH16</f>
        <v>1439.7890246471457</v>
      </c>
      <c r="AC16" s="200">
        <f>('College Work-Study'!AC16*1000)/'College Work-Study'!BI16</f>
        <v>1442.527736131934</v>
      </c>
      <c r="AD16" s="200">
        <f>('College Work-Study'!AD16*1000)/'College Work-Study'!BJ16</f>
        <v>1489.071456972451</v>
      </c>
      <c r="AE16" s="200">
        <f>('College Work-Study'!AE16*1000)/'College Work-Study'!BK16</f>
        <v>1450.6444481382978</v>
      </c>
      <c r="AF16" s="200">
        <f>('College Work-Study'!AF16*1000)/'College Work-Study'!BL16</f>
        <v>1418.312767019919</v>
      </c>
      <c r="AG16" s="200">
        <f>('College Work-Study'!AG16*1000)/'College Work-Study'!BM16</f>
        <v>1441.6560795997527</v>
      </c>
    </row>
    <row r="17" spans="1:33">
      <c r="A17" s="26" t="s">
        <v>27</v>
      </c>
      <c r="B17" s="200">
        <f>('College Work-Study'!B17*1000)/'College Work-Study'!AH17</f>
        <v>792.01239075118929</v>
      </c>
      <c r="C17" s="200">
        <f>('College Work-Study'!C17*1000)/'College Work-Study'!AI17</f>
        <v>675.22744503411673</v>
      </c>
      <c r="D17" s="200">
        <f>('College Work-Study'!D17*1000)/'College Work-Study'!AJ17</f>
        <v>859.25349922239502</v>
      </c>
      <c r="E17" s="200">
        <f>('College Work-Study'!E17*1000)/'College Work-Study'!AK17</f>
        <v>806.96236850666958</v>
      </c>
      <c r="F17" s="200">
        <f>('College Work-Study'!F17*1000)/'College Work-Study'!AL17</f>
        <v>827.93017456359098</v>
      </c>
      <c r="G17" s="200">
        <f>('College Work-Study'!G17*1000)/'College Work-Study'!AM17</f>
        <v>857.20254883526582</v>
      </c>
      <c r="H17" s="200">
        <f>('College Work-Study'!H17*1000)/'College Work-Study'!AN17</f>
        <v>966.86220026757235</v>
      </c>
      <c r="I17" s="200">
        <f>('College Work-Study'!I17*1000)/'College Work-Study'!AO17</f>
        <v>1044.1256980181759</v>
      </c>
      <c r="J17" s="200">
        <f>('College Work-Study'!J17*1000)/'College Work-Study'!AP17</f>
        <v>1050.4061422054078</v>
      </c>
      <c r="K17" s="200">
        <f>('College Work-Study'!K17*1000)/'College Work-Study'!AQ17</f>
        <v>1100.4218186051926</v>
      </c>
      <c r="L17" s="200">
        <f>('College Work-Study'!L17*1000)/'College Work-Study'!AR17</f>
        <v>1070.2844219924812</v>
      </c>
      <c r="M17" s="200">
        <f>('College Work-Study'!M17*1000)/'College Work-Study'!AS17</f>
        <v>1108.3075614940783</v>
      </c>
      <c r="N17" s="200">
        <f>('College Work-Study'!N17*1000)/'College Work-Study'!AT17</f>
        <v>1149.0032692065888</v>
      </c>
      <c r="O17" s="200">
        <f>('College Work-Study'!O17*1000)/'College Work-Study'!AU17</f>
        <v>1256.4564666103129</v>
      </c>
      <c r="P17" s="200">
        <f>('College Work-Study'!P17*1000)/'College Work-Study'!AV17</f>
        <v>1255.6275845583841</v>
      </c>
      <c r="Q17" s="200">
        <f>('College Work-Study'!Q17*1000)/'College Work-Study'!AW17</f>
        <v>1293.2709652900937</v>
      </c>
      <c r="R17" s="200">
        <f>('College Work-Study'!R17*1000)/'College Work-Study'!AX17</f>
        <v>1322.319188420141</v>
      </c>
      <c r="S17" s="200">
        <f>('College Work-Study'!S17*1000)/'College Work-Study'!AY17</f>
        <v>1360.4304342624716</v>
      </c>
      <c r="T17" s="200">
        <f>('College Work-Study'!T17*1000)/'College Work-Study'!AZ17</f>
        <v>1371.1525679758308</v>
      </c>
      <c r="U17" s="200">
        <f>('College Work-Study'!U17*1000)/'College Work-Study'!BA17</f>
        <v>1428.0268817204301</v>
      </c>
      <c r="V17" s="200">
        <f>('College Work-Study'!V17*1000)/'College Work-Study'!BB17</f>
        <v>1470.3424053913945</v>
      </c>
      <c r="W17" s="200">
        <f>('College Work-Study'!W17*1000)/'College Work-Study'!BC17</f>
        <v>1493.4461094308497</v>
      </c>
      <c r="X17" s="200">
        <f>('College Work-Study'!X17*1000)/'College Work-Study'!BD17</f>
        <v>1442.1034433078808</v>
      </c>
      <c r="Y17" s="200">
        <f>('College Work-Study'!Y17*1000)/'College Work-Study'!BE17</f>
        <v>1505.3278806141484</v>
      </c>
      <c r="Z17" s="200">
        <f>('College Work-Study'!Z17*1000)/'College Work-Study'!BF17</f>
        <v>1662.7441056271612</v>
      </c>
      <c r="AA17" s="200">
        <f>('College Work-Study'!AA17*1000)/'College Work-Study'!BG17</f>
        <v>1892.5070508890251</v>
      </c>
      <c r="AB17" s="200">
        <f>('College Work-Study'!AB17*1000)/'College Work-Study'!BH17</f>
        <v>1845.7863722998729</v>
      </c>
      <c r="AC17" s="200">
        <f>('College Work-Study'!AC17*1000)/'College Work-Study'!BI17</f>
        <v>1833.3523605856226</v>
      </c>
      <c r="AD17" s="200">
        <f>('College Work-Study'!AD17*1000)/'College Work-Study'!BJ17</f>
        <v>1793.4244356367396</v>
      </c>
      <c r="AE17" s="200">
        <f>('College Work-Study'!AE17*1000)/'College Work-Study'!BK17</f>
        <v>1826.7026690391458</v>
      </c>
      <c r="AF17" s="200">
        <f>('College Work-Study'!AF17*1000)/'College Work-Study'!BL17</f>
        <v>1870.2410586552217</v>
      </c>
      <c r="AG17" s="200">
        <f>('College Work-Study'!AG17*1000)/'College Work-Study'!BM17</f>
        <v>1872.2932224385065</v>
      </c>
    </row>
    <row r="18" spans="1:33">
      <c r="A18" s="26" t="s">
        <v>28</v>
      </c>
      <c r="B18" s="200">
        <f>('College Work-Study'!B18*1000)/'College Work-Study'!AH18</f>
        <v>817.06024096385545</v>
      </c>
      <c r="C18" s="200">
        <f>('College Work-Study'!C18*1000)/'College Work-Study'!AI18</f>
        <v>675.5162241887906</v>
      </c>
      <c r="D18" s="200">
        <f>('College Work-Study'!D18*1000)/'College Work-Study'!AJ18</f>
        <v>859.35717002662614</v>
      </c>
      <c r="E18" s="200">
        <f>('College Work-Study'!E18*1000)/'College Work-Study'!AK18</f>
        <v>861.11373735463746</v>
      </c>
      <c r="F18" s="200">
        <f>('College Work-Study'!F18*1000)/'College Work-Study'!AL18</f>
        <v>861.77215189873414</v>
      </c>
      <c r="G18" s="200">
        <f>('College Work-Study'!G18*1000)/'College Work-Study'!AM18</f>
        <v>891.07838891294932</v>
      </c>
      <c r="H18" s="200">
        <f>('College Work-Study'!H18*1000)/'College Work-Study'!AN18</f>
        <v>1023.3557342734383</v>
      </c>
      <c r="I18" s="200">
        <f>('College Work-Study'!I18*1000)/'College Work-Study'!AO18</f>
        <v>956.57581096486683</v>
      </c>
      <c r="J18" s="200">
        <f>('College Work-Study'!J18*1000)/'College Work-Study'!AP18</f>
        <v>1042.9699842022117</v>
      </c>
      <c r="K18" s="200">
        <f>('College Work-Study'!K18*1000)/'College Work-Study'!AQ18</f>
        <v>965.26000816993462</v>
      </c>
      <c r="L18" s="200">
        <f>('College Work-Study'!L18*1000)/'College Work-Study'!AR18</f>
        <v>946.4098480880042</v>
      </c>
      <c r="M18" s="200">
        <f>('College Work-Study'!M18*1000)/'College Work-Study'!AS18</f>
        <v>953.4768574587963</v>
      </c>
      <c r="N18" s="200">
        <f>('College Work-Study'!N18*1000)/'College Work-Study'!AT18</f>
        <v>960.61793351683252</v>
      </c>
      <c r="O18" s="200">
        <f>('College Work-Study'!O18*1000)/'College Work-Study'!AU18</f>
        <v>1332.0526098617702</v>
      </c>
      <c r="P18" s="200">
        <f>('College Work-Study'!P18*1000)/'College Work-Study'!AV18</f>
        <v>1095.0633340873105</v>
      </c>
      <c r="Q18" s="200">
        <f>('College Work-Study'!Q18*1000)/'College Work-Study'!AW18</f>
        <v>1071.8843141405589</v>
      </c>
      <c r="R18" s="200">
        <f>('College Work-Study'!R18*1000)/'College Work-Study'!AX18</f>
        <v>1114.2990704135057</v>
      </c>
      <c r="S18" s="200">
        <f>('College Work-Study'!S18*1000)/'College Work-Study'!AY18</f>
        <v>1174.3484618717505</v>
      </c>
      <c r="T18" s="200">
        <f>('College Work-Study'!T18*1000)/'College Work-Study'!AZ18</f>
        <v>1220.9898685061435</v>
      </c>
      <c r="U18" s="200">
        <f>('College Work-Study'!U18*1000)/'College Work-Study'!BA18</f>
        <v>1264.7463301298976</v>
      </c>
      <c r="V18" s="200">
        <f>('College Work-Study'!V18*1000)/'College Work-Study'!BB18</f>
        <v>1320.5258591925258</v>
      </c>
      <c r="W18" s="200">
        <f>('College Work-Study'!W18*1000)/'College Work-Study'!BC18</f>
        <v>1339.1796580057739</v>
      </c>
      <c r="X18" s="200">
        <f>('College Work-Study'!X18*1000)/'College Work-Study'!BD18</f>
        <v>1330.1756877656005</v>
      </c>
      <c r="Y18" s="200">
        <f>('College Work-Study'!Y18*1000)/'College Work-Study'!BE18</f>
        <v>1356.8855801168252</v>
      </c>
      <c r="Z18" s="200">
        <f>('College Work-Study'!Z18*1000)/'College Work-Study'!BF18</f>
        <v>1431.9890260631</v>
      </c>
      <c r="AA18" s="200">
        <f>('College Work-Study'!AA18*1000)/'College Work-Study'!BG18</f>
        <v>1574.9245063879209</v>
      </c>
      <c r="AB18" s="200">
        <f>('College Work-Study'!AB18*1000)/'College Work-Study'!BH18</f>
        <v>1514.5288333130995</v>
      </c>
      <c r="AC18" s="200">
        <f>('College Work-Study'!AC18*1000)/'College Work-Study'!BI18</f>
        <v>1533.6155003762228</v>
      </c>
      <c r="AD18" s="200">
        <f>('College Work-Study'!AD18*1000)/'College Work-Study'!BJ18</f>
        <v>1551.6980031120331</v>
      </c>
      <c r="AE18" s="200">
        <f>('College Work-Study'!AE18*1000)/'College Work-Study'!BK18</f>
        <v>1577.5322735370701</v>
      </c>
      <c r="AF18" s="200">
        <f>('College Work-Study'!AF18*1000)/'College Work-Study'!BL18</f>
        <v>1580.7847103638512</v>
      </c>
      <c r="AG18" s="200">
        <f>('College Work-Study'!AG18*1000)/'College Work-Study'!BM18</f>
        <v>1697.1389898989898</v>
      </c>
    </row>
    <row r="19" spans="1:33">
      <c r="A19" s="26" t="s">
        <v>29</v>
      </c>
      <c r="B19" s="200">
        <f>('College Work-Study'!B19*1000)/'College Work-Study'!AH19</f>
        <v>745.03154039205049</v>
      </c>
      <c r="C19" s="200">
        <f>('College Work-Study'!C19*1000)/'College Work-Study'!AI19</f>
        <v>675.51568412059078</v>
      </c>
      <c r="D19" s="200">
        <f>('College Work-Study'!D19*1000)/'College Work-Study'!AJ19</f>
        <v>807.11009174311926</v>
      </c>
      <c r="E19" s="200">
        <f>('College Work-Study'!E19*1000)/'College Work-Study'!AK19</f>
        <v>779.48717948717945</v>
      </c>
      <c r="F19" s="200">
        <f>('College Work-Study'!F19*1000)/'College Work-Study'!AL19</f>
        <v>718.10215858089339</v>
      </c>
      <c r="G19" s="200">
        <f>('College Work-Study'!G19*1000)/'College Work-Study'!AM19</f>
        <v>761.93054897448042</v>
      </c>
      <c r="H19" s="200">
        <f>('College Work-Study'!H19*1000)/'College Work-Study'!AN19</f>
        <v>942.70873118936674</v>
      </c>
      <c r="I19" s="200">
        <f>('College Work-Study'!I19*1000)/'College Work-Study'!AO19</f>
        <v>1021.3623538895606</v>
      </c>
      <c r="J19" s="200">
        <f>('College Work-Study'!J19*1000)/'College Work-Study'!AP19</f>
        <v>977.84981091301995</v>
      </c>
      <c r="K19" s="200">
        <f>('College Work-Study'!K19*1000)/'College Work-Study'!AQ19</f>
        <v>1004.8157528957529</v>
      </c>
      <c r="L19" s="200">
        <f>('College Work-Study'!L19*1000)/'College Work-Study'!AR19</f>
        <v>995.80524085444949</v>
      </c>
      <c r="M19" s="200">
        <f>('College Work-Study'!M19*1000)/'College Work-Study'!AS19</f>
        <v>1022.5230695776727</v>
      </c>
      <c r="N19" s="200">
        <f>('College Work-Study'!N19*1000)/'College Work-Study'!AT19</f>
        <v>1049.4434471941443</v>
      </c>
      <c r="O19" s="200">
        <f>('College Work-Study'!O19*1000)/'College Work-Study'!AU19</f>
        <v>1147.0552865844136</v>
      </c>
      <c r="P19" s="200">
        <f>('College Work-Study'!P19*1000)/'College Work-Study'!AV19</f>
        <v>1185.361551508001</v>
      </c>
      <c r="Q19" s="200">
        <f>('College Work-Study'!Q19*1000)/'College Work-Study'!AW19</f>
        <v>1104.4091796112716</v>
      </c>
      <c r="R19" s="200">
        <f>('College Work-Study'!R19*1000)/'College Work-Study'!AX19</f>
        <v>1199.4897726408637</v>
      </c>
      <c r="S19" s="200">
        <f>('College Work-Study'!S19*1000)/'College Work-Study'!AY19</f>
        <v>1272.8596728307255</v>
      </c>
      <c r="T19" s="200">
        <f>('College Work-Study'!T19*1000)/'College Work-Study'!AZ19</f>
        <v>1265.6896771452846</v>
      </c>
      <c r="U19" s="200">
        <f>('College Work-Study'!U19*1000)/'College Work-Study'!BA19</f>
        <v>1291.2943393592518</v>
      </c>
      <c r="V19" s="200">
        <f>('College Work-Study'!V19*1000)/'College Work-Study'!BB19</f>
        <v>1221.2012491325468</v>
      </c>
      <c r="W19" s="200">
        <f>('College Work-Study'!W19*1000)/'College Work-Study'!BC19</f>
        <v>1259.1604601877079</v>
      </c>
      <c r="X19" s="200">
        <f>('College Work-Study'!X19*1000)/'College Work-Study'!BD19</f>
        <v>1236.8429794395258</v>
      </c>
      <c r="Y19" s="200">
        <f>('College Work-Study'!Y19*1000)/'College Work-Study'!BE19</f>
        <v>1349.3486120565767</v>
      </c>
      <c r="Z19" s="200">
        <f>('College Work-Study'!Z19*1000)/'College Work-Study'!BF19</f>
        <v>1495.6372488882073</v>
      </c>
      <c r="AA19" s="200">
        <f>('College Work-Study'!AA19*1000)/'College Work-Study'!BG19</f>
        <v>1624.282355526258</v>
      </c>
      <c r="AB19" s="200">
        <f>('College Work-Study'!AB19*1000)/'College Work-Study'!BH19</f>
        <v>1616.5072039448339</v>
      </c>
      <c r="AC19" s="200">
        <f>('College Work-Study'!AC19*1000)/'College Work-Study'!BI19</f>
        <v>1612.9389734407639</v>
      </c>
      <c r="AD19" s="200">
        <f>('College Work-Study'!AD19*1000)/'College Work-Study'!BJ19</f>
        <v>1555.1661390128077</v>
      </c>
      <c r="AE19" s="200">
        <f>('College Work-Study'!AE19*1000)/'College Work-Study'!BK19</f>
        <v>1550.2648606203377</v>
      </c>
      <c r="AF19" s="200">
        <f>('College Work-Study'!AF19*1000)/'College Work-Study'!BL19</f>
        <v>1516.842175903995</v>
      </c>
      <c r="AG19" s="200">
        <f>('College Work-Study'!AG19*1000)/'College Work-Study'!BM19</f>
        <v>1559.3039325842697</v>
      </c>
    </row>
    <row r="20" spans="1:33">
      <c r="A20" s="26" t="s">
        <v>30</v>
      </c>
      <c r="B20" s="200">
        <f>('College Work-Study'!B20*1000)/'College Work-Study'!AH20</f>
        <v>1029.451482219793</v>
      </c>
      <c r="C20" s="200">
        <f>('College Work-Study'!C20*1000)/'College Work-Study'!AI20</f>
        <v>676.6272250657936</v>
      </c>
      <c r="D20" s="200">
        <f>('College Work-Study'!D20*1000)/'College Work-Study'!AJ20</f>
        <v>1085.9519109413934</v>
      </c>
      <c r="E20" s="200">
        <f>('College Work-Study'!E20*1000)/'College Work-Study'!AK20</f>
        <v>1083.9689742847029</v>
      </c>
      <c r="F20" s="200">
        <f>('College Work-Study'!F20*1000)/'College Work-Study'!AL20</f>
        <v>1060.452087811869</v>
      </c>
      <c r="G20" s="200">
        <f>('College Work-Study'!G20*1000)/'College Work-Study'!AM20</f>
        <v>1102.1107642188135</v>
      </c>
      <c r="H20" s="200">
        <f>('College Work-Study'!H20*1000)/'College Work-Study'!AN20</f>
        <v>1153.9651959700598</v>
      </c>
      <c r="I20" s="200">
        <f>('College Work-Study'!I20*1000)/'College Work-Study'!AO20</f>
        <v>1205.7971014492753</v>
      </c>
      <c r="J20" s="200">
        <f>('College Work-Study'!J20*1000)/'College Work-Study'!AP20</f>
        <v>1259.9445812807883</v>
      </c>
      <c r="K20" s="200">
        <f>('College Work-Study'!K20*1000)/'College Work-Study'!AQ20</f>
        <v>1255.2035879484936</v>
      </c>
      <c r="L20" s="200">
        <f>('College Work-Study'!L20*1000)/'College Work-Study'!AR20</f>
        <v>1216.6083354739276</v>
      </c>
      <c r="M20" s="200">
        <f>('College Work-Study'!M20*1000)/'College Work-Study'!AS20</f>
        <v>1240.6237854516808</v>
      </c>
      <c r="N20" s="200">
        <f>('College Work-Study'!N20*1000)/'College Work-Study'!AT20</f>
        <v>1265.735831318829</v>
      </c>
      <c r="O20" s="200">
        <f>('College Work-Study'!O20*1000)/'College Work-Study'!AU20</f>
        <v>1312.8564644745095</v>
      </c>
      <c r="P20" s="200">
        <f>('College Work-Study'!P20*1000)/'College Work-Study'!AV20</f>
        <v>1337.5918246269764</v>
      </c>
      <c r="Q20" s="200">
        <f>('College Work-Study'!Q20*1000)/'College Work-Study'!AW20</f>
        <v>1354.7467858309333</v>
      </c>
      <c r="R20" s="200">
        <f>('College Work-Study'!R20*1000)/'College Work-Study'!AX20</f>
        <v>1419.7914800956878</v>
      </c>
      <c r="S20" s="200">
        <f>('College Work-Study'!S20*1000)/'College Work-Study'!AY20</f>
        <v>1414.4917046383923</v>
      </c>
      <c r="T20" s="200">
        <f>('College Work-Study'!T20*1000)/'College Work-Study'!AZ20</f>
        <v>1476.2730912450654</v>
      </c>
      <c r="U20" s="200">
        <f>('College Work-Study'!U20*1000)/'College Work-Study'!BA20</f>
        <v>1503.0849267372696</v>
      </c>
      <c r="V20" s="200">
        <f>('College Work-Study'!V20*1000)/'College Work-Study'!BB20</f>
        <v>1529.2890020306661</v>
      </c>
      <c r="W20" s="200">
        <f>('College Work-Study'!W20*1000)/'College Work-Study'!BC20</f>
        <v>1554.8006480573144</v>
      </c>
      <c r="X20" s="200">
        <f>('College Work-Study'!X20*1000)/'College Work-Study'!BD20</f>
        <v>1520.7784821986259</v>
      </c>
      <c r="Y20" s="200">
        <f>('College Work-Study'!Y20*1000)/'College Work-Study'!BE20</f>
        <v>1628.6959539086029</v>
      </c>
      <c r="Z20" s="200">
        <f>('College Work-Study'!Z20*1000)/'College Work-Study'!BF20</f>
        <v>1719.4151286716922</v>
      </c>
      <c r="AA20" s="200">
        <f>('College Work-Study'!AA20*1000)/'College Work-Study'!BG20</f>
        <v>1887.0752320622178</v>
      </c>
      <c r="AB20" s="200">
        <f>('College Work-Study'!AB20*1000)/'College Work-Study'!BH20</f>
        <v>1845.7475698765597</v>
      </c>
      <c r="AC20" s="200">
        <f>('College Work-Study'!AC20*1000)/'College Work-Study'!BI20</f>
        <v>1868.0779453537129</v>
      </c>
      <c r="AD20" s="200">
        <f>('College Work-Study'!AD20*1000)/'College Work-Study'!BJ20</f>
        <v>1965.0811467615258</v>
      </c>
      <c r="AE20" s="200">
        <f>('College Work-Study'!AE20*1000)/'College Work-Study'!BK20</f>
        <v>1876.6648856056802</v>
      </c>
      <c r="AF20" s="200">
        <f>('College Work-Study'!AF20*1000)/'College Work-Study'!BL20</f>
        <v>1957.9403666502774</v>
      </c>
      <c r="AG20" s="200">
        <f>('College Work-Study'!AG20*1000)/'College Work-Study'!BM20</f>
        <v>1992.6618050850479</v>
      </c>
    </row>
    <row r="21" spans="1:33">
      <c r="A21" s="26" t="s">
        <v>31</v>
      </c>
      <c r="B21" s="200">
        <f>('College Work-Study'!B21*1000)/'College Work-Study'!AH21</f>
        <v>834.58385438377104</v>
      </c>
      <c r="C21" s="200">
        <f>('College Work-Study'!C21*1000)/'College Work-Study'!AI21</f>
        <v>675.69117815762309</v>
      </c>
      <c r="D21" s="200">
        <f>('College Work-Study'!D21*1000)/'College Work-Study'!AJ21</f>
        <v>854.33832485491155</v>
      </c>
      <c r="E21" s="200">
        <f>('College Work-Study'!E21*1000)/'College Work-Study'!AK21</f>
        <v>873.83911987426779</v>
      </c>
      <c r="F21" s="200">
        <f>('College Work-Study'!F21*1000)/'College Work-Study'!AL21</f>
        <v>902.0958305561727</v>
      </c>
      <c r="G21" s="200">
        <f>('College Work-Study'!G21*1000)/'College Work-Study'!AM21</f>
        <v>922.25315913471832</v>
      </c>
      <c r="H21" s="200">
        <f>('College Work-Study'!H21*1000)/'College Work-Study'!AN21</f>
        <v>955.01276478299872</v>
      </c>
      <c r="I21" s="200">
        <f>('College Work-Study'!I21*1000)/'College Work-Study'!AO21</f>
        <v>1004.2843656960279</v>
      </c>
      <c r="J21" s="200">
        <f>('College Work-Study'!J21*1000)/'College Work-Study'!AP21</f>
        <v>996.70555936856556</v>
      </c>
      <c r="K21" s="200">
        <f>('College Work-Study'!K21*1000)/'College Work-Study'!AQ21</f>
        <v>961.24470619375336</v>
      </c>
      <c r="L21" s="200">
        <f>('College Work-Study'!L21*1000)/'College Work-Study'!AR21</f>
        <v>1035.2029497299543</v>
      </c>
      <c r="M21" s="200">
        <f>('College Work-Study'!M21*1000)/'College Work-Study'!AS21</f>
        <v>1062.2928217303261</v>
      </c>
      <c r="N21" s="200">
        <f>('College Work-Study'!N21*1000)/'College Work-Study'!AT21</f>
        <v>1089.844366197183</v>
      </c>
      <c r="O21" s="200">
        <f>('College Work-Study'!O21*1000)/'College Work-Study'!AU21</f>
        <v>1226.4218238911421</v>
      </c>
      <c r="P21" s="200">
        <f>('College Work-Study'!P21*1000)/'College Work-Study'!AV21</f>
        <v>1204.7049367769707</v>
      </c>
      <c r="Q21" s="200">
        <f>('College Work-Study'!Q21*1000)/'College Work-Study'!AW21</f>
        <v>1184.4325104861446</v>
      </c>
      <c r="R21" s="200">
        <f>('College Work-Study'!R21*1000)/'College Work-Study'!AX21</f>
        <v>1244.0634821304409</v>
      </c>
      <c r="S21" s="200">
        <f>('College Work-Study'!S21*1000)/'College Work-Study'!AY21</f>
        <v>1363.9432347826087</v>
      </c>
      <c r="T21" s="200">
        <f>('College Work-Study'!T21*1000)/'College Work-Study'!AZ21</f>
        <v>1372.9752204114347</v>
      </c>
      <c r="U21" s="200">
        <f>('College Work-Study'!U21*1000)/'College Work-Study'!BA21</f>
        <v>1382.7952797666401</v>
      </c>
      <c r="V21" s="200">
        <f>('College Work-Study'!V21*1000)/'College Work-Study'!BB21</f>
        <v>1402.3425626932326</v>
      </c>
      <c r="W21" s="200">
        <f>('College Work-Study'!W21*1000)/'College Work-Study'!BC21</f>
        <v>1334.0257894351234</v>
      </c>
      <c r="X21" s="200">
        <f>('College Work-Study'!X21*1000)/'College Work-Study'!BD21</f>
        <v>1391.6457075656606</v>
      </c>
      <c r="Y21" s="200">
        <f>('College Work-Study'!Y21*1000)/'College Work-Study'!BE21</f>
        <v>1398.1694663645596</v>
      </c>
      <c r="Z21" s="200">
        <f>('College Work-Study'!Z21*1000)/'College Work-Study'!BF21</f>
        <v>1484.3186177500381</v>
      </c>
      <c r="AA21" s="200">
        <f>('College Work-Study'!AA21*1000)/'College Work-Study'!BG21</f>
        <v>1576.3119643469317</v>
      </c>
      <c r="AB21" s="200">
        <f>('College Work-Study'!AB21*1000)/'College Work-Study'!BH21</f>
        <v>1590.5739241872386</v>
      </c>
      <c r="AC21" s="200">
        <f>('College Work-Study'!AC21*1000)/'College Work-Study'!BI21</f>
        <v>1663.8510535070695</v>
      </c>
      <c r="AD21" s="200">
        <f>('College Work-Study'!AD21*1000)/'College Work-Study'!BJ21</f>
        <v>1652.0618120237086</v>
      </c>
      <c r="AE21" s="200">
        <f>('College Work-Study'!AE21*1000)/'College Work-Study'!BK21</f>
        <v>1621.0100197572679</v>
      </c>
      <c r="AF21" s="200">
        <f>('College Work-Study'!AF21*1000)/'College Work-Study'!BL21</f>
        <v>1625.9221884899682</v>
      </c>
      <c r="AG21" s="200">
        <f>('College Work-Study'!AG21*1000)/'College Work-Study'!BM21</f>
        <v>1735.6964200801576</v>
      </c>
    </row>
    <row r="22" spans="1:33">
      <c r="A22" s="26" t="s">
        <v>32</v>
      </c>
      <c r="B22" s="200">
        <f>('College Work-Study'!B22*1000)/'College Work-Study'!AH22</f>
        <v>672.9343220338983</v>
      </c>
      <c r="C22" s="200">
        <f>('College Work-Study'!C22*1000)/'College Work-Study'!AI22</f>
        <v>675.12760380742168</v>
      </c>
      <c r="D22" s="200">
        <f>('College Work-Study'!D22*1000)/'College Work-Study'!AJ22</f>
        <v>724.48692718583072</v>
      </c>
      <c r="E22" s="200">
        <f>('College Work-Study'!E22*1000)/'College Work-Study'!AK22</f>
        <v>711.38267197583411</v>
      </c>
      <c r="F22" s="200">
        <f>('College Work-Study'!F22*1000)/'College Work-Study'!AL22</f>
        <v>685.82850840915353</v>
      </c>
      <c r="G22" s="200">
        <f>('College Work-Study'!G22*1000)/'College Work-Study'!AM22</f>
        <v>740.22897749703907</v>
      </c>
      <c r="H22" s="200">
        <f>('College Work-Study'!H22*1000)/'College Work-Study'!AN22</f>
        <v>844.87304009990282</v>
      </c>
      <c r="I22" s="200">
        <f>('College Work-Study'!I22*1000)/'College Work-Study'!AO22</f>
        <v>916.91176470588232</v>
      </c>
      <c r="J22" s="200">
        <f>('College Work-Study'!J22*1000)/'College Work-Study'!AP22</f>
        <v>933.43442001516303</v>
      </c>
      <c r="K22" s="200">
        <f>('College Work-Study'!K22*1000)/'College Work-Study'!AQ22</f>
        <v>902.49916729750191</v>
      </c>
      <c r="L22" s="200">
        <f>('College Work-Study'!L22*1000)/'College Work-Study'!AR22</f>
        <v>906.64600123992557</v>
      </c>
      <c r="M22" s="200">
        <f>('College Work-Study'!M22*1000)/'College Work-Study'!AS22</f>
        <v>931.20222806746108</v>
      </c>
      <c r="N22" s="200">
        <f>('College Work-Study'!N22*1000)/'College Work-Study'!AT22</f>
        <v>955.67500772320045</v>
      </c>
      <c r="O22" s="200">
        <f>('College Work-Study'!O22*1000)/'College Work-Study'!AU22</f>
        <v>1015.7834787842311</v>
      </c>
      <c r="P22" s="200">
        <f>('College Work-Study'!P22*1000)/'College Work-Study'!AV22</f>
        <v>984.1791512389633</v>
      </c>
      <c r="Q22" s="200">
        <f>('College Work-Study'!Q22*1000)/'College Work-Study'!AW22</f>
        <v>934.94775897892555</v>
      </c>
      <c r="R22" s="200">
        <f>('College Work-Study'!R22*1000)/'College Work-Study'!AX22</f>
        <v>941.27286608642544</v>
      </c>
      <c r="S22" s="200">
        <f>('College Work-Study'!S22*1000)/'College Work-Study'!AY22</f>
        <v>997.43058787032726</v>
      </c>
      <c r="T22" s="200">
        <f>('College Work-Study'!T22*1000)/'College Work-Study'!AZ22</f>
        <v>1001.1003746487668</v>
      </c>
      <c r="U22" s="200">
        <f>('College Work-Study'!U22*1000)/'College Work-Study'!BA22</f>
        <v>1033.4271860352351</v>
      </c>
      <c r="V22" s="200">
        <f>('College Work-Study'!V22*1000)/'College Work-Study'!BB22</f>
        <v>1053.5464173423795</v>
      </c>
      <c r="W22" s="200">
        <f>('College Work-Study'!W22*1000)/'College Work-Study'!BC22</f>
        <v>1055.3619837627957</v>
      </c>
      <c r="X22" s="200">
        <f>('College Work-Study'!X22*1000)/'College Work-Study'!BD22</f>
        <v>1077.2120300751881</v>
      </c>
      <c r="Y22" s="200">
        <f>('College Work-Study'!Y22*1000)/'College Work-Study'!BE22</f>
        <v>1213.5051403716884</v>
      </c>
      <c r="Z22" s="200">
        <f>('College Work-Study'!Z22*1000)/'College Work-Study'!BF22</f>
        <v>1317.9335785816472</v>
      </c>
      <c r="AA22" s="200">
        <f>('College Work-Study'!AA22*1000)/'College Work-Study'!BG22</f>
        <v>1329.5766738660907</v>
      </c>
      <c r="AB22" s="200">
        <f>('College Work-Study'!AB22*1000)/'College Work-Study'!BH22</f>
        <v>1154.6558733585177</v>
      </c>
      <c r="AC22" s="200">
        <f>('College Work-Study'!AC22*1000)/'College Work-Study'!BI22</f>
        <v>1322.7317436661699</v>
      </c>
      <c r="AD22" s="200">
        <f>('College Work-Study'!AD22*1000)/'College Work-Study'!BJ22</f>
        <v>1225.330739299611</v>
      </c>
      <c r="AE22" s="200">
        <f>('College Work-Study'!AE22*1000)/'College Work-Study'!BK22</f>
        <v>1217.5628023998452</v>
      </c>
      <c r="AF22" s="200">
        <f>('College Work-Study'!AF22*1000)/'College Work-Study'!BL22</f>
        <v>1323.678814489572</v>
      </c>
      <c r="AG22" s="200">
        <f>('College Work-Study'!AG22*1000)/'College Work-Study'!BM22</f>
        <v>1380.0486944248412</v>
      </c>
    </row>
    <row r="23" spans="1:33">
      <c r="A23" s="150" t="s">
        <v>217</v>
      </c>
      <c r="B23" s="202"/>
      <c r="C23" s="202"/>
      <c r="D23" s="202"/>
      <c r="E23" s="202"/>
      <c r="F23" s="202"/>
      <c r="G23" s="202"/>
      <c r="H23" s="202"/>
      <c r="I23" s="202"/>
      <c r="J23" s="202"/>
      <c r="K23" s="202"/>
      <c r="L23" s="202"/>
      <c r="M23" s="202"/>
      <c r="N23" s="202"/>
      <c r="O23" s="202"/>
      <c r="P23" s="202">
        <f>('College Work-Study'!P23*1000)/'College Work-Study'!AV23</f>
        <v>1523.2012800223829</v>
      </c>
      <c r="Q23" s="202">
        <f>('College Work-Study'!Q23*1000)/'College Work-Study'!AW23</f>
        <v>1559.4327135613057</v>
      </c>
      <c r="R23" s="202">
        <f>('College Work-Study'!R23*1000)/'College Work-Study'!AX23</f>
        <v>1626.1068939147558</v>
      </c>
      <c r="S23" s="202">
        <f>('College Work-Study'!S23*1000)/'College Work-Study'!AY23</f>
        <v>1717.0846770138444</v>
      </c>
      <c r="T23" s="202">
        <f>('College Work-Study'!T23*1000)/'College Work-Study'!AZ23</f>
        <v>1827.8338123443214</v>
      </c>
      <c r="U23" s="202">
        <f>('College Work-Study'!U23*1000)/'College Work-Study'!BA23</f>
        <v>1760.9238166644934</v>
      </c>
      <c r="V23" s="202">
        <f>('College Work-Study'!V23*1000)/'College Work-Study'!BB23</f>
        <v>1803.0067046976365</v>
      </c>
      <c r="W23" s="202">
        <f>('College Work-Study'!W23*1000)/'College Work-Study'!BC23</f>
        <v>1820.7459743733395</v>
      </c>
      <c r="X23" s="202">
        <f>('College Work-Study'!X23*1000)/'College Work-Study'!BD23</f>
        <v>1844.1346868611781</v>
      </c>
      <c r="Y23" s="202">
        <f>('College Work-Study'!Y23*1000)/'College Work-Study'!BE23</f>
        <v>1899.6275691204257</v>
      </c>
      <c r="Z23" s="202">
        <f>('College Work-Study'!Z23*1000)/'College Work-Study'!BF23</f>
        <v>1973.6734422655868</v>
      </c>
      <c r="AA23" s="202">
        <f>('College Work-Study'!AA23*1000)/'College Work-Study'!BG23</f>
        <v>2057.1499360786502</v>
      </c>
      <c r="AB23" s="202">
        <f>('College Work-Study'!AB23*1000)/'College Work-Study'!BH23</f>
        <v>2021.6543860592697</v>
      </c>
      <c r="AC23" s="202">
        <f>('College Work-Study'!AC23*1000)/'College Work-Study'!BI23</f>
        <v>2025.668925301555</v>
      </c>
      <c r="AD23" s="202">
        <f>('College Work-Study'!AD23*1000)/'College Work-Study'!BJ23</f>
        <v>2040.0991833894832</v>
      </c>
      <c r="AE23" s="202">
        <f>('College Work-Study'!AE23*1000)/'College Work-Study'!BK23</f>
        <v>2059.8809539696313</v>
      </c>
      <c r="AF23" s="202">
        <f>('College Work-Study'!AF23*1000)/'College Work-Study'!BL23</f>
        <v>2109.0098519786138</v>
      </c>
      <c r="AG23" s="202">
        <f>('College Work-Study'!AG23*1000)/'College Work-Study'!BM23</f>
        <v>2154.5266744913151</v>
      </c>
    </row>
    <row r="24" spans="1:33" s="151" customFormat="1">
      <c r="A24" s="173" t="s">
        <v>215</v>
      </c>
      <c r="B24" s="197"/>
      <c r="C24" s="197"/>
      <c r="D24" s="197"/>
      <c r="E24" s="197"/>
      <c r="F24" s="197"/>
      <c r="G24" s="197"/>
      <c r="H24" s="197"/>
      <c r="I24" s="197"/>
      <c r="J24" s="197"/>
      <c r="K24" s="197"/>
      <c r="L24" s="197"/>
      <c r="M24" s="197"/>
      <c r="N24" s="197"/>
      <c r="O24" s="197"/>
      <c r="P24" s="197">
        <f t="shared" ref="P24:AA24" si="5">(P23/P4)*100</f>
        <v>121.85589582065136</v>
      </c>
      <c r="Q24" s="197">
        <f t="shared" si="5"/>
        <v>122.6133529745038</v>
      </c>
      <c r="R24" s="197">
        <f t="shared" si="5"/>
        <v>142.47640162193011</v>
      </c>
      <c r="S24" s="197">
        <f t="shared" si="5"/>
        <v>122.09285647448071</v>
      </c>
      <c r="T24" s="197">
        <f t="shared" si="5"/>
        <v>125.17213861871348</v>
      </c>
      <c r="U24" s="197">
        <f t="shared" si="5"/>
        <v>120.41922173007029</v>
      </c>
      <c r="V24" s="197">
        <f t="shared" si="5"/>
        <v>134.11654456315779</v>
      </c>
      <c r="W24" s="197">
        <f t="shared" si="5"/>
        <v>122.0986092916512</v>
      </c>
      <c r="X24" s="197">
        <f t="shared" si="5"/>
        <v>121.75363435757221</v>
      </c>
      <c r="Y24" s="197">
        <f t="shared" si="5"/>
        <v>123.65215494214996</v>
      </c>
      <c r="Z24" s="197">
        <f t="shared" si="5"/>
        <v>119.41412521252587</v>
      </c>
      <c r="AA24" s="197">
        <f t="shared" si="5"/>
        <v>120.18515562134225</v>
      </c>
      <c r="AB24" s="197">
        <f t="shared" ref="AB24" si="6">(AB23/AB4)*100</f>
        <v>120.43771369745436</v>
      </c>
      <c r="AC24" s="197">
        <f t="shared" ref="AC24:AD24" si="7">(AC23/AC4)*100</f>
        <v>120.51013847593248</v>
      </c>
      <c r="AD24" s="197">
        <f t="shared" si="7"/>
        <v>120.78145485977868</v>
      </c>
      <c r="AE24" s="197">
        <f t="shared" ref="AE24:AF24" si="8">(AE23/AE4)*100</f>
        <v>122.40007411313358</v>
      </c>
      <c r="AF24" s="197">
        <f t="shared" si="8"/>
        <v>123.92537743539587</v>
      </c>
      <c r="AG24" s="197">
        <f t="shared" ref="AG24" si="9">(AG23/AG4)*100</f>
        <v>123.73056001189795</v>
      </c>
    </row>
    <row r="25" spans="1:33">
      <c r="A25" s="42" t="s">
        <v>142</v>
      </c>
      <c r="B25" s="200"/>
      <c r="C25" s="200"/>
      <c r="D25" s="200"/>
      <c r="E25" s="200"/>
      <c r="F25" s="200"/>
      <c r="G25" s="200"/>
      <c r="H25" s="200"/>
      <c r="I25" s="200"/>
      <c r="J25" s="200"/>
      <c r="K25" s="200"/>
      <c r="L25" s="200"/>
      <c r="M25" s="200"/>
      <c r="N25" s="200"/>
      <c r="O25" s="200"/>
      <c r="P25" s="200">
        <f>('College Work-Study'!P23*1000)/'College Work-Study'!AV23</f>
        <v>1523.2012800223829</v>
      </c>
      <c r="Q25" s="200">
        <f>('College Work-Study'!Q23*1000)/'College Work-Study'!AW23</f>
        <v>1559.4327135613057</v>
      </c>
      <c r="R25" s="200">
        <f>('College Work-Study'!R23*1000)/'College Work-Study'!AX23</f>
        <v>1626.1068939147558</v>
      </c>
      <c r="S25" s="200">
        <f>('College Work-Study'!S23*1000)/'College Work-Study'!AY23</f>
        <v>1717.0846770138444</v>
      </c>
      <c r="T25" s="200">
        <f>('College Work-Study'!T23*1000)/'College Work-Study'!AZ23</f>
        <v>1827.8338123443214</v>
      </c>
      <c r="U25" s="200">
        <f>('College Work-Study'!U23*1000)/'College Work-Study'!BA23</f>
        <v>1760.9238166644934</v>
      </c>
      <c r="V25" s="200">
        <f>('College Work-Study'!V23*1000)/'College Work-Study'!BB23</f>
        <v>1803.0067046976365</v>
      </c>
      <c r="W25" s="200">
        <f>('College Work-Study'!W23*1000)/'College Work-Study'!BC23</f>
        <v>1820.7459743733395</v>
      </c>
      <c r="X25" s="200">
        <f>('College Work-Study'!X23*1000)/'College Work-Study'!BD23</f>
        <v>1844.1346868611781</v>
      </c>
      <c r="Y25" s="200">
        <f>('College Work-Study'!Y23*1000)/'College Work-Study'!BE23</f>
        <v>1899.6275691204257</v>
      </c>
      <c r="Z25" s="200">
        <f>('College Work-Study'!Z23*1000)/'College Work-Study'!BF23</f>
        <v>1973.6734422655868</v>
      </c>
      <c r="AA25" s="200">
        <f>('College Work-Study'!AA25*1000)/'College Work-Study'!BG25</f>
        <v>2747.6011560693642</v>
      </c>
      <c r="AB25" s="200">
        <f>('College Work-Study'!AB25*1000)/'College Work-Study'!BH25</f>
        <v>2965.5505050505049</v>
      </c>
      <c r="AC25" s="200">
        <f>('College Work-Study'!AC25*1000)/'College Work-Study'!BI25</f>
        <v>2384.413612565445</v>
      </c>
      <c r="AD25" s="200">
        <f>('College Work-Study'!AD25*1000)/'College Work-Study'!BJ25</f>
        <v>3007.9560117302053</v>
      </c>
      <c r="AE25" s="200">
        <f>('College Work-Study'!AE25*1000)/'College Work-Study'!BK25</f>
        <v>3079.502840909091</v>
      </c>
      <c r="AF25" s="200">
        <f>('College Work-Study'!AF25*1000)/'College Work-Study'!BL25</f>
        <v>3537.5917431192661</v>
      </c>
      <c r="AG25" s="200">
        <f>('College Work-Study'!AG25*1000)/'College Work-Study'!BM25</f>
        <v>3465.6288209606987</v>
      </c>
    </row>
    <row r="26" spans="1:33">
      <c r="A26" s="42" t="s">
        <v>143</v>
      </c>
      <c r="B26" s="200"/>
      <c r="C26" s="200"/>
      <c r="D26" s="200"/>
      <c r="E26" s="200"/>
      <c r="F26" s="200"/>
      <c r="G26" s="200"/>
      <c r="H26" s="200"/>
      <c r="I26" s="200"/>
      <c r="J26" s="200"/>
      <c r="K26" s="200"/>
      <c r="L26" s="200"/>
      <c r="M26" s="200"/>
      <c r="N26" s="200"/>
      <c r="O26" s="200"/>
      <c r="P26" s="200">
        <f>('College Work-Study'!P24*1000)/'College Work-Study'!AV24</f>
        <v>1218.5589582065136</v>
      </c>
      <c r="Q26" s="200">
        <f>('College Work-Study'!Q24*1000)/'College Work-Study'!AW24</f>
        <v>1226.1335297450378</v>
      </c>
      <c r="R26" s="200">
        <f>('College Work-Study'!R24*1000)/'College Work-Study'!AX24</f>
        <v>1424.7640162193015</v>
      </c>
      <c r="S26" s="200">
        <f>('College Work-Study'!S24*1000)/'College Work-Study'!AY24</f>
        <v>1220.9285647448071</v>
      </c>
      <c r="T26" s="200">
        <f>('College Work-Study'!T24*1000)/'College Work-Study'!AZ24</f>
        <v>1251.7213861871351</v>
      </c>
      <c r="U26" s="200">
        <f>('College Work-Study'!U24*1000)/'College Work-Study'!BA24</f>
        <v>1204.1922173007029</v>
      </c>
      <c r="V26" s="200">
        <f>('College Work-Study'!V24*1000)/'College Work-Study'!BB24</f>
        <v>1341.1654456315778</v>
      </c>
      <c r="W26" s="200">
        <f>('College Work-Study'!W24*1000)/'College Work-Study'!BC24</f>
        <v>1220.9860929165122</v>
      </c>
      <c r="X26" s="200">
        <f>('College Work-Study'!X24*1000)/'College Work-Study'!BD24</f>
        <v>1217.5363435757222</v>
      </c>
      <c r="Y26" s="200">
        <f>('College Work-Study'!Y24*1000)/'College Work-Study'!BE24</f>
        <v>1236.5215494214997</v>
      </c>
      <c r="Z26" s="200">
        <f>('College Work-Study'!Z24*1000)/'College Work-Study'!BF24</f>
        <v>1194.1412521252587</v>
      </c>
      <c r="AA26" s="200">
        <f>('College Work-Study'!AA26*1000)/'College Work-Study'!BG26</f>
        <v>2261.6589797344513</v>
      </c>
      <c r="AB26" s="200">
        <f>('College Work-Study'!AB26*1000)/'College Work-Study'!BH26</f>
        <v>2319.4793933399274</v>
      </c>
      <c r="AC26" s="200">
        <f>('College Work-Study'!AC26*1000)/'College Work-Study'!BI26</f>
        <v>2303.9004496821212</v>
      </c>
      <c r="AD26" s="200">
        <f>('College Work-Study'!AD26*1000)/'College Work-Study'!BJ26</f>
        <v>2346.5169397168761</v>
      </c>
      <c r="AE26" s="200">
        <f>('College Work-Study'!AE26*1000)/'College Work-Study'!BK26</f>
        <v>2426.3034948895483</v>
      </c>
      <c r="AF26" s="200">
        <f>('College Work-Study'!AF26*1000)/'College Work-Study'!BL26</f>
        <v>2279.1042735042734</v>
      </c>
      <c r="AG26" s="200">
        <f>('College Work-Study'!AG26*1000)/'College Work-Study'!BM26</f>
        <v>2425.8478603120079</v>
      </c>
    </row>
    <row r="27" spans="1:33">
      <c r="A27" s="42" t="s">
        <v>144</v>
      </c>
      <c r="B27" s="200"/>
      <c r="C27" s="200"/>
      <c r="D27" s="200"/>
      <c r="E27" s="200"/>
      <c r="F27" s="200"/>
      <c r="G27" s="200"/>
      <c r="H27" s="200"/>
      <c r="I27" s="200"/>
      <c r="J27" s="200"/>
      <c r="K27" s="200"/>
      <c r="L27" s="200"/>
      <c r="M27" s="200"/>
      <c r="N27" s="200"/>
      <c r="O27" s="200"/>
      <c r="P27" s="200">
        <f>('College Work-Study'!P25*1000)/'College Work-Study'!AV25</f>
        <v>2306.9928400954655</v>
      </c>
      <c r="Q27" s="200">
        <f>('College Work-Study'!Q25*1000)/'College Work-Study'!AW25</f>
        <v>2458.9151376146788</v>
      </c>
      <c r="R27" s="200">
        <f>('College Work-Study'!R25*1000)/'College Work-Study'!AX25</f>
        <v>2179.797900262467</v>
      </c>
      <c r="S27" s="200">
        <f>('College Work-Study'!S25*1000)/'College Work-Study'!AY25</f>
        <v>2378.0201005025124</v>
      </c>
      <c r="T27" s="200">
        <f>('College Work-Study'!T25*1000)/'College Work-Study'!AZ25</f>
        <v>2397.2035175879396</v>
      </c>
      <c r="U27" s="200">
        <f>('College Work-Study'!U25*1000)/'College Work-Study'!BA25</f>
        <v>2660.1093023255812</v>
      </c>
      <c r="V27" s="200">
        <f>('College Work-Study'!V25*1000)/'College Work-Study'!BB25</f>
        <v>2480.1820448877806</v>
      </c>
      <c r="W27" s="200">
        <f>('College Work-Study'!W25*1000)/'College Work-Study'!BC25</f>
        <v>2400.4907161803712</v>
      </c>
      <c r="X27" s="200">
        <f>('College Work-Study'!X25*1000)/'College Work-Study'!BD25</f>
        <v>2605.7841530054643</v>
      </c>
      <c r="Y27" s="200">
        <f>('College Work-Study'!Y25*1000)/'College Work-Study'!BE25</f>
        <v>2580.4185185185183</v>
      </c>
      <c r="Z27" s="200">
        <f>('College Work-Study'!Z25*1000)/'College Work-Study'!BF25</f>
        <v>2886.7597173144877</v>
      </c>
      <c r="AA27" s="200">
        <f>('College Work-Study'!AA27*1000)/'College Work-Study'!BG27</f>
        <v>2170.3246016188186</v>
      </c>
      <c r="AB27" s="200">
        <f>('College Work-Study'!AB27*1000)/'College Work-Study'!BH27</f>
        <v>2111.9225150543521</v>
      </c>
      <c r="AC27" s="200">
        <f>('College Work-Study'!AC27*1000)/'College Work-Study'!BI27</f>
        <v>2090.859236655705</v>
      </c>
      <c r="AD27" s="200">
        <f>('College Work-Study'!AD27*1000)/'College Work-Study'!BJ27</f>
        <v>2100.449217258496</v>
      </c>
      <c r="AE27" s="200">
        <f>('College Work-Study'!AE27*1000)/'College Work-Study'!BK27</f>
        <v>2096.8535442003235</v>
      </c>
      <c r="AF27" s="200">
        <f>('College Work-Study'!AF27*1000)/'College Work-Study'!BL27</f>
        <v>2174.0245518316447</v>
      </c>
      <c r="AG27" s="200">
        <f>('College Work-Study'!AG27*1000)/'College Work-Study'!BM27</f>
        <v>2238.7668623775335</v>
      </c>
    </row>
    <row r="28" spans="1:33">
      <c r="A28" s="42" t="s">
        <v>145</v>
      </c>
      <c r="B28" s="200"/>
      <c r="C28" s="200"/>
      <c r="D28" s="200"/>
      <c r="E28" s="200"/>
      <c r="F28" s="200"/>
      <c r="G28" s="200"/>
      <c r="H28" s="200"/>
      <c r="I28" s="200"/>
      <c r="J28" s="200"/>
      <c r="K28" s="200"/>
      <c r="L28" s="200"/>
      <c r="M28" s="200"/>
      <c r="N28" s="200"/>
      <c r="O28" s="200"/>
      <c r="P28" s="200">
        <f>('College Work-Study'!P26*1000)/'College Work-Study'!AV26</f>
        <v>1658.4667736757624</v>
      </c>
      <c r="Q28" s="200">
        <f>('College Work-Study'!Q26*1000)/'College Work-Study'!AW26</f>
        <v>1475.3093268450932</v>
      </c>
      <c r="R28" s="200">
        <f>('College Work-Study'!R26*1000)/'College Work-Study'!AX26</f>
        <v>1736.3861115850536</v>
      </c>
      <c r="S28" s="200">
        <f>('College Work-Study'!S26*1000)/'College Work-Study'!AY26</f>
        <v>1736.067487531172</v>
      </c>
      <c r="T28" s="200">
        <f>('College Work-Study'!T26*1000)/'College Work-Study'!AZ26</f>
        <v>1942.2394519694847</v>
      </c>
      <c r="U28" s="200">
        <f>('College Work-Study'!U26*1000)/'College Work-Study'!BA26</f>
        <v>1804.9924510118856</v>
      </c>
      <c r="V28" s="200">
        <f>('College Work-Study'!V26*1000)/'College Work-Study'!BB26</f>
        <v>1847.7659470068695</v>
      </c>
      <c r="W28" s="200">
        <f>('College Work-Study'!W26*1000)/'College Work-Study'!BC26</f>
        <v>1903.9972251127299</v>
      </c>
      <c r="X28" s="200">
        <f>('College Work-Study'!X26*1000)/'College Work-Study'!BD26</f>
        <v>1946.5377761277148</v>
      </c>
      <c r="Y28" s="200">
        <f>('College Work-Study'!Y26*1000)/'College Work-Study'!BE26</f>
        <v>1996.572918606817</v>
      </c>
      <c r="Z28" s="200">
        <f>('College Work-Study'!Z26*1000)/'College Work-Study'!BF26</f>
        <v>2141.271832718327</v>
      </c>
      <c r="AA28" s="200">
        <f>('College Work-Study'!AA28*1000)/'College Work-Study'!BG28</f>
        <v>2049.2470987090887</v>
      </c>
      <c r="AB28" s="200">
        <f>('College Work-Study'!AB28*1000)/'College Work-Study'!BH28</f>
        <v>2009.9499194414609</v>
      </c>
      <c r="AC28" s="200">
        <f>('College Work-Study'!AC28*1000)/'College Work-Study'!BI28</f>
        <v>1989.237999193223</v>
      </c>
      <c r="AD28" s="200">
        <f>('College Work-Study'!AD28*1000)/'College Work-Study'!BJ28</f>
        <v>2047.8656695156694</v>
      </c>
      <c r="AE28" s="200">
        <f>('College Work-Study'!AE28*1000)/'College Work-Study'!BK28</f>
        <v>2002.381024511154</v>
      </c>
      <c r="AF28" s="200">
        <f>('College Work-Study'!AF28*1000)/'College Work-Study'!BL28</f>
        <v>2089.637121544537</v>
      </c>
      <c r="AG28" s="200">
        <f>('College Work-Study'!AG28*1000)/'College Work-Study'!BM28</f>
        <v>2120.982804232804</v>
      </c>
    </row>
    <row r="29" spans="1:33">
      <c r="A29" s="42" t="s">
        <v>148</v>
      </c>
      <c r="B29" s="200"/>
      <c r="C29" s="200"/>
      <c r="D29" s="200"/>
      <c r="E29" s="200"/>
      <c r="F29" s="200"/>
      <c r="G29" s="200"/>
      <c r="H29" s="200"/>
      <c r="I29" s="200"/>
      <c r="J29" s="200"/>
      <c r="K29" s="200"/>
      <c r="L29" s="200"/>
      <c r="M29" s="200"/>
      <c r="N29" s="200"/>
      <c r="O29" s="200"/>
      <c r="P29" s="200">
        <f>('College Work-Study'!P28*1000)/'College Work-Study'!AV28</f>
        <v>1533.9835631703579</v>
      </c>
      <c r="Q29" s="200">
        <f>('College Work-Study'!Q28*1000)/'College Work-Study'!AW28</f>
        <v>1572.9578454332552</v>
      </c>
      <c r="R29" s="200">
        <f>('College Work-Study'!R28*1000)/'College Work-Study'!AX28</f>
        <v>1681.9670893289642</v>
      </c>
      <c r="S29" s="200">
        <f>('College Work-Study'!S28*1000)/'College Work-Study'!AY28</f>
        <v>1763.5866358855969</v>
      </c>
      <c r="T29" s="200">
        <f>('College Work-Study'!T28*1000)/'College Work-Study'!AZ28</f>
        <v>1818.5684041104371</v>
      </c>
      <c r="U29" s="200">
        <f>('College Work-Study'!U28*1000)/'College Work-Study'!BA28</f>
        <v>1747.171573077422</v>
      </c>
      <c r="V29" s="200">
        <f>('College Work-Study'!V28*1000)/'College Work-Study'!BB28</f>
        <v>1855.1739777958298</v>
      </c>
      <c r="W29" s="200">
        <f>('College Work-Study'!W28*1000)/'College Work-Study'!BC28</f>
        <v>1914.3709968113128</v>
      </c>
      <c r="X29" s="200">
        <f>('College Work-Study'!X28*1000)/'College Work-Study'!BD28</f>
        <v>1867.5397559949515</v>
      </c>
      <c r="Y29" s="200">
        <f>('College Work-Study'!Y28*1000)/'College Work-Study'!BE28</f>
        <v>2015.9884938781531</v>
      </c>
      <c r="Z29" s="200">
        <f>('College Work-Study'!Z28*1000)/'College Work-Study'!BF28</f>
        <v>2034.6764180744403</v>
      </c>
      <c r="AA29" s="200">
        <f>('College Work-Study'!AA29*1000)/'College Work-Study'!BG29</f>
        <v>1943.672612801679</v>
      </c>
      <c r="AB29" s="200">
        <f>('College Work-Study'!AB29*1000)/'College Work-Study'!BH29</f>
        <v>1963.2212725546058</v>
      </c>
      <c r="AC29" s="200">
        <f>('College Work-Study'!AC29*1000)/'College Work-Study'!BI29</f>
        <v>2037.0647410358565</v>
      </c>
      <c r="AD29" s="200">
        <f>('College Work-Study'!AD29*1000)/'College Work-Study'!BJ29</f>
        <v>1901.4968152866243</v>
      </c>
      <c r="AE29" s="200">
        <f>('College Work-Study'!AE29*1000)/'College Work-Study'!BK29</f>
        <v>1976.7818371607516</v>
      </c>
      <c r="AF29" s="200">
        <f>('College Work-Study'!AF29*1000)/'College Work-Study'!BL29</f>
        <v>2154.9224452554745</v>
      </c>
      <c r="AG29" s="200">
        <f>('College Work-Study'!AG29*1000)/'College Work-Study'!BM29</f>
        <v>2200.2932790224031</v>
      </c>
    </row>
    <row r="30" spans="1:33">
      <c r="A30" s="42" t="s">
        <v>149</v>
      </c>
      <c r="B30" s="200"/>
      <c r="C30" s="200"/>
      <c r="D30" s="200"/>
      <c r="E30" s="200"/>
      <c r="F30" s="200"/>
      <c r="G30" s="200"/>
      <c r="H30" s="200"/>
      <c r="I30" s="200"/>
      <c r="J30" s="200"/>
      <c r="K30" s="200"/>
      <c r="L30" s="200"/>
      <c r="M30" s="200"/>
      <c r="N30" s="200"/>
      <c r="O30" s="200"/>
      <c r="P30" s="200">
        <f>('College Work-Study'!P29*1000)/'College Work-Study'!AV29</f>
        <v>1408.153125</v>
      </c>
      <c r="Q30" s="200">
        <f>('College Work-Study'!Q29*1000)/'College Work-Study'!AW29</f>
        <v>1390.4826498422713</v>
      </c>
      <c r="R30" s="200">
        <f>('College Work-Study'!R29*1000)/'College Work-Study'!AX29</f>
        <v>1354.8376132930514</v>
      </c>
      <c r="S30" s="200">
        <f>('College Work-Study'!S29*1000)/'College Work-Study'!AY29</f>
        <v>1438.6173428798727</v>
      </c>
      <c r="T30" s="200">
        <f>('College Work-Study'!T29*1000)/'College Work-Study'!AZ29</f>
        <v>1526.9314641744547</v>
      </c>
      <c r="U30" s="200">
        <f>('College Work-Study'!U29*1000)/'College Work-Study'!BA29</f>
        <v>1599.0988626421697</v>
      </c>
      <c r="V30" s="200">
        <f>('College Work-Study'!V29*1000)/'College Work-Study'!BB29</f>
        <v>1648.6499560246261</v>
      </c>
      <c r="W30" s="200">
        <f>('College Work-Study'!W29*1000)/'College Work-Study'!BC29</f>
        <v>1575.1227810650887</v>
      </c>
      <c r="X30" s="200">
        <f>('College Work-Study'!X29*1000)/'College Work-Study'!BD29</f>
        <v>1690.404940923738</v>
      </c>
      <c r="Y30" s="200">
        <f>('College Work-Study'!Y29*1000)/'College Work-Study'!BE29</f>
        <v>1739.8710888610763</v>
      </c>
      <c r="Z30" s="200">
        <f>('College Work-Study'!Z29*1000)/'College Work-Study'!BF29</f>
        <v>1888.3980789754535</v>
      </c>
      <c r="AA30" s="200">
        <f>('College Work-Study'!AA30*1000)/'College Work-Study'!BG30</f>
        <v>1368.3939684059358</v>
      </c>
      <c r="AB30" s="200">
        <f>('College Work-Study'!AB30*1000)/'College Work-Study'!BH30</f>
        <v>1334.4567164179105</v>
      </c>
      <c r="AC30" s="200">
        <f>('College Work-Study'!AC30*1000)/'College Work-Study'!BI30</f>
        <v>1348.185204616999</v>
      </c>
      <c r="AD30" s="200">
        <f>('College Work-Study'!AD30*1000)/'College Work-Study'!BJ30</f>
        <v>1341.7017632241814</v>
      </c>
      <c r="AE30" s="200">
        <f>('College Work-Study'!AE30*1000)/'College Work-Study'!BK30</f>
        <v>1390.912401055409</v>
      </c>
      <c r="AF30" s="200">
        <f>('College Work-Study'!AF30*1000)/'College Work-Study'!BL30</f>
        <v>1471.3350100603623</v>
      </c>
      <c r="AG30" s="200">
        <f>('College Work-Study'!AG30*1000)/'College Work-Study'!BM30</f>
        <v>1457.6323042998897</v>
      </c>
    </row>
    <row r="31" spans="1:33">
      <c r="A31" s="42" t="s">
        <v>159</v>
      </c>
      <c r="B31" s="200"/>
      <c r="C31" s="200"/>
      <c r="D31" s="200"/>
      <c r="E31" s="200"/>
      <c r="F31" s="200"/>
      <c r="G31" s="200"/>
      <c r="H31" s="200"/>
      <c r="I31" s="200"/>
      <c r="J31" s="200"/>
      <c r="K31" s="200"/>
      <c r="L31" s="200"/>
      <c r="M31" s="200"/>
      <c r="N31" s="200"/>
      <c r="O31" s="200"/>
      <c r="P31" s="200">
        <f>('College Work-Study'!P39*1000)/'College Work-Study'!AV39</f>
        <v>926.2738669922669</v>
      </c>
      <c r="Q31" s="200">
        <f>('College Work-Study'!Q39*1000)/'College Work-Study'!AW39</f>
        <v>954.53746092567587</v>
      </c>
      <c r="R31" s="200">
        <f>('College Work-Study'!R39*1000)/'College Work-Study'!AX39</f>
        <v>1095.4335355943076</v>
      </c>
      <c r="S31" s="200">
        <f>('College Work-Study'!S39*1000)/'College Work-Study'!AY39</f>
        <v>928.10119775790531</v>
      </c>
      <c r="T31" s="200">
        <f>('College Work-Study'!T39*1000)/'College Work-Study'!AZ39</f>
        <v>944.20475003161471</v>
      </c>
      <c r="U31" s="200">
        <f>('College Work-Study'!U39*1000)/'College Work-Study'!BA39</f>
        <v>961.39546578358284</v>
      </c>
      <c r="V31" s="200">
        <f>('College Work-Study'!V39*1000)/'College Work-Study'!BB39</f>
        <v>943.2771401038417</v>
      </c>
      <c r="W31" s="200">
        <f>('College Work-Study'!W39*1000)/'College Work-Study'!BC39</f>
        <v>961.64665519189202</v>
      </c>
      <c r="X31" s="200">
        <f>('College Work-Study'!X39*1000)/'College Work-Study'!BD39</f>
        <v>965.0939586642146</v>
      </c>
      <c r="Y31" s="200">
        <f>('College Work-Study'!Y39*1000)/'College Work-Study'!BE39</f>
        <v>997.48411309848461</v>
      </c>
      <c r="Z31" s="200">
        <f>('College Work-Study'!Z39*1000)/'College Work-Study'!BF39</f>
        <v>961.81684011897357</v>
      </c>
      <c r="AA31" s="200">
        <f>('College Work-Study'!AA31*1000)/'College Work-Study'!BG31</f>
        <v>1562.9812206572769</v>
      </c>
      <c r="AB31" s="200">
        <f>('College Work-Study'!AB31*1000)/'College Work-Study'!BH31</f>
        <v>1431.5645090268604</v>
      </c>
      <c r="AC31" s="200">
        <f>('College Work-Study'!AC31*1000)/'College Work-Study'!BI31</f>
        <v>1504.5821510297483</v>
      </c>
      <c r="AD31" s="200">
        <f>('College Work-Study'!AD31*1000)/'College Work-Study'!BJ31</f>
        <v>1437.5120509322419</v>
      </c>
      <c r="AE31" s="200">
        <f>('College Work-Study'!AE31*1000)/'College Work-Study'!BK31</f>
        <v>1507.2318251143874</v>
      </c>
      <c r="AF31" s="200">
        <f>('College Work-Study'!AF31*1000)/'College Work-Study'!BL31</f>
        <v>1490.3284518828452</v>
      </c>
      <c r="AG31" s="200">
        <f>('College Work-Study'!AG31*1000)/'College Work-Study'!BM31</f>
        <v>1513.4221541602858</v>
      </c>
    </row>
    <row r="32" spans="1:33">
      <c r="A32" s="42" t="s">
        <v>161</v>
      </c>
      <c r="B32" s="200"/>
      <c r="C32" s="200"/>
      <c r="D32" s="200"/>
      <c r="E32" s="200"/>
      <c r="F32" s="200"/>
      <c r="G32" s="200"/>
      <c r="H32" s="200"/>
      <c r="I32" s="200"/>
      <c r="J32" s="200"/>
      <c r="K32" s="200"/>
      <c r="L32" s="200"/>
      <c r="M32" s="200"/>
      <c r="N32" s="200"/>
      <c r="O32" s="200"/>
      <c r="P32" s="200">
        <f>('College Work-Study'!P41*1000)/'College Work-Study'!AV41</f>
        <v>1138.2731722623157</v>
      </c>
      <c r="Q32" s="200">
        <f>('College Work-Study'!Q41*1000)/'College Work-Study'!AW41</f>
        <v>1180.9903407931433</v>
      </c>
      <c r="R32" s="200">
        <f>('College Work-Study'!R41*1000)/'College Work-Study'!AX41</f>
        <v>1191.7369340319763</v>
      </c>
      <c r="S32" s="200">
        <f>('College Work-Study'!S41*1000)/'College Work-Study'!AY41</f>
        <v>1228.3619891807339</v>
      </c>
      <c r="T32" s="200">
        <f>('College Work-Study'!T41*1000)/'College Work-Study'!AZ41</f>
        <v>1270.1247945378682</v>
      </c>
      <c r="U32" s="200">
        <f>('College Work-Study'!U41*1000)/'College Work-Study'!BA41</f>
        <v>1339.1275450213504</v>
      </c>
      <c r="V32" s="200">
        <f>('College Work-Study'!V41*1000)/'College Work-Study'!BB41</f>
        <v>1286.9484790874524</v>
      </c>
      <c r="W32" s="200">
        <f>('College Work-Study'!W41*1000)/'College Work-Study'!BC41</f>
        <v>1288.8625704179221</v>
      </c>
      <c r="X32" s="200">
        <f>('College Work-Study'!X41*1000)/'College Work-Study'!BD41</f>
        <v>1258.526224002067</v>
      </c>
      <c r="Y32" s="200">
        <f>('College Work-Study'!Y41*1000)/'College Work-Study'!BE41</f>
        <v>1294.6166520359241</v>
      </c>
      <c r="Z32" s="200">
        <f>('College Work-Study'!Z41*1000)/'College Work-Study'!BF41</f>
        <v>1417.1505249252589</v>
      </c>
      <c r="AA32" s="200">
        <f>('College Work-Study'!AA32*1000)/'College Work-Study'!BG32</f>
        <v>2291.9040767386091</v>
      </c>
      <c r="AB32" s="200">
        <f>('College Work-Study'!AB32*1000)/'College Work-Study'!BH32</f>
        <v>1999.1942324003392</v>
      </c>
      <c r="AC32" s="200">
        <f>('College Work-Study'!AC32*1000)/'College Work-Study'!BI32</f>
        <v>2480.1065040650406</v>
      </c>
      <c r="AD32" s="200">
        <f>('College Work-Study'!AD32*1000)/'College Work-Study'!BJ32</f>
        <v>2401.968777103209</v>
      </c>
      <c r="AE32" s="200">
        <f>('College Work-Study'!AE32*1000)/'College Work-Study'!BK32</f>
        <v>2936.4162768942938</v>
      </c>
      <c r="AF32" s="200">
        <f>('College Work-Study'!AF32*1000)/'College Work-Study'!BL32</f>
        <v>2714.5850877192984</v>
      </c>
      <c r="AG32" s="200">
        <f>('College Work-Study'!AG32*1000)/'College Work-Study'!BM32</f>
        <v>2598.5283806343905</v>
      </c>
    </row>
    <row r="33" spans="1:33">
      <c r="A33" s="42" t="s">
        <v>164</v>
      </c>
      <c r="B33" s="200"/>
      <c r="C33" s="200"/>
      <c r="D33" s="200"/>
      <c r="E33" s="200"/>
      <c r="F33" s="200"/>
      <c r="G33" s="200"/>
      <c r="H33" s="200"/>
      <c r="I33" s="200"/>
      <c r="J33" s="200"/>
      <c r="K33" s="200"/>
      <c r="L33" s="200"/>
      <c r="M33" s="200"/>
      <c r="N33" s="200"/>
      <c r="O33" s="200"/>
      <c r="P33" s="200">
        <f>('College Work-Study'!P44*1000)/'College Work-Study'!AV44</f>
        <v>1241.9024658319793</v>
      </c>
      <c r="Q33" s="200">
        <f>('College Work-Study'!Q44*1000)/'College Work-Study'!AW44</f>
        <v>1263.1554962435746</v>
      </c>
      <c r="R33" s="200">
        <f>('College Work-Study'!R44*1000)/'College Work-Study'!AX44</f>
        <v>1321.6555402250053</v>
      </c>
      <c r="S33" s="200">
        <f>('College Work-Study'!S44*1000)/'College Work-Study'!AY44</f>
        <v>1420.6140516385303</v>
      </c>
      <c r="T33" s="200">
        <f>('College Work-Study'!T44*1000)/'College Work-Study'!AZ44</f>
        <v>1415.8261385199241</v>
      </c>
      <c r="U33" s="200">
        <f>('College Work-Study'!U44*1000)/'College Work-Study'!BA44</f>
        <v>1488.6489449031822</v>
      </c>
      <c r="V33" s="200">
        <f>('College Work-Study'!V44*1000)/'College Work-Study'!BB44</f>
        <v>1562.283358166778</v>
      </c>
      <c r="W33" s="200">
        <f>('College Work-Study'!W44*1000)/'College Work-Study'!BC44</f>
        <v>1495.7832266518824</v>
      </c>
      <c r="X33" s="200">
        <f>('College Work-Study'!X44*1000)/'College Work-Study'!BD44</f>
        <v>1614.8036816125052</v>
      </c>
      <c r="Y33" s="200">
        <f>('College Work-Study'!Y44*1000)/'College Work-Study'!BE44</f>
        <v>1705.8961801627067</v>
      </c>
      <c r="Z33" s="200">
        <f>('College Work-Study'!Z44*1000)/'College Work-Study'!BF44</f>
        <v>1624.722482945474</v>
      </c>
      <c r="AA33" s="200">
        <f>('College Work-Study'!AA33*1000)/'College Work-Study'!BG33</f>
        <v>2384.1759587495972</v>
      </c>
      <c r="AB33" s="200">
        <f>('College Work-Study'!AB33*1000)/'College Work-Study'!BH33</f>
        <v>2290.1000921093032</v>
      </c>
      <c r="AC33" s="200">
        <f>('College Work-Study'!AC33*1000)/'College Work-Study'!BI33</f>
        <v>2405.0692711753118</v>
      </c>
      <c r="AD33" s="200">
        <f>('College Work-Study'!AD33*1000)/'College Work-Study'!BJ33</f>
        <v>2380.7532799999999</v>
      </c>
      <c r="AE33" s="200">
        <f>('College Work-Study'!AE33*1000)/'College Work-Study'!BK33</f>
        <v>2349.8042005420052</v>
      </c>
      <c r="AF33" s="200">
        <f>('College Work-Study'!AF33*1000)/'College Work-Study'!BL33</f>
        <v>2430.0007209805335</v>
      </c>
      <c r="AG33" s="200">
        <f>('College Work-Study'!AG33*1000)/'College Work-Study'!BM33</f>
        <v>2623.6569602272725</v>
      </c>
    </row>
    <row r="34" spans="1:33">
      <c r="A34" s="42" t="s">
        <v>168</v>
      </c>
      <c r="B34" s="200"/>
      <c r="C34" s="200"/>
      <c r="D34" s="200"/>
      <c r="E34" s="200"/>
      <c r="F34" s="200"/>
      <c r="G34" s="200"/>
      <c r="H34" s="200"/>
      <c r="I34" s="200"/>
      <c r="J34" s="200"/>
      <c r="K34" s="200"/>
      <c r="L34" s="200"/>
      <c r="M34" s="200"/>
      <c r="N34" s="200"/>
      <c r="O34" s="200"/>
      <c r="P34" s="200">
        <f>('College Work-Study'!P48*1000)/'College Work-Study'!AV48</f>
        <v>1066.7030390738062</v>
      </c>
      <c r="Q34" s="200">
        <f>('College Work-Study'!Q48*1000)/'College Work-Study'!AW48</f>
        <v>1058.1376436781609</v>
      </c>
      <c r="R34" s="200">
        <f>('College Work-Study'!R48*1000)/'College Work-Study'!AX48</f>
        <v>1070.3279211365614</v>
      </c>
      <c r="S34" s="200">
        <f>('College Work-Study'!S48*1000)/'College Work-Study'!AY48</f>
        <v>1086.908829450676</v>
      </c>
      <c r="T34" s="200">
        <f>('College Work-Study'!T48*1000)/'College Work-Study'!AZ48</f>
        <v>1079.4132483370288</v>
      </c>
      <c r="U34" s="200">
        <f>('College Work-Study'!U48*1000)/'College Work-Study'!BA48</f>
        <v>1081.7761801410743</v>
      </c>
      <c r="V34" s="200">
        <f>('College Work-Study'!V48*1000)/'College Work-Study'!BB48</f>
        <v>1105.1056661562022</v>
      </c>
      <c r="W34" s="200">
        <f>('College Work-Study'!W48*1000)/'College Work-Study'!BC48</f>
        <v>1150.0552393706059</v>
      </c>
      <c r="X34" s="200">
        <f>('College Work-Study'!X48*1000)/'College Work-Study'!BD48</f>
        <v>1113.052158894646</v>
      </c>
      <c r="Y34" s="200">
        <f>('College Work-Study'!Y48*1000)/'College Work-Study'!BE48</f>
        <v>1167.5668185269551</v>
      </c>
      <c r="Z34" s="200">
        <f>('College Work-Study'!Z48*1000)/'College Work-Study'!BF48</f>
        <v>1239.3548000000001</v>
      </c>
      <c r="AA34" s="200">
        <f>('College Work-Study'!AA34*1000)/'College Work-Study'!BG34</f>
        <v>1398.7917397404419</v>
      </c>
      <c r="AB34" s="200">
        <f>('College Work-Study'!AB34*1000)/'College Work-Study'!BH34</f>
        <v>1443.713016710642</v>
      </c>
      <c r="AC34" s="200">
        <f>('College Work-Study'!AC34*1000)/'College Work-Study'!BI34</f>
        <v>1439.9262927256793</v>
      </c>
      <c r="AD34" s="200">
        <f>('College Work-Study'!AD34*1000)/'College Work-Study'!BJ34</f>
        <v>1473.0542126466983</v>
      </c>
      <c r="AE34" s="200">
        <f>('College Work-Study'!AE34*1000)/'College Work-Study'!BK34</f>
        <v>1517.082686866843</v>
      </c>
      <c r="AF34" s="200">
        <f>('College Work-Study'!AF34*1000)/'College Work-Study'!BL34</f>
        <v>1513.62590663939</v>
      </c>
      <c r="AG34" s="200">
        <f>('College Work-Study'!AG34*1000)/'College Work-Study'!BM34</f>
        <v>1432.3076849367574</v>
      </c>
    </row>
    <row r="35" spans="1:33">
      <c r="A35" s="42" t="s">
        <v>172</v>
      </c>
      <c r="B35" s="200"/>
      <c r="C35" s="200"/>
      <c r="D35" s="200"/>
      <c r="E35" s="200"/>
      <c r="F35" s="200"/>
      <c r="G35" s="200"/>
      <c r="H35" s="200"/>
      <c r="I35" s="200"/>
      <c r="J35" s="200"/>
      <c r="K35" s="200"/>
      <c r="L35" s="200"/>
      <c r="M35" s="200"/>
      <c r="N35" s="200"/>
      <c r="O35" s="200"/>
      <c r="P35" s="200">
        <f>('College Work-Study'!P52*1000)/'College Work-Study'!AV52</f>
        <v>1181.4222311426092</v>
      </c>
      <c r="Q35" s="200">
        <f>('College Work-Study'!Q52*1000)/'College Work-Study'!AW52</f>
        <v>1193.6234740690716</v>
      </c>
      <c r="R35" s="200">
        <f>('College Work-Study'!R52*1000)/'College Work-Study'!AX52</f>
        <v>810.91417074227695</v>
      </c>
      <c r="S35" s="200">
        <f>('College Work-Study'!S52*1000)/'College Work-Study'!AY52</f>
        <v>1338.6190896505589</v>
      </c>
      <c r="T35" s="200">
        <f>('College Work-Study'!T52*1000)/'College Work-Study'!AZ52</f>
        <v>1376.9127270269053</v>
      </c>
      <c r="U35" s="200">
        <f>('College Work-Study'!U52*1000)/'College Work-Study'!BA52</f>
        <v>1375.8321328877707</v>
      </c>
      <c r="V35" s="200">
        <f>('College Work-Study'!V52*1000)/'College Work-Study'!BB52</f>
        <v>1133.0026737065525</v>
      </c>
      <c r="W35" s="200">
        <f>('College Work-Study'!W52*1000)/'College Work-Study'!BC52</f>
        <v>1388.3351238648884</v>
      </c>
      <c r="X35" s="200">
        <f>('College Work-Study'!X52*1000)/'College Work-Study'!BD52</f>
        <v>1417.0695085712075</v>
      </c>
      <c r="Y35" s="200">
        <f>('College Work-Study'!Y52*1000)/'College Work-Study'!BE52</f>
        <v>1354.4627508067279</v>
      </c>
      <c r="Z35" s="200">
        <f>('College Work-Study'!Z52*1000)/'College Work-Study'!BF52</f>
        <v>1498.0992128510932</v>
      </c>
      <c r="AA35" s="200">
        <f>('College Work-Study'!AA35*1000)/'College Work-Study'!BG35</f>
        <v>2626.7267739575714</v>
      </c>
      <c r="AB35" s="200">
        <f>('College Work-Study'!AB35*1000)/'College Work-Study'!BH35</f>
        <v>2608.932875050546</v>
      </c>
      <c r="AC35" s="200">
        <f>('College Work-Study'!AC35*1000)/'College Work-Study'!BI35</f>
        <v>2652.6007098491568</v>
      </c>
      <c r="AD35" s="200">
        <f>('College Work-Study'!AD35*1000)/'College Work-Study'!BJ35</f>
        <v>2591.8789517470882</v>
      </c>
      <c r="AE35" s="200">
        <f>('College Work-Study'!AE35*1000)/'College Work-Study'!BK35</f>
        <v>2697.2401818933445</v>
      </c>
      <c r="AF35" s="200">
        <f>('College Work-Study'!AF35*1000)/'College Work-Study'!BL35</f>
        <v>2797.2940655447301</v>
      </c>
      <c r="AG35" s="200">
        <f>('College Work-Study'!AG35*1000)/'College Work-Study'!BM35</f>
        <v>2635.0017219113215</v>
      </c>
    </row>
    <row r="36" spans="1:33">
      <c r="A36" s="42" t="s">
        <v>174</v>
      </c>
      <c r="B36" s="200"/>
      <c r="C36" s="200"/>
      <c r="D36" s="200"/>
      <c r="E36" s="200"/>
      <c r="F36" s="200"/>
      <c r="G36" s="200"/>
      <c r="H36" s="200"/>
      <c r="I36" s="200"/>
      <c r="J36" s="200"/>
      <c r="K36" s="200"/>
      <c r="L36" s="200"/>
      <c r="M36" s="200"/>
      <c r="N36" s="200"/>
      <c r="O36" s="200"/>
      <c r="P36" s="200">
        <f>('College Work-Study'!P54*1000)/'College Work-Study'!AV54</f>
        <v>1196.4262378246754</v>
      </c>
      <c r="Q36" s="200">
        <f>('College Work-Study'!Q54*1000)/'College Work-Study'!AW54</f>
        <v>1179.8870723584621</v>
      </c>
      <c r="R36" s="200">
        <f>('College Work-Study'!R54*1000)/'College Work-Study'!AX54</f>
        <v>1236.2304817275747</v>
      </c>
      <c r="S36" s="200">
        <f>('College Work-Study'!S54*1000)/'College Work-Study'!AY54</f>
        <v>1312.8452679018528</v>
      </c>
      <c r="T36" s="200">
        <f>('College Work-Study'!T54*1000)/'College Work-Study'!AZ54</f>
        <v>1352.7411317165954</v>
      </c>
      <c r="U36" s="200">
        <f>('College Work-Study'!U54*1000)/'College Work-Study'!BA54</f>
        <v>1367.9281877859557</v>
      </c>
      <c r="V36" s="200">
        <f>('College Work-Study'!V54*1000)/'College Work-Study'!BB54</f>
        <v>1381.7373706634205</v>
      </c>
      <c r="W36" s="200">
        <f>('College Work-Study'!W54*1000)/'College Work-Study'!BC54</f>
        <v>1408.6807583130576</v>
      </c>
      <c r="X36" s="200">
        <f>('College Work-Study'!X54*1000)/'College Work-Study'!BD54</f>
        <v>1440.8626109269753</v>
      </c>
      <c r="Y36" s="200">
        <f>('College Work-Study'!Y54*1000)/'College Work-Study'!BE54</f>
        <v>1465.1521786256233</v>
      </c>
      <c r="Z36" s="200">
        <f>('College Work-Study'!Z54*1000)/'College Work-Study'!BF54</f>
        <v>1485.5394151303242</v>
      </c>
      <c r="AA36" s="200">
        <f>('College Work-Study'!AA36*1000)/'College Work-Study'!BG36</f>
        <v>1971.2173685313221</v>
      </c>
      <c r="AB36" s="200">
        <f>('College Work-Study'!AB36*1000)/'College Work-Study'!BH36</f>
        <v>1956.5026369604993</v>
      </c>
      <c r="AC36" s="200">
        <f>('College Work-Study'!AC36*1000)/'College Work-Study'!BI36</f>
        <v>2079.6180109990833</v>
      </c>
      <c r="AD36" s="200">
        <f>('College Work-Study'!AD36*1000)/'College Work-Study'!BJ36</f>
        <v>2119.9581384738221</v>
      </c>
      <c r="AE36" s="200">
        <f>('College Work-Study'!AE36*1000)/'College Work-Study'!BK36</f>
        <v>2187.2780306660279</v>
      </c>
      <c r="AF36" s="200">
        <f>('College Work-Study'!AF36*1000)/'College Work-Study'!BL36</f>
        <v>2204.5602625298329</v>
      </c>
      <c r="AG36" s="200">
        <f>('College Work-Study'!AG36*1000)/'College Work-Study'!BM36</f>
        <v>2219.3733533626068</v>
      </c>
    </row>
    <row r="37" spans="1:33">
      <c r="A37" s="42" t="s">
        <v>176</v>
      </c>
      <c r="B37" s="200"/>
      <c r="C37" s="200"/>
      <c r="D37" s="200"/>
      <c r="E37" s="200"/>
      <c r="F37" s="200"/>
      <c r="G37" s="200"/>
      <c r="H37" s="200"/>
      <c r="I37" s="200"/>
      <c r="J37" s="200"/>
      <c r="K37" s="200"/>
      <c r="L37" s="200"/>
      <c r="M37" s="200"/>
      <c r="N37" s="200"/>
      <c r="O37" s="200"/>
      <c r="P37" s="200">
        <f>('College Work-Study'!P56*1000)/'College Work-Study'!AV56</f>
        <v>1253.2551737507877</v>
      </c>
      <c r="Q37" s="200">
        <f>('College Work-Study'!Q56*1000)/'College Work-Study'!AW56</f>
        <v>1257.0411010558068</v>
      </c>
      <c r="R37" s="200">
        <f>('College Work-Study'!R56*1000)/'College Work-Study'!AX56</f>
        <v>1358.0140060523286</v>
      </c>
      <c r="S37" s="200">
        <f>('College Work-Study'!S56*1000)/'College Work-Study'!AY56</f>
        <v>1399.6581485558527</v>
      </c>
      <c r="T37" s="200">
        <f>('College Work-Study'!T56*1000)/'College Work-Study'!AZ56</f>
        <v>1379.8391669225259</v>
      </c>
      <c r="U37" s="200">
        <f>('College Work-Study'!U56*1000)/'College Work-Study'!BA56</f>
        <v>1443.664486030025</v>
      </c>
      <c r="V37" s="200">
        <f>('College Work-Study'!V56*1000)/'College Work-Study'!BB56</f>
        <v>1409.5624078365283</v>
      </c>
      <c r="W37" s="200">
        <f>('College Work-Study'!W56*1000)/'College Work-Study'!BC56</f>
        <v>1427.1034090601393</v>
      </c>
      <c r="X37" s="200">
        <f>('College Work-Study'!X56*1000)/'College Work-Study'!BD56</f>
        <v>1432.8380192468394</v>
      </c>
      <c r="Y37" s="200">
        <f>('College Work-Study'!Y56*1000)/'College Work-Study'!BE56</f>
        <v>1495.4821805773709</v>
      </c>
      <c r="Z37" s="200">
        <f>('College Work-Study'!Z56*1000)/'College Work-Study'!BF56</f>
        <v>1539.9156305506217</v>
      </c>
      <c r="AA37" s="200">
        <f>('College Work-Study'!AA37*1000)/'College Work-Study'!BG37</f>
        <v>1544.1760644418873</v>
      </c>
      <c r="AB37" s="200">
        <f>('College Work-Study'!AB37*1000)/'College Work-Study'!BH37</f>
        <v>1767.903584672435</v>
      </c>
      <c r="AC37" s="200">
        <f>('College Work-Study'!AC37*1000)/'College Work-Study'!BI37</f>
        <v>1682.4394124847001</v>
      </c>
      <c r="AD37" s="200">
        <f>('College Work-Study'!AD37*1000)/'College Work-Study'!BJ37</f>
        <v>1637.0231292517008</v>
      </c>
      <c r="AE37" s="200">
        <f>('College Work-Study'!AE37*1000)/'College Work-Study'!BK37</f>
        <v>1509.7337031900138</v>
      </c>
      <c r="AF37" s="200">
        <f>('College Work-Study'!AF37*1000)/'College Work-Study'!BL37</f>
        <v>1717.4444444444443</v>
      </c>
      <c r="AG37" s="200">
        <f>('College Work-Study'!AG37*1000)/'College Work-Study'!BM37</f>
        <v>1765.6599063962558</v>
      </c>
    </row>
    <row r="38" spans="1:33">
      <c r="A38" s="150" t="s">
        <v>218</v>
      </c>
      <c r="B38" s="202"/>
      <c r="C38" s="202"/>
      <c r="D38" s="202"/>
      <c r="E38" s="202"/>
      <c r="F38" s="202"/>
      <c r="G38" s="202"/>
      <c r="H38" s="202"/>
      <c r="I38" s="202"/>
      <c r="J38" s="202"/>
      <c r="K38" s="202"/>
      <c r="L38" s="202"/>
      <c r="M38" s="202"/>
      <c r="N38" s="202"/>
      <c r="O38" s="202"/>
      <c r="P38" s="202">
        <f>('College Work-Study'!P38*1000)/'College Work-Study'!AV38</f>
        <v>1157.8442966194114</v>
      </c>
      <c r="Q38" s="202">
        <f>('College Work-Study'!Q38*1000)/'College Work-Study'!AW38</f>
        <v>1214.0088389857276</v>
      </c>
      <c r="R38" s="202">
        <f>('College Work-Study'!R38*1000)/'College Work-Study'!AX38</f>
        <v>1250.2365330520392</v>
      </c>
      <c r="S38" s="202">
        <f>('College Work-Study'!S38*1000)/'College Work-Study'!AY38</f>
        <v>1305.2592849454611</v>
      </c>
      <c r="T38" s="202">
        <f>('College Work-Study'!T38*1000)/'College Work-Study'!AZ38</f>
        <v>1378.7807629787394</v>
      </c>
      <c r="U38" s="202">
        <f>('College Work-Study'!U38*1000)/'College Work-Study'!BA38</f>
        <v>1405.875364920096</v>
      </c>
      <c r="V38" s="202">
        <f>('College Work-Study'!V38*1000)/'College Work-Study'!BB38</f>
        <v>1268.1023161868991</v>
      </c>
      <c r="W38" s="202">
        <f>('College Work-Study'!W38*1000)/'College Work-Study'!BC38</f>
        <v>1434.0165595399187</v>
      </c>
      <c r="X38" s="202">
        <f>('College Work-Study'!X38*1000)/'College Work-Study'!BD38</f>
        <v>1461.7742251750349</v>
      </c>
      <c r="Y38" s="202">
        <f>('College Work-Study'!Y38*1000)/'College Work-Study'!BE38</f>
        <v>1532.4021824674332</v>
      </c>
      <c r="Z38" s="202">
        <f>('College Work-Study'!Z38*1000)/'College Work-Study'!BF38</f>
        <v>1589.6882804175175</v>
      </c>
      <c r="AA38" s="202">
        <f>('College Work-Study'!AA38*1000)/'College Work-Study'!BG38</f>
        <v>1659.052103263145</v>
      </c>
      <c r="AB38" s="202">
        <f>('College Work-Study'!AB38*1000)/'College Work-Study'!BH38</f>
        <v>1616.9941509908842</v>
      </c>
      <c r="AC38" s="202">
        <f>('College Work-Study'!AC38*1000)/'College Work-Study'!BI38</f>
        <v>1627.4075594196354</v>
      </c>
      <c r="AD38" s="202">
        <f>('College Work-Study'!AD38*1000)/'College Work-Study'!BJ38</f>
        <v>1630.0765866966219</v>
      </c>
      <c r="AE38" s="202">
        <f>('College Work-Study'!AE38*1000)/'College Work-Study'!BK38</f>
        <v>1616.5095471548229</v>
      </c>
      <c r="AF38" s="202">
        <f>('College Work-Study'!AF38*1000)/'College Work-Study'!BL38</f>
        <v>1632.6137782225283</v>
      </c>
      <c r="AG38" s="202">
        <f>('College Work-Study'!AG38*1000)/'College Work-Study'!BM38</f>
        <v>1641.4615179031218</v>
      </c>
    </row>
    <row r="39" spans="1:33" s="151" customFormat="1">
      <c r="A39" s="173" t="s">
        <v>215</v>
      </c>
      <c r="B39" s="197"/>
      <c r="C39" s="197"/>
      <c r="D39" s="197"/>
      <c r="E39" s="197"/>
      <c r="F39" s="197"/>
      <c r="G39" s="197"/>
      <c r="H39" s="197"/>
      <c r="I39" s="197"/>
      <c r="J39" s="197"/>
      <c r="K39" s="197"/>
      <c r="L39" s="197"/>
      <c r="M39" s="197"/>
      <c r="N39" s="197"/>
      <c r="O39" s="197"/>
      <c r="P39" s="197">
        <f t="shared" ref="P39:AA39" si="10">(P38/P4)*100</f>
        <v>92.62738669922669</v>
      </c>
      <c r="Q39" s="197">
        <f t="shared" si="10"/>
        <v>95.453746092567599</v>
      </c>
      <c r="R39" s="197">
        <f t="shared" si="10"/>
        <v>109.54335355943074</v>
      </c>
      <c r="S39" s="197">
        <f t="shared" si="10"/>
        <v>92.81011977579054</v>
      </c>
      <c r="T39" s="197">
        <f t="shared" si="10"/>
        <v>94.420475003161457</v>
      </c>
      <c r="U39" s="197">
        <f t="shared" si="10"/>
        <v>96.139546578358292</v>
      </c>
      <c r="V39" s="197">
        <f t="shared" si="10"/>
        <v>94.327714010384184</v>
      </c>
      <c r="W39" s="197">
        <f t="shared" si="10"/>
        <v>96.164665519189199</v>
      </c>
      <c r="X39" s="197">
        <f t="shared" si="10"/>
        <v>96.509395866421457</v>
      </c>
      <c r="Y39" s="197">
        <f t="shared" si="10"/>
        <v>99.748411309848464</v>
      </c>
      <c r="Z39" s="197">
        <f t="shared" si="10"/>
        <v>96.181684011897346</v>
      </c>
      <c r="AA39" s="197">
        <f t="shared" si="10"/>
        <v>96.927030800040299</v>
      </c>
      <c r="AB39" s="197">
        <f t="shared" ref="AB39" si="11">(AB38/AB4)*100</f>
        <v>96.330549845916593</v>
      </c>
      <c r="AC39" s="197">
        <f t="shared" ref="AC39:AD39" si="12">(AC38/AC4)*100</f>
        <v>96.816961494951087</v>
      </c>
      <c r="AD39" s="197">
        <f t="shared" si="12"/>
        <v>96.506593050526419</v>
      </c>
      <c r="AE39" s="197">
        <f t="shared" ref="AE39:AF39" si="13">(AE38/AE4)*100</f>
        <v>96.054525867156187</v>
      </c>
      <c r="AF39" s="197">
        <f t="shared" si="13"/>
        <v>95.932353508278496</v>
      </c>
      <c r="AG39" s="197">
        <f t="shared" ref="AG39" si="14">(AG38/AG4)*100</f>
        <v>94.266158434118751</v>
      </c>
    </row>
    <row r="40" spans="1:33">
      <c r="A40" s="42" t="s">
        <v>150</v>
      </c>
      <c r="B40" s="200"/>
      <c r="C40" s="200"/>
      <c r="D40" s="200"/>
      <c r="E40" s="200"/>
      <c r="F40" s="200"/>
      <c r="G40" s="200"/>
      <c r="H40" s="200"/>
      <c r="I40" s="200"/>
      <c r="J40" s="200"/>
      <c r="K40" s="200"/>
      <c r="L40" s="200"/>
      <c r="M40" s="200"/>
      <c r="N40" s="200"/>
      <c r="O40" s="200"/>
      <c r="P40" s="200">
        <f>('College Work-Study'!P30*1000)/'College Work-Study'!AV30</f>
        <v>1038.0307179866766</v>
      </c>
      <c r="Q40" s="200">
        <f>('College Work-Study'!Q30*1000)/'College Work-Study'!AW30</f>
        <v>1108.6266932270917</v>
      </c>
      <c r="R40" s="200">
        <f>('College Work-Study'!R30*1000)/'College Work-Study'!AX30</f>
        <v>1067.7646592709984</v>
      </c>
      <c r="S40" s="200">
        <f>('College Work-Study'!S30*1000)/'College Work-Study'!AY30</f>
        <v>1130.7502967946182</v>
      </c>
      <c r="T40" s="200">
        <f>('College Work-Study'!T30*1000)/'College Work-Study'!AZ30</f>
        <v>1129.1538461538462</v>
      </c>
      <c r="U40" s="200">
        <f>('College Work-Study'!U30*1000)/'College Work-Study'!BA30</f>
        <v>1197.2463556851312</v>
      </c>
      <c r="V40" s="200">
        <f>('College Work-Study'!V30*1000)/'College Work-Study'!BB30</f>
        <v>1147.6866342193935</v>
      </c>
      <c r="W40" s="200">
        <f>('College Work-Study'!W30*1000)/'College Work-Study'!BC30</f>
        <v>1161.7557992408267</v>
      </c>
      <c r="X40" s="200">
        <f>('College Work-Study'!X30*1000)/'College Work-Study'!BD30</f>
        <v>1290.3484848484848</v>
      </c>
      <c r="Y40" s="200">
        <f>('College Work-Study'!Y30*1000)/'College Work-Study'!BE30</f>
        <v>1254.4522862823062</v>
      </c>
      <c r="Z40" s="200">
        <f>('College Work-Study'!Z30*1000)/'College Work-Study'!BF30</f>
        <v>1259.2955665024631</v>
      </c>
      <c r="AA40" s="200">
        <f>('College Work-Study'!AA40*1000)/'College Work-Study'!BG40</f>
        <v>1967.7248122876638</v>
      </c>
      <c r="AB40" s="200">
        <f>('College Work-Study'!AB40*1000)/'College Work-Study'!BH40</f>
        <v>1906.7189679631163</v>
      </c>
      <c r="AC40" s="200">
        <f>('College Work-Study'!AC40*1000)/'College Work-Study'!BI40</f>
        <v>1939.2906239470701</v>
      </c>
      <c r="AD40" s="200">
        <f>('College Work-Study'!AD40*1000)/'College Work-Study'!BJ40</f>
        <v>1911.7671915609235</v>
      </c>
      <c r="AE40" s="200">
        <f>('College Work-Study'!AE40*1000)/'College Work-Study'!BK40</f>
        <v>1902.1629196592617</v>
      </c>
      <c r="AF40" s="200">
        <f>('College Work-Study'!AF40*1000)/'College Work-Study'!BL40</f>
        <v>1869.7591343734273</v>
      </c>
      <c r="AG40" s="200">
        <f>('College Work-Study'!AG40*1000)/'College Work-Study'!BM40</f>
        <v>1892.0595622405904</v>
      </c>
    </row>
    <row r="41" spans="1:33">
      <c r="A41" s="42" t="s">
        <v>151</v>
      </c>
      <c r="B41" s="200"/>
      <c r="C41" s="200"/>
      <c r="D41" s="200"/>
      <c r="E41" s="200"/>
      <c r="F41" s="200"/>
      <c r="G41" s="200"/>
      <c r="H41" s="200"/>
      <c r="I41" s="200"/>
      <c r="J41" s="200"/>
      <c r="K41" s="200"/>
      <c r="L41" s="200"/>
      <c r="M41" s="200"/>
      <c r="N41" s="200"/>
      <c r="O41" s="200"/>
      <c r="P41" s="200">
        <f>('College Work-Study'!P31*1000)/'College Work-Study'!AV31</f>
        <v>1096.1286011286011</v>
      </c>
      <c r="Q41" s="200">
        <f>('College Work-Study'!Q31*1000)/'College Work-Study'!AW31</f>
        <v>1212.0697744360903</v>
      </c>
      <c r="R41" s="200">
        <f>('College Work-Study'!R31*1000)/'College Work-Study'!AX31</f>
        <v>1214.0087394957984</v>
      </c>
      <c r="S41" s="200">
        <f>('College Work-Study'!S31*1000)/'College Work-Study'!AY31</f>
        <v>1244.9829609996214</v>
      </c>
      <c r="T41" s="200">
        <f>('College Work-Study'!T31*1000)/'College Work-Study'!AZ31</f>
        <v>1272.1169547627803</v>
      </c>
      <c r="U41" s="200">
        <f>('College Work-Study'!U31*1000)/'College Work-Study'!BA31</f>
        <v>1253.5134155184917</v>
      </c>
      <c r="V41" s="200">
        <f>('College Work-Study'!V31*1000)/'College Work-Study'!BB31</f>
        <v>1150.3482274741507</v>
      </c>
      <c r="W41" s="200">
        <f>('College Work-Study'!W31*1000)/'College Work-Study'!BC31</f>
        <v>1251.4035512510088</v>
      </c>
      <c r="X41" s="200">
        <f>('College Work-Study'!X31*1000)/'College Work-Study'!BD31</f>
        <v>1277.8700088731146</v>
      </c>
      <c r="Y41" s="200">
        <f>('College Work-Study'!Y31*1000)/'College Work-Study'!BE31</f>
        <v>1320.4277299501587</v>
      </c>
      <c r="Z41" s="200">
        <f>('College Work-Study'!Z31*1000)/'College Work-Study'!BF31</f>
        <v>1409.7249406175772</v>
      </c>
      <c r="AA41" s="200">
        <f>('College Work-Study'!AA41*1000)/'College Work-Study'!BG41</f>
        <v>1545.3523878003475</v>
      </c>
      <c r="AB41" s="200">
        <f>('College Work-Study'!AB41*1000)/'College Work-Study'!BH41</f>
        <v>1691.4690492875498</v>
      </c>
      <c r="AC41" s="200">
        <f>('College Work-Study'!AC41*1000)/'College Work-Study'!BI41</f>
        <v>1549.7949976779673</v>
      </c>
      <c r="AD41" s="200">
        <f>('College Work-Study'!AD41*1000)/'College Work-Study'!BJ41</f>
        <v>1535.7255026320797</v>
      </c>
      <c r="AE41" s="200">
        <f>('College Work-Study'!AE41*1000)/'College Work-Study'!BK41</f>
        <v>1653.245419387561</v>
      </c>
      <c r="AF41" s="200">
        <f>('College Work-Study'!AF41*1000)/'College Work-Study'!BL41</f>
        <v>1563.7441102089711</v>
      </c>
      <c r="AG41" s="200">
        <f>('College Work-Study'!AG41*1000)/'College Work-Study'!BM41</f>
        <v>1445.8273668639054</v>
      </c>
    </row>
    <row r="42" spans="1:33">
      <c r="A42" s="42" t="s">
        <v>152</v>
      </c>
      <c r="B42" s="200"/>
      <c r="C42" s="200"/>
      <c r="D42" s="200"/>
      <c r="E42" s="200"/>
      <c r="F42" s="200"/>
      <c r="G42" s="200"/>
      <c r="H42" s="200"/>
      <c r="I42" s="200"/>
      <c r="J42" s="200"/>
      <c r="K42" s="200"/>
      <c r="L42" s="200"/>
      <c r="M42" s="200"/>
      <c r="N42" s="200"/>
      <c r="O42" s="200"/>
      <c r="P42" s="200">
        <f>('College Work-Study'!P32*1000)/'College Work-Study'!AV32</f>
        <v>1973.2398989898991</v>
      </c>
      <c r="Q42" s="200">
        <f>('College Work-Study'!Q32*1000)/'College Work-Study'!AW32</f>
        <v>1440.5392051557465</v>
      </c>
      <c r="R42" s="200">
        <f>('College Work-Study'!R32*1000)/'College Work-Study'!AX32</f>
        <v>1876.6396396396397</v>
      </c>
      <c r="S42" s="200">
        <f>('College Work-Study'!S32*1000)/'College Work-Study'!AY32</f>
        <v>1768.2395587076437</v>
      </c>
      <c r="T42" s="200">
        <f>('College Work-Study'!T32*1000)/'College Work-Study'!AZ32</f>
        <v>2196.6471054718477</v>
      </c>
      <c r="U42" s="200">
        <f>('College Work-Study'!U32*1000)/'College Work-Study'!BA32</f>
        <v>2358.0394736842104</v>
      </c>
      <c r="V42" s="200">
        <f>('College Work-Study'!V32*1000)/'College Work-Study'!BB32</f>
        <v>1792.8963302752293</v>
      </c>
      <c r="W42" s="200">
        <f>('College Work-Study'!W32*1000)/'College Work-Study'!BC32</f>
        <v>2014.338056680162</v>
      </c>
      <c r="X42" s="200">
        <f>('College Work-Study'!X32*1000)/'College Work-Study'!BD32</f>
        <v>2060.673892554194</v>
      </c>
      <c r="Y42" s="200">
        <f>('College Work-Study'!Y32*1000)/'College Work-Study'!BE32</f>
        <v>1838</v>
      </c>
      <c r="Z42" s="200">
        <f>('College Work-Study'!Z32*1000)/'College Work-Study'!BF32</f>
        <v>2008.3897736797987</v>
      </c>
      <c r="AA42" s="200">
        <f>('College Work-Study'!AA42*1000)/'College Work-Study'!BG42</f>
        <v>1285.4787632531268</v>
      </c>
      <c r="AB42" s="200">
        <f>('College Work-Study'!AB42*1000)/'College Work-Study'!BH42</f>
        <v>1297.2391190351336</v>
      </c>
      <c r="AC42" s="200">
        <f>('College Work-Study'!AC42*1000)/'College Work-Study'!BI42</f>
        <v>1252.5505242463958</v>
      </c>
      <c r="AD42" s="200">
        <f>('College Work-Study'!AD42*1000)/'College Work-Study'!BJ42</f>
        <v>1271.1324117368029</v>
      </c>
      <c r="AE42" s="200">
        <f>('College Work-Study'!AE42*1000)/'College Work-Study'!BK42</f>
        <v>1191.5156422764228</v>
      </c>
      <c r="AF42" s="200">
        <f>('College Work-Study'!AF42*1000)/'College Work-Study'!BL42</f>
        <v>1250.6762220269084</v>
      </c>
      <c r="AG42" s="200">
        <f>('College Work-Study'!AG42*1000)/'College Work-Study'!BM42</f>
        <v>1222.5402610736287</v>
      </c>
    </row>
    <row r="43" spans="1:33">
      <c r="A43" s="42" t="s">
        <v>153</v>
      </c>
      <c r="B43" s="200"/>
      <c r="C43" s="200"/>
      <c r="D43" s="200"/>
      <c r="E43" s="200"/>
      <c r="F43" s="200"/>
      <c r="G43" s="200"/>
      <c r="H43" s="200"/>
      <c r="I43" s="200"/>
      <c r="J43" s="200"/>
      <c r="K43" s="200"/>
      <c r="L43" s="200"/>
      <c r="M43" s="200"/>
      <c r="N43" s="200"/>
      <c r="O43" s="200"/>
      <c r="P43" s="200">
        <f>('College Work-Study'!P33*1000)/'College Work-Study'!AV33</f>
        <v>1740.3683960019039</v>
      </c>
      <c r="Q43" s="200">
        <f>('College Work-Study'!Q33*1000)/'College Work-Study'!AW33</f>
        <v>1834.42118226601</v>
      </c>
      <c r="R43" s="200">
        <f>('College Work-Study'!R33*1000)/'College Work-Study'!AX33</f>
        <v>1825.2592592592591</v>
      </c>
      <c r="S43" s="200">
        <f>('College Work-Study'!S33*1000)/'College Work-Study'!AY33</f>
        <v>1926.540144339197</v>
      </c>
      <c r="T43" s="200">
        <f>('College Work-Study'!T33*1000)/'College Work-Study'!AZ33</f>
        <v>1915.5035561877667</v>
      </c>
      <c r="U43" s="200">
        <f>('College Work-Study'!U33*1000)/'College Work-Study'!BA33</f>
        <v>1701.5779991521831</v>
      </c>
      <c r="V43" s="200">
        <f>('College Work-Study'!V33*1000)/'College Work-Study'!BB33</f>
        <v>1799.1353021978023</v>
      </c>
      <c r="W43" s="200">
        <f>('College Work-Study'!W33*1000)/'College Work-Study'!BC33</f>
        <v>1864.8442791174962</v>
      </c>
      <c r="X43" s="200">
        <f>('College Work-Study'!X33*1000)/'College Work-Study'!BD33</f>
        <v>1940.463687150838</v>
      </c>
      <c r="Y43" s="200">
        <f>('College Work-Study'!Y33*1000)/'College Work-Study'!BE33</f>
        <v>2177.5214427719397</v>
      </c>
      <c r="Z43" s="200">
        <f>('College Work-Study'!Z33*1000)/'College Work-Study'!BF33</f>
        <v>2314.2121820615798</v>
      </c>
      <c r="AA43" s="200">
        <f>('College Work-Study'!AA43*1000)/'College Work-Study'!BG43</f>
        <v>1481.5240328253224</v>
      </c>
      <c r="AB43" s="200">
        <f>('College Work-Study'!AB43*1000)/'College Work-Study'!BH43</f>
        <v>1481.8435718809374</v>
      </c>
      <c r="AC43" s="200">
        <f>('College Work-Study'!AC43*1000)/'College Work-Study'!BI43</f>
        <v>1483.3047989623865</v>
      </c>
      <c r="AD43" s="200">
        <f>('College Work-Study'!AD43*1000)/'College Work-Study'!BJ43</f>
        <v>1466.8431590656285</v>
      </c>
      <c r="AE43" s="200">
        <f>('College Work-Study'!AE43*1000)/'College Work-Study'!BK43</f>
        <v>1464.7592261420907</v>
      </c>
      <c r="AF43" s="200">
        <f>('College Work-Study'!AF43*1000)/'College Work-Study'!BL43</f>
        <v>1532.5633521782509</v>
      </c>
      <c r="AG43" s="200">
        <f>('College Work-Study'!AG43*1000)/'College Work-Study'!BM43</f>
        <v>1540.4105960264901</v>
      </c>
    </row>
    <row r="44" spans="1:33">
      <c r="A44" s="42" t="s">
        <v>156</v>
      </c>
      <c r="B44" s="200"/>
      <c r="C44" s="200"/>
      <c r="D44" s="200"/>
      <c r="E44" s="200"/>
      <c r="F44" s="200"/>
      <c r="G44" s="200"/>
      <c r="H44" s="200"/>
      <c r="I44" s="200"/>
      <c r="J44" s="200"/>
      <c r="K44" s="200"/>
      <c r="L44" s="200"/>
      <c r="M44" s="200"/>
      <c r="N44" s="200"/>
      <c r="O44" s="200"/>
      <c r="P44" s="200">
        <f>('College Work-Study'!P36*1000)/'College Work-Study'!AV36</f>
        <v>1332.5769106217617</v>
      </c>
      <c r="Q44" s="200">
        <f>('College Work-Study'!Q36*1000)/'College Work-Study'!AW36</f>
        <v>1438.5534193439582</v>
      </c>
      <c r="R44" s="200">
        <f>('College Work-Study'!R36*1000)/'College Work-Study'!AX36</f>
        <v>1500.7403276402929</v>
      </c>
      <c r="S44" s="200">
        <f>('College Work-Study'!S36*1000)/'College Work-Study'!AY36</f>
        <v>1601.190631714654</v>
      </c>
      <c r="T44" s="200">
        <f>('College Work-Study'!T36*1000)/'College Work-Study'!AZ36</f>
        <v>1690.3676622928176</v>
      </c>
      <c r="U44" s="200">
        <f>('College Work-Study'!U36*1000)/'College Work-Study'!BA36</f>
        <v>1697.6423013027893</v>
      </c>
      <c r="V44" s="200">
        <f>('College Work-Study'!V36*1000)/'College Work-Study'!BB36</f>
        <v>1711.3672122001117</v>
      </c>
      <c r="W44" s="200">
        <f>('College Work-Study'!W36*1000)/'College Work-Study'!BC36</f>
        <v>1751.3124758594051</v>
      </c>
      <c r="X44" s="200">
        <f>('College Work-Study'!X36*1000)/'College Work-Study'!BD36</f>
        <v>1747.263715207745</v>
      </c>
      <c r="Y44" s="200">
        <f>('College Work-Study'!Y36*1000)/'College Work-Study'!BE36</f>
        <v>1842.1727859368045</v>
      </c>
      <c r="Z44" s="200">
        <f>('College Work-Study'!Z36*1000)/'College Work-Study'!BF36</f>
        <v>1858.2521825616091</v>
      </c>
      <c r="AA44" s="200">
        <f>('College Work-Study'!AA44*1000)/'College Work-Study'!BG44</f>
        <v>1710.6012216056529</v>
      </c>
      <c r="AB44" s="200">
        <f>('College Work-Study'!AB44*1000)/'College Work-Study'!BH44</f>
        <v>1674.0010696559987</v>
      </c>
      <c r="AC44" s="200">
        <f>('College Work-Study'!AC44*1000)/'College Work-Study'!BI44</f>
        <v>1668.753530771206</v>
      </c>
      <c r="AD44" s="200">
        <f>('College Work-Study'!AD44*1000)/'College Work-Study'!BJ44</f>
        <v>1667.0930149837714</v>
      </c>
      <c r="AE44" s="200">
        <f>('College Work-Study'!AE44*1000)/'College Work-Study'!BK44</f>
        <v>1645.4127539971432</v>
      </c>
      <c r="AF44" s="200">
        <f>('College Work-Study'!AF44*1000)/'College Work-Study'!BL44</f>
        <v>1726.5512691377921</v>
      </c>
      <c r="AG44" s="200">
        <f>('College Work-Study'!AG44*1000)/'College Work-Study'!BM44</f>
        <v>1731.0039588688946</v>
      </c>
    </row>
    <row r="45" spans="1:33">
      <c r="A45" s="42" t="s">
        <v>157</v>
      </c>
      <c r="B45" s="200"/>
      <c r="C45" s="200"/>
      <c r="D45" s="200"/>
      <c r="E45" s="200"/>
      <c r="F45" s="200"/>
      <c r="G45" s="200"/>
      <c r="H45" s="200"/>
      <c r="I45" s="200"/>
      <c r="J45" s="200"/>
      <c r="K45" s="200"/>
      <c r="L45" s="200"/>
      <c r="M45" s="200"/>
      <c r="N45" s="200"/>
      <c r="O45" s="200"/>
      <c r="P45" s="200">
        <f>('College Work-Study'!P37*1000)/'College Work-Study'!AV37</f>
        <v>954.85714285714289</v>
      </c>
      <c r="Q45" s="200">
        <f>('College Work-Study'!Q37*1000)/'College Work-Study'!AW37</f>
        <v>984.94736842105249</v>
      </c>
      <c r="R45" s="200">
        <f>('College Work-Study'!R37*1000)/'College Work-Study'!AX37</f>
        <v>1003.5957983193277</v>
      </c>
      <c r="S45" s="200">
        <f>('College Work-Study'!S37*1000)/'College Work-Study'!AY37</f>
        <v>1012.8681055155876</v>
      </c>
      <c r="T45" s="200">
        <f>('College Work-Study'!T37*1000)/'College Work-Study'!AZ37</f>
        <v>1046.2536115569824</v>
      </c>
      <c r="U45" s="200">
        <f>('College Work-Study'!U37*1000)/'College Work-Study'!BA37</f>
        <v>1113.58933107536</v>
      </c>
      <c r="V45" s="200">
        <f>('College Work-Study'!V37*1000)/'College Work-Study'!BB37</f>
        <v>1176.9734848484848</v>
      </c>
      <c r="W45" s="200">
        <f>('College Work-Study'!W37*1000)/'College Work-Study'!BC37</f>
        <v>1200.7678391959798</v>
      </c>
      <c r="X45" s="200">
        <f>('College Work-Study'!X37*1000)/'College Work-Study'!BD37</f>
        <v>1296.8437843784379</v>
      </c>
      <c r="Y45" s="200">
        <f>('College Work-Study'!Y37*1000)/'College Work-Study'!BE37</f>
        <v>1556.4708222811671</v>
      </c>
      <c r="Z45" s="200">
        <f>('College Work-Study'!Z37*1000)/'College Work-Study'!BF37</f>
        <v>1505.1922580645162</v>
      </c>
      <c r="AA45" s="200">
        <f>('College Work-Study'!AA45*1000)/'College Work-Study'!BG45</f>
        <v>1676.1978558130577</v>
      </c>
      <c r="AB45" s="200">
        <f>('College Work-Study'!AB45*1000)/'College Work-Study'!BH45</f>
        <v>1635.3674963396779</v>
      </c>
      <c r="AC45" s="200">
        <f>('College Work-Study'!AC45*1000)/'College Work-Study'!BI45</f>
        <v>1688.1431847968545</v>
      </c>
      <c r="AD45" s="200">
        <f>('College Work-Study'!AD45*1000)/'College Work-Study'!BJ45</f>
        <v>1718.0286529150362</v>
      </c>
      <c r="AE45" s="200">
        <f>('College Work-Study'!AE45*1000)/'College Work-Study'!BK45</f>
        <v>1721.1653681476803</v>
      </c>
      <c r="AF45" s="200">
        <f>('College Work-Study'!AF45*1000)/'College Work-Study'!BL45</f>
        <v>1815.6559369982415</v>
      </c>
      <c r="AG45" s="200">
        <f>('College Work-Study'!AG45*1000)/'College Work-Study'!BM45</f>
        <v>1917.3225128444651</v>
      </c>
    </row>
    <row r="46" spans="1:33">
      <c r="A46" s="42" t="s">
        <v>158</v>
      </c>
      <c r="B46" s="200"/>
      <c r="C46" s="200"/>
      <c r="D46" s="200"/>
      <c r="E46" s="200"/>
      <c r="F46" s="200"/>
      <c r="G46" s="200"/>
      <c r="H46" s="200"/>
      <c r="I46" s="200"/>
      <c r="J46" s="200"/>
      <c r="K46" s="200"/>
      <c r="L46" s="200"/>
      <c r="M46" s="200"/>
      <c r="N46" s="200"/>
      <c r="O46" s="200"/>
      <c r="P46" s="200">
        <f>('College Work-Study'!P38*1000)/'College Work-Study'!AV38</f>
        <v>1157.8442966194114</v>
      </c>
      <c r="Q46" s="200">
        <f>('College Work-Study'!Q38*1000)/'College Work-Study'!AW38</f>
        <v>1214.0088389857276</v>
      </c>
      <c r="R46" s="200">
        <f>('College Work-Study'!R38*1000)/'College Work-Study'!AX38</f>
        <v>1250.2365330520392</v>
      </c>
      <c r="S46" s="200">
        <f>('College Work-Study'!S38*1000)/'College Work-Study'!AY38</f>
        <v>1305.2592849454611</v>
      </c>
      <c r="T46" s="200">
        <f>('College Work-Study'!T38*1000)/'College Work-Study'!AZ38</f>
        <v>1378.7807629787394</v>
      </c>
      <c r="U46" s="200">
        <f>('College Work-Study'!U38*1000)/'College Work-Study'!BA38</f>
        <v>1405.875364920096</v>
      </c>
      <c r="V46" s="200">
        <f>('College Work-Study'!V38*1000)/'College Work-Study'!BB38</f>
        <v>1268.1023161868991</v>
      </c>
      <c r="W46" s="200">
        <f>('College Work-Study'!W38*1000)/'College Work-Study'!BC38</f>
        <v>1434.0165595399187</v>
      </c>
      <c r="X46" s="200">
        <f>('College Work-Study'!X38*1000)/'College Work-Study'!BD38</f>
        <v>1461.7742251750349</v>
      </c>
      <c r="Y46" s="200">
        <f>('College Work-Study'!Y38*1000)/'College Work-Study'!BE38</f>
        <v>1532.4021824674332</v>
      </c>
      <c r="Z46" s="200">
        <f>('College Work-Study'!Z38*1000)/'College Work-Study'!BF38</f>
        <v>1589.6882804175175</v>
      </c>
      <c r="AA46" s="200">
        <f>('College Work-Study'!AA46*1000)/'College Work-Study'!BG46</f>
        <v>1833.6636718750001</v>
      </c>
      <c r="AB46" s="200">
        <f>('College Work-Study'!AB46*1000)/'College Work-Study'!BH46</f>
        <v>1705.9209054247431</v>
      </c>
      <c r="AC46" s="200">
        <f>('College Work-Study'!AC46*1000)/'College Work-Study'!BI46</f>
        <v>1782.5129843643779</v>
      </c>
      <c r="AD46" s="200">
        <f>('College Work-Study'!AD46*1000)/'College Work-Study'!BJ46</f>
        <v>1773.6688082901555</v>
      </c>
      <c r="AE46" s="200">
        <f>('College Work-Study'!AE46*1000)/'College Work-Study'!BK46</f>
        <v>1778.9823369565217</v>
      </c>
      <c r="AF46" s="200">
        <f>('College Work-Study'!AF46*1000)/'College Work-Study'!BL46</f>
        <v>1673.2408119329541</v>
      </c>
      <c r="AG46" s="200">
        <f>('College Work-Study'!AG46*1000)/'College Work-Study'!BM46</f>
        <v>1696.7176143141153</v>
      </c>
    </row>
    <row r="47" spans="1:33">
      <c r="A47" s="42" t="s">
        <v>160</v>
      </c>
      <c r="B47" s="200"/>
      <c r="C47" s="200"/>
      <c r="D47" s="200"/>
      <c r="E47" s="200"/>
      <c r="F47" s="200"/>
      <c r="G47" s="200"/>
      <c r="H47" s="200"/>
      <c r="I47" s="200"/>
      <c r="J47" s="200"/>
      <c r="K47" s="200"/>
      <c r="L47" s="200"/>
      <c r="M47" s="200"/>
      <c r="N47" s="200"/>
      <c r="O47" s="200"/>
      <c r="P47" s="200">
        <f>('College Work-Study'!P40*1000)/'College Work-Study'!AV40</f>
        <v>1276.0540540540539</v>
      </c>
      <c r="Q47" s="200">
        <f>('College Work-Study'!Q40*1000)/'College Work-Study'!AW40</f>
        <v>1363.5269630715904</v>
      </c>
      <c r="R47" s="200">
        <f>('College Work-Study'!R40*1000)/'College Work-Study'!AX40</f>
        <v>1372.0012483164153</v>
      </c>
      <c r="S47" s="200">
        <f>('College Work-Study'!S40*1000)/'College Work-Study'!AY40</f>
        <v>1356.6805780902589</v>
      </c>
      <c r="T47" s="200">
        <f>('College Work-Study'!T40*1000)/'College Work-Study'!AZ40</f>
        <v>1552.6754396604003</v>
      </c>
      <c r="U47" s="200">
        <f>('College Work-Study'!U40*1000)/'College Work-Study'!BA40</f>
        <v>1641.9154405140832</v>
      </c>
      <c r="V47" s="200">
        <f>('College Work-Study'!V40*1000)/'College Work-Study'!BB40</f>
        <v>1709.2663466212932</v>
      </c>
      <c r="W47" s="200">
        <f>('College Work-Study'!W40*1000)/'College Work-Study'!BC40</f>
        <v>1667.7302877289433</v>
      </c>
      <c r="X47" s="200">
        <f>('College Work-Study'!X40*1000)/'College Work-Study'!BD40</f>
        <v>1741.0348419882484</v>
      </c>
      <c r="Y47" s="200">
        <f>('College Work-Study'!Y40*1000)/'College Work-Study'!BE40</f>
        <v>1853.9063169839869</v>
      </c>
      <c r="Z47" s="200">
        <f>('College Work-Study'!Z40*1000)/'College Work-Study'!BF40</f>
        <v>1977.2053648136953</v>
      </c>
      <c r="AA47" s="200">
        <f>('College Work-Study'!AA47*1000)/'College Work-Study'!BG47</f>
        <v>1342.1072813442481</v>
      </c>
      <c r="AB47" s="200">
        <f>('College Work-Study'!AB47*1000)/'College Work-Study'!BH47</f>
        <v>1343.1068135821902</v>
      </c>
      <c r="AC47" s="200">
        <f>('College Work-Study'!AC47*1000)/'College Work-Study'!BI47</f>
        <v>1395.3306196291271</v>
      </c>
      <c r="AD47" s="200">
        <f>('College Work-Study'!AD47*1000)/'College Work-Study'!BJ47</f>
        <v>1469.1892704938582</v>
      </c>
      <c r="AE47" s="200">
        <f>('College Work-Study'!AE47*1000)/'College Work-Study'!BK47</f>
        <v>1487.4823295171727</v>
      </c>
      <c r="AF47" s="200">
        <f>('College Work-Study'!AF47*1000)/'College Work-Study'!BL47</f>
        <v>1464.8612490201201</v>
      </c>
      <c r="AG47" s="200">
        <f>('College Work-Study'!AG47*1000)/'College Work-Study'!BM47</f>
        <v>1517.3673416407062</v>
      </c>
    </row>
    <row r="48" spans="1:33">
      <c r="A48" s="42" t="s">
        <v>166</v>
      </c>
      <c r="B48" s="200"/>
      <c r="C48" s="200"/>
      <c r="D48" s="200"/>
      <c r="E48" s="200"/>
      <c r="F48" s="200"/>
      <c r="G48" s="200"/>
      <c r="H48" s="200"/>
      <c r="I48" s="200"/>
      <c r="J48" s="200"/>
      <c r="K48" s="200"/>
      <c r="L48" s="200"/>
      <c r="M48" s="200"/>
      <c r="N48" s="200"/>
      <c r="O48" s="200"/>
      <c r="P48" s="200">
        <f>('College Work-Study'!P46*1000)/'College Work-Study'!AV46</f>
        <v>1289.2638412865806</v>
      </c>
      <c r="Q48" s="200">
        <f>('College Work-Study'!Q46*1000)/'College Work-Study'!AW46</f>
        <v>1303.3109357997823</v>
      </c>
      <c r="R48" s="200">
        <f>('College Work-Study'!R46*1000)/'College Work-Study'!AX46</f>
        <v>1355.1801343230823</v>
      </c>
      <c r="S48" s="200">
        <f>('College Work-Study'!S46*1000)/'College Work-Study'!AY46</f>
        <v>1443.9806463975472</v>
      </c>
      <c r="T48" s="200">
        <f>('College Work-Study'!T46*1000)/'College Work-Study'!AZ46</f>
        <v>1590.3128302814305</v>
      </c>
      <c r="U48" s="200">
        <f>('College Work-Study'!U46*1000)/'College Work-Study'!BA46</f>
        <v>1515.2477233571253</v>
      </c>
      <c r="V48" s="200">
        <f>('College Work-Study'!V46*1000)/'College Work-Study'!BB46</f>
        <v>1521.4573628967146</v>
      </c>
      <c r="W48" s="200">
        <f>('College Work-Study'!W46*1000)/'College Work-Study'!BC46</f>
        <v>1588.8693033527404</v>
      </c>
      <c r="X48" s="200">
        <f>('College Work-Study'!X46*1000)/'College Work-Study'!BD46</f>
        <v>1603.4132517838939</v>
      </c>
      <c r="Y48" s="200">
        <f>('College Work-Study'!Y46*1000)/'College Work-Study'!BE46</f>
        <v>1724.6486448033008</v>
      </c>
      <c r="Z48" s="200">
        <f>('College Work-Study'!Z46*1000)/'College Work-Study'!BF46</f>
        <v>1812.4975397160129</v>
      </c>
      <c r="AA48" s="200">
        <f>('College Work-Study'!AA48*1000)/'College Work-Study'!BG48</f>
        <v>1352.1015470051566</v>
      </c>
      <c r="AB48" s="200">
        <f>('College Work-Study'!AB48*1000)/'College Work-Study'!BH48</f>
        <v>1293.4535315985131</v>
      </c>
      <c r="AC48" s="200">
        <f>('College Work-Study'!AC48*1000)/'College Work-Study'!BI48</f>
        <v>1267.9401485364788</v>
      </c>
      <c r="AD48" s="200">
        <f>('College Work-Study'!AD48*1000)/'College Work-Study'!BJ48</f>
        <v>1304.4769529354683</v>
      </c>
      <c r="AE48" s="200">
        <f>('College Work-Study'!AE48*1000)/'College Work-Study'!BK48</f>
        <v>1367.5056127221703</v>
      </c>
      <c r="AF48" s="200">
        <f>('College Work-Study'!AF48*1000)/'College Work-Study'!BL48</f>
        <v>1409.8950025239778</v>
      </c>
      <c r="AG48" s="200">
        <f>('College Work-Study'!AG48*1000)/'College Work-Study'!BM48</f>
        <v>1465.163627152989</v>
      </c>
    </row>
    <row r="49" spans="1:33">
      <c r="A49" s="42" t="s">
        <v>167</v>
      </c>
      <c r="B49" s="200"/>
      <c r="C49" s="200"/>
      <c r="D49" s="200"/>
      <c r="E49" s="200"/>
      <c r="F49" s="200"/>
      <c r="G49" s="200"/>
      <c r="H49" s="200"/>
      <c r="I49" s="200"/>
      <c r="J49" s="200"/>
      <c r="K49" s="200"/>
      <c r="L49" s="200"/>
      <c r="M49" s="200"/>
      <c r="N49" s="200"/>
      <c r="O49" s="200"/>
      <c r="P49" s="200">
        <f>('College Work-Study'!P47*1000)/'College Work-Study'!AV47</f>
        <v>1078.5890057551101</v>
      </c>
      <c r="Q49" s="200">
        <f>('College Work-Study'!Q47*1000)/'College Work-Study'!AW47</f>
        <v>1071.1299174822491</v>
      </c>
      <c r="R49" s="200">
        <f>('College Work-Study'!R47*1000)/'College Work-Study'!AX47</f>
        <v>1117.4956052736716</v>
      </c>
      <c r="S49" s="200">
        <f>('College Work-Study'!S47*1000)/'College Work-Study'!AY47</f>
        <v>1051.1533439209459</v>
      </c>
      <c r="T49" s="200">
        <f>('College Work-Study'!T47*1000)/'College Work-Study'!AZ47</f>
        <v>1163.2048012003002</v>
      </c>
      <c r="U49" s="200">
        <f>('College Work-Study'!U47*1000)/'College Work-Study'!BA47</f>
        <v>1170.8526471677158</v>
      </c>
      <c r="V49" s="200">
        <f>('College Work-Study'!V47*1000)/'College Work-Study'!BB47</f>
        <v>1174.6815010371488</v>
      </c>
      <c r="W49" s="200">
        <f>('College Work-Study'!W47*1000)/'College Work-Study'!BC47</f>
        <v>1153.7232142857142</v>
      </c>
      <c r="X49" s="200">
        <f>('College Work-Study'!X47*1000)/'College Work-Study'!BD47</f>
        <v>1167.0608357230644</v>
      </c>
      <c r="Y49" s="200">
        <f>('College Work-Study'!Y47*1000)/'College Work-Study'!BE47</f>
        <v>1217.2541935483871</v>
      </c>
      <c r="Z49" s="200">
        <f>('College Work-Study'!Z47*1000)/'College Work-Study'!BF47</f>
        <v>1275.425307950728</v>
      </c>
      <c r="AA49" s="200">
        <f>('College Work-Study'!AA49*1000)/'College Work-Study'!BG49</f>
        <v>1674.0466771118945</v>
      </c>
      <c r="AB49" s="200">
        <f>('College Work-Study'!AB49*1000)/'College Work-Study'!BH49</f>
        <v>1528.4445963030034</v>
      </c>
      <c r="AC49" s="200">
        <f>('College Work-Study'!AC49*1000)/'College Work-Study'!BI49</f>
        <v>1599.6348034759844</v>
      </c>
      <c r="AD49" s="200">
        <f>('College Work-Study'!AD49*1000)/'College Work-Study'!BJ49</f>
        <v>1631.3993249980824</v>
      </c>
      <c r="AE49" s="200">
        <f>('College Work-Study'!AE49*1000)/'College Work-Study'!BK49</f>
        <v>1563.2297996498735</v>
      </c>
      <c r="AF49" s="200">
        <f>('College Work-Study'!AF49*1000)/'College Work-Study'!BL49</f>
        <v>1639.5744406554104</v>
      </c>
      <c r="AG49" s="200">
        <f>('College Work-Study'!AG49*1000)/'College Work-Study'!BM49</f>
        <v>1649.8737736806495</v>
      </c>
    </row>
    <row r="50" spans="1:33">
      <c r="A50" s="42" t="s">
        <v>171</v>
      </c>
      <c r="B50" s="200"/>
      <c r="C50" s="200"/>
      <c r="D50" s="200"/>
      <c r="E50" s="200"/>
      <c r="F50" s="200"/>
      <c r="G50" s="200"/>
      <c r="H50" s="200"/>
      <c r="I50" s="200"/>
      <c r="J50" s="200"/>
      <c r="K50" s="200"/>
      <c r="L50" s="200"/>
      <c r="M50" s="200"/>
      <c r="N50" s="200"/>
      <c r="O50" s="200"/>
      <c r="P50" s="200">
        <f>('College Work-Study'!P51*1000)/'College Work-Study'!AV51</f>
        <v>975.95715755836</v>
      </c>
      <c r="Q50" s="200">
        <f>('College Work-Study'!Q51*1000)/'College Work-Study'!AW51</f>
        <v>1091.7198052358669</v>
      </c>
      <c r="R50" s="200">
        <f>('College Work-Study'!R51*1000)/'College Work-Study'!AX51</f>
        <v>1135.6094548276531</v>
      </c>
      <c r="S50" s="200">
        <f>('College Work-Study'!S51*1000)/'College Work-Study'!AY51</f>
        <v>1179.5255578218678</v>
      </c>
      <c r="T50" s="200">
        <f>('College Work-Study'!T51*1000)/'College Work-Study'!AZ51</f>
        <v>1243.3449863677674</v>
      </c>
      <c r="U50" s="200">
        <f>('College Work-Study'!U51*1000)/'College Work-Study'!BA51</f>
        <v>1253.6614118865427</v>
      </c>
      <c r="V50" s="200">
        <f>('College Work-Study'!V51*1000)/'College Work-Study'!BB51</f>
        <v>1295.8466686234224</v>
      </c>
      <c r="W50" s="200">
        <f>('College Work-Study'!W51*1000)/'College Work-Study'!BC51</f>
        <v>1305.9645763523217</v>
      </c>
      <c r="X50" s="200">
        <f>('College Work-Study'!X51*1000)/'College Work-Study'!BD51</f>
        <v>1297.8352338841053</v>
      </c>
      <c r="Y50" s="200">
        <f>('College Work-Study'!Y51*1000)/'College Work-Study'!BE51</f>
        <v>1305.5975113808802</v>
      </c>
      <c r="Z50" s="200">
        <f>('College Work-Study'!Z51*1000)/'College Work-Study'!BF51</f>
        <v>1354.2900394123969</v>
      </c>
      <c r="AA50" s="200">
        <f>('College Work-Study'!AA50*1000)/'College Work-Study'!BG50</f>
        <v>1561.0632741881486</v>
      </c>
      <c r="AB50" s="200">
        <f>('College Work-Study'!AB50*1000)/'College Work-Study'!BH50</f>
        <v>1548.1747404844291</v>
      </c>
      <c r="AC50" s="200">
        <f>('College Work-Study'!AC50*1000)/'College Work-Study'!BI50</f>
        <v>1519.6635318704284</v>
      </c>
      <c r="AD50" s="200">
        <f>('College Work-Study'!AD50*1000)/'College Work-Study'!BJ50</f>
        <v>1501.3282032927702</v>
      </c>
      <c r="AE50" s="200">
        <f>('College Work-Study'!AE50*1000)/'College Work-Study'!BK50</f>
        <v>1552.2551094890512</v>
      </c>
      <c r="AF50" s="200">
        <f>('College Work-Study'!AF50*1000)/'College Work-Study'!BL50</f>
        <v>1606.5270841336919</v>
      </c>
      <c r="AG50" s="200">
        <f>('College Work-Study'!AG50*1000)/'College Work-Study'!BM50</f>
        <v>1643.3304419661297</v>
      </c>
    </row>
    <row r="51" spans="1:33">
      <c r="A51" s="42" t="s">
        <v>175</v>
      </c>
      <c r="B51" s="200"/>
      <c r="C51" s="200"/>
      <c r="D51" s="200"/>
      <c r="E51" s="200"/>
      <c r="F51" s="200"/>
      <c r="G51" s="200"/>
      <c r="H51" s="200"/>
      <c r="I51" s="200"/>
      <c r="J51" s="200"/>
      <c r="K51" s="200"/>
      <c r="L51" s="200"/>
      <c r="M51" s="200"/>
      <c r="N51" s="200"/>
      <c r="O51" s="200"/>
      <c r="P51" s="200">
        <f>('College Work-Study'!P55*1000)/'College Work-Study'!AV55</f>
        <v>1174.7978964185861</v>
      </c>
      <c r="Q51" s="200">
        <f>('College Work-Study'!Q55*1000)/'College Work-Study'!AW55</f>
        <v>1184.3433338006448</v>
      </c>
      <c r="R51" s="200">
        <f>('College Work-Study'!R55*1000)/'College Work-Study'!AX55</f>
        <v>1272.9523739309939</v>
      </c>
      <c r="S51" s="200">
        <f>('College Work-Study'!S55*1000)/'College Work-Study'!AY55</f>
        <v>1324.1432487016734</v>
      </c>
      <c r="T51" s="200">
        <f>('College Work-Study'!T55*1000)/'College Work-Study'!AZ55</f>
        <v>1380.8938580799047</v>
      </c>
      <c r="U51" s="200">
        <f>('College Work-Study'!U55*1000)/'College Work-Study'!BA55</f>
        <v>1374.2306914970407</v>
      </c>
      <c r="V51" s="200">
        <f>('College Work-Study'!V55*1000)/'College Work-Study'!BB55</f>
        <v>1364.7629522431259</v>
      </c>
      <c r="W51" s="200">
        <f>('College Work-Study'!W55*1000)/'College Work-Study'!BC55</f>
        <v>1480.5547391623807</v>
      </c>
      <c r="X51" s="200">
        <f>('College Work-Study'!X55*1000)/'College Work-Study'!BD55</f>
        <v>1482.7733975323504</v>
      </c>
      <c r="Y51" s="200">
        <f>('College Work-Study'!Y55*1000)/'College Work-Study'!BE55</f>
        <v>1562.1328798185941</v>
      </c>
      <c r="Z51" s="200">
        <f>('College Work-Study'!Z55*1000)/'College Work-Study'!BF55</f>
        <v>1505.2123717217787</v>
      </c>
      <c r="AA51" s="200">
        <f>('College Work-Study'!AA51*1000)/'College Work-Study'!BG51</f>
        <v>1433.1322928490351</v>
      </c>
      <c r="AB51" s="200">
        <f>('College Work-Study'!AB51*1000)/'College Work-Study'!BH51</f>
        <v>1414.5218214142342</v>
      </c>
      <c r="AC51" s="200">
        <f>('College Work-Study'!AC51*1000)/'College Work-Study'!BI51</f>
        <v>1419.2569899208474</v>
      </c>
      <c r="AD51" s="200">
        <f>('College Work-Study'!AD51*1000)/'College Work-Study'!BJ51</f>
        <v>1407.8473804100229</v>
      </c>
      <c r="AE51" s="200">
        <f>('College Work-Study'!AE51*1000)/'College Work-Study'!BK51</f>
        <v>1412.2132387706856</v>
      </c>
      <c r="AF51" s="200">
        <f>('College Work-Study'!AF51*1000)/'College Work-Study'!BL51</f>
        <v>1406.4379414732593</v>
      </c>
      <c r="AG51" s="200">
        <f>('College Work-Study'!AG51*1000)/'College Work-Study'!BM51</f>
        <v>1415.0905754358369</v>
      </c>
    </row>
    <row r="52" spans="1:33">
      <c r="A52" s="150" t="s">
        <v>219</v>
      </c>
      <c r="B52" s="202"/>
      <c r="C52" s="202"/>
      <c r="D52" s="202"/>
      <c r="E52" s="202"/>
      <c r="F52" s="202"/>
      <c r="G52" s="202"/>
      <c r="H52" s="202"/>
      <c r="I52" s="202"/>
      <c r="J52" s="202"/>
      <c r="K52" s="202"/>
      <c r="L52" s="202"/>
      <c r="M52" s="202"/>
      <c r="N52" s="202"/>
      <c r="O52" s="202"/>
      <c r="P52" s="202">
        <f>('College Work-Study'!P52*1000)/'College Work-Study'!AV52</f>
        <v>1181.4222311426092</v>
      </c>
      <c r="Q52" s="202">
        <f>('College Work-Study'!Q52*1000)/'College Work-Study'!AW52</f>
        <v>1193.6234740690716</v>
      </c>
      <c r="R52" s="202">
        <f>('College Work-Study'!R52*1000)/'College Work-Study'!AX52</f>
        <v>810.91417074227695</v>
      </c>
      <c r="S52" s="202">
        <f>('College Work-Study'!S52*1000)/'College Work-Study'!AY52</f>
        <v>1338.6190896505589</v>
      </c>
      <c r="T52" s="202">
        <f>('College Work-Study'!T52*1000)/'College Work-Study'!AZ52</f>
        <v>1376.9127270269053</v>
      </c>
      <c r="U52" s="202">
        <f>('College Work-Study'!U52*1000)/'College Work-Study'!BA52</f>
        <v>1375.8321328877707</v>
      </c>
      <c r="V52" s="202">
        <f>('College Work-Study'!V52*1000)/'College Work-Study'!BB52</f>
        <v>1133.0026737065525</v>
      </c>
      <c r="W52" s="202">
        <f>('College Work-Study'!W52*1000)/'College Work-Study'!BC52</f>
        <v>1388.3351238648884</v>
      </c>
      <c r="X52" s="202">
        <f>('College Work-Study'!X52*1000)/'College Work-Study'!BD52</f>
        <v>1417.0695085712075</v>
      </c>
      <c r="Y52" s="202">
        <f>('College Work-Study'!Y52*1000)/'College Work-Study'!BE52</f>
        <v>1354.4627508067279</v>
      </c>
      <c r="Z52" s="202">
        <f>('College Work-Study'!Z52*1000)/'College Work-Study'!BF52</f>
        <v>1498.0992128510932</v>
      </c>
      <c r="AA52" s="202">
        <f>('College Work-Study'!AA52*1000)/'College Work-Study'!BG52</f>
        <v>1517.776730305457</v>
      </c>
      <c r="AB52" s="202">
        <f>('College Work-Study'!AB52*1000)/'College Work-Study'!BH52</f>
        <v>1479.2701427208706</v>
      </c>
      <c r="AC52" s="202">
        <f>('College Work-Study'!AC52*1000)/'College Work-Study'!BI52</f>
        <v>1459.5627964271873</v>
      </c>
      <c r="AD52" s="202">
        <f>('College Work-Study'!AD52*1000)/'College Work-Study'!BJ52</f>
        <v>1457.3817614375221</v>
      </c>
      <c r="AE52" s="202">
        <f>('College Work-Study'!AE52*1000)/'College Work-Study'!BK52</f>
        <v>1455.5233578096677</v>
      </c>
      <c r="AF52" s="202">
        <f>('College Work-Study'!AF52*1000)/'College Work-Study'!BL52</f>
        <v>1485.9838097787922</v>
      </c>
      <c r="AG52" s="202">
        <f>('College Work-Study'!AG52*1000)/'College Work-Study'!BM52</f>
        <v>1547.5684160162982</v>
      </c>
    </row>
    <row r="53" spans="1:33" s="151" customFormat="1">
      <c r="A53" s="173" t="s">
        <v>215</v>
      </c>
      <c r="B53" s="197"/>
      <c r="C53" s="197"/>
      <c r="D53" s="197"/>
      <c r="E53" s="197"/>
      <c r="F53" s="197"/>
      <c r="G53" s="197"/>
      <c r="H53" s="197"/>
      <c r="I53" s="197"/>
      <c r="J53" s="197"/>
      <c r="K53" s="197"/>
      <c r="L53" s="197"/>
      <c r="M53" s="197"/>
      <c r="N53" s="197"/>
      <c r="O53" s="197"/>
      <c r="P53" s="197">
        <f t="shared" ref="P53:AA53" si="15">(P52/P4)*100</f>
        <v>94.513618263372123</v>
      </c>
      <c r="Q53" s="197">
        <f t="shared" si="15"/>
        <v>93.850908135980291</v>
      </c>
      <c r="R53" s="197">
        <f t="shared" si="15"/>
        <v>71.05076148680773</v>
      </c>
      <c r="S53" s="197">
        <f t="shared" si="15"/>
        <v>95.18215995668568</v>
      </c>
      <c r="T53" s="197">
        <f t="shared" si="15"/>
        <v>94.292549776300802</v>
      </c>
      <c r="U53" s="197">
        <f t="shared" si="15"/>
        <v>94.085066659720326</v>
      </c>
      <c r="V53" s="197">
        <f t="shared" si="15"/>
        <v>84.278335284296389</v>
      </c>
      <c r="W53" s="197">
        <f t="shared" si="15"/>
        <v>93.101283891619246</v>
      </c>
      <c r="X53" s="197">
        <f t="shared" si="15"/>
        <v>93.557896847276865</v>
      </c>
      <c r="Y53" s="197">
        <f t="shared" si="15"/>
        <v>88.165828212144007</v>
      </c>
      <c r="Z53" s="197">
        <f t="shared" si="15"/>
        <v>90.640226064365336</v>
      </c>
      <c r="AA53" s="197">
        <f t="shared" si="15"/>
        <v>88.673280119742898</v>
      </c>
      <c r="AB53" s="197">
        <f t="shared" ref="AB53" si="16">(AB52/AB4)*100</f>
        <v>88.125801897073359</v>
      </c>
      <c r="AC53" s="197">
        <f t="shared" ref="AC53:AD53" si="17">(AC52/AC4)*100</f>
        <v>86.831620169902692</v>
      </c>
      <c r="AD53" s="197">
        <f t="shared" si="17"/>
        <v>86.282417475447431</v>
      </c>
      <c r="AE53" s="197">
        <f t="shared" ref="AE53:AF53" si="18">(AE52/AE4)*100</f>
        <v>86.488574267349108</v>
      </c>
      <c r="AF53" s="197">
        <f t="shared" si="18"/>
        <v>87.316379445529336</v>
      </c>
      <c r="AG53" s="197">
        <f t="shared" ref="AG53" si="19">(AG52/AG4)*100</f>
        <v>88.874047853518135</v>
      </c>
    </row>
    <row r="54" spans="1:33">
      <c r="A54" s="42" t="s">
        <v>146</v>
      </c>
      <c r="B54" s="200"/>
      <c r="C54" s="200"/>
      <c r="D54" s="200"/>
      <c r="E54" s="200"/>
      <c r="F54" s="200"/>
      <c r="G54" s="200"/>
      <c r="H54" s="200"/>
      <c r="I54" s="200"/>
      <c r="J54" s="200"/>
      <c r="K54" s="200"/>
      <c r="L54" s="200"/>
      <c r="M54" s="200"/>
      <c r="N54" s="200"/>
      <c r="O54" s="200"/>
      <c r="P54" s="200">
        <f>('College Work-Study'!P27*1000)/'College Work-Study'!AV27</f>
        <v>1629.7911140365311</v>
      </c>
      <c r="Q54" s="200">
        <f>('College Work-Study'!Q27*1000)/'College Work-Study'!AW27</f>
        <v>1654.3372871628085</v>
      </c>
      <c r="R54" s="200">
        <f>('College Work-Study'!R27*1000)/'College Work-Study'!AX27</f>
        <v>1724.2298957947462</v>
      </c>
      <c r="S54" s="200">
        <f>('College Work-Study'!S27*1000)/'College Work-Study'!AY27</f>
        <v>1827.2960119912791</v>
      </c>
      <c r="T54" s="200">
        <f>('College Work-Study'!T27*1000)/'College Work-Study'!AZ27</f>
        <v>1970.3727364647486</v>
      </c>
      <c r="U54" s="200">
        <f>('College Work-Study'!U27*1000)/'College Work-Study'!BA27</f>
        <v>1866.0943407268683</v>
      </c>
      <c r="V54" s="200">
        <f>('College Work-Study'!V27*1000)/'College Work-Study'!BB27</f>
        <v>1936.9774418161007</v>
      </c>
      <c r="W54" s="200">
        <f>('College Work-Study'!W27*1000)/'College Work-Study'!BC27</f>
        <v>1942.6296569713077</v>
      </c>
      <c r="X54" s="200">
        <f>('College Work-Study'!X27*1000)/'College Work-Study'!BD27</f>
        <v>1967.9985618007593</v>
      </c>
      <c r="Y54" s="200">
        <f>('College Work-Study'!Y27*1000)/'College Work-Study'!BE27</f>
        <v>2011.3404766810906</v>
      </c>
      <c r="Z54" s="200">
        <f>('College Work-Study'!Z27*1000)/'College Work-Study'!BF27</f>
        <v>2084.6595611391417</v>
      </c>
      <c r="AA54" s="200">
        <f>('College Work-Study'!AA54*1000)/'College Work-Study'!BG54</f>
        <v>1518.7595373565898</v>
      </c>
      <c r="AB54" s="200">
        <f>('College Work-Study'!AB54*1000)/'College Work-Study'!BH54</f>
        <v>1506.23093385214</v>
      </c>
      <c r="AC54" s="200">
        <f>('College Work-Study'!AC54*1000)/'College Work-Study'!BI54</f>
        <v>1540.7609909635496</v>
      </c>
      <c r="AD54" s="200">
        <f>('College Work-Study'!AD54*1000)/'College Work-Study'!BJ54</f>
        <v>1555.3526292532038</v>
      </c>
      <c r="AE54" s="200">
        <f>('College Work-Study'!AE54*1000)/'College Work-Study'!BK54</f>
        <v>1617.5027229819677</v>
      </c>
      <c r="AF54" s="200">
        <f>('College Work-Study'!AF54*1000)/'College Work-Study'!BL54</f>
        <v>1615.0749677872789</v>
      </c>
      <c r="AG54" s="200">
        <f>('College Work-Study'!AG54*1000)/'College Work-Study'!BM54</f>
        <v>1638.9945146673026</v>
      </c>
    </row>
    <row r="55" spans="1:33">
      <c r="A55" s="42" t="s">
        <v>154</v>
      </c>
      <c r="B55" s="200"/>
      <c r="C55" s="200"/>
      <c r="D55" s="200"/>
      <c r="E55" s="200"/>
      <c r="F55" s="200"/>
      <c r="G55" s="200"/>
      <c r="H55" s="200"/>
      <c r="I55" s="200"/>
      <c r="J55" s="200"/>
      <c r="K55" s="200"/>
      <c r="L55" s="200"/>
      <c r="M55" s="200"/>
      <c r="N55" s="200"/>
      <c r="O55" s="200"/>
      <c r="P55" s="200">
        <f>('College Work-Study'!P34*1000)/'College Work-Study'!AV34</f>
        <v>1180.1933862433862</v>
      </c>
      <c r="Q55" s="200">
        <f>('College Work-Study'!Q34*1000)/'College Work-Study'!AW34</f>
        <v>1235.1697781885398</v>
      </c>
      <c r="R55" s="200">
        <f>('College Work-Study'!R34*1000)/'College Work-Study'!AX34</f>
        <v>1265.175997138258</v>
      </c>
      <c r="S55" s="200">
        <f>('College Work-Study'!S34*1000)/'College Work-Study'!AY34</f>
        <v>1290.0592713431213</v>
      </c>
      <c r="T55" s="200">
        <f>('College Work-Study'!T34*1000)/'College Work-Study'!AZ34</f>
        <v>1333.4466723549488</v>
      </c>
      <c r="U55" s="200">
        <f>('College Work-Study'!U34*1000)/'College Work-Study'!BA34</f>
        <v>1337.2728789521982</v>
      </c>
      <c r="V55" s="200">
        <f>('College Work-Study'!V34*1000)/'College Work-Study'!BB34</f>
        <v>1346.6418288107495</v>
      </c>
      <c r="W55" s="200">
        <f>('College Work-Study'!W34*1000)/'College Work-Study'!BC34</f>
        <v>1322.0042406573018</v>
      </c>
      <c r="X55" s="200">
        <f>('College Work-Study'!X34*1000)/'College Work-Study'!BD34</f>
        <v>1305.9770726179061</v>
      </c>
      <c r="Y55" s="200">
        <f>('College Work-Study'!Y34*1000)/'College Work-Study'!BE34</f>
        <v>1325.7940785391365</v>
      </c>
      <c r="Z55" s="200">
        <f>('College Work-Study'!Z34*1000)/'College Work-Study'!BF34</f>
        <v>1375.3196845905377</v>
      </c>
      <c r="AA55" s="200">
        <f>('College Work-Study'!AA55*1000)/'College Work-Study'!BG55</f>
        <v>1518.7410649161195</v>
      </c>
      <c r="AB55" s="200">
        <f>('College Work-Study'!AB55*1000)/'College Work-Study'!BH55</f>
        <v>1518.6263194933147</v>
      </c>
      <c r="AC55" s="200">
        <f>('College Work-Study'!AC55*1000)/'College Work-Study'!BI55</f>
        <v>1545.1403118040089</v>
      </c>
      <c r="AD55" s="200">
        <f>('College Work-Study'!AD55*1000)/'College Work-Study'!BJ55</f>
        <v>1533.3582430119795</v>
      </c>
      <c r="AE55" s="200">
        <f>('College Work-Study'!AE55*1000)/'College Work-Study'!BK55</f>
        <v>1517.5186318131257</v>
      </c>
      <c r="AF55" s="200">
        <f>('College Work-Study'!AF55*1000)/'College Work-Study'!BL55</f>
        <v>1519.7050206229555</v>
      </c>
      <c r="AG55" s="200">
        <f>('College Work-Study'!AG55*1000)/'College Work-Study'!BM55</f>
        <v>1539.151671688908</v>
      </c>
    </row>
    <row r="56" spans="1:33">
      <c r="A56" s="42" t="s">
        <v>155</v>
      </c>
      <c r="B56" s="200"/>
      <c r="C56" s="200"/>
      <c r="D56" s="200"/>
      <c r="E56" s="200"/>
      <c r="F56" s="200"/>
      <c r="G56" s="200"/>
      <c r="H56" s="200"/>
      <c r="I56" s="200"/>
      <c r="J56" s="200"/>
      <c r="K56" s="200"/>
      <c r="L56" s="200"/>
      <c r="M56" s="200"/>
      <c r="N56" s="200"/>
      <c r="O56" s="200"/>
      <c r="P56" s="200">
        <f>('College Work-Study'!P35*1000)/'College Work-Study'!AV35</f>
        <v>1805.7770700636943</v>
      </c>
      <c r="Q56" s="200">
        <f>('College Work-Study'!Q35*1000)/'College Work-Study'!AW35</f>
        <v>1958.2044917257683</v>
      </c>
      <c r="R56" s="200">
        <f>('College Work-Study'!R35*1000)/'College Work-Study'!AX35</f>
        <v>1943.9339152119701</v>
      </c>
      <c r="S56" s="200">
        <f>('College Work-Study'!S35*1000)/'College Work-Study'!AY35</f>
        <v>2098.9801299197557</v>
      </c>
      <c r="T56" s="200">
        <f>('College Work-Study'!T35*1000)/'College Work-Study'!AZ35</f>
        <v>2217.6651315789472</v>
      </c>
      <c r="U56" s="200">
        <f>('College Work-Study'!U35*1000)/'College Work-Study'!BA35</f>
        <v>2303.1467194197166</v>
      </c>
      <c r="V56" s="200">
        <f>('College Work-Study'!V35*1000)/'College Work-Study'!BB35</f>
        <v>2224.326426630435</v>
      </c>
      <c r="W56" s="200">
        <f>('College Work-Study'!W35*1000)/'College Work-Study'!BC35</f>
        <v>2252.1144067796608</v>
      </c>
      <c r="X56" s="200">
        <f>('College Work-Study'!X35*1000)/'College Work-Study'!BD35</f>
        <v>2328.8923198733173</v>
      </c>
      <c r="Y56" s="200">
        <f>('College Work-Study'!Y35*1000)/'College Work-Study'!BE35</f>
        <v>2317.281463610776</v>
      </c>
      <c r="Z56" s="200">
        <f>('College Work-Study'!Z35*1000)/'College Work-Study'!BF35</f>
        <v>2405.2032946462</v>
      </c>
      <c r="AA56" s="200">
        <f>('College Work-Study'!AA56*1000)/'College Work-Study'!BG56</f>
        <v>1518.9083918832605</v>
      </c>
      <c r="AB56" s="200">
        <f>('College Work-Study'!AB56*1000)/'College Work-Study'!BH56</f>
        <v>1466.5035721276179</v>
      </c>
      <c r="AC56" s="200">
        <f>('College Work-Study'!AC56*1000)/'College Work-Study'!BI56</f>
        <v>1399.3821642378421</v>
      </c>
      <c r="AD56" s="200">
        <f>('College Work-Study'!AD56*1000)/'College Work-Study'!BJ56</f>
        <v>1436.0124937027708</v>
      </c>
      <c r="AE56" s="200">
        <f>('College Work-Study'!AE56*1000)/'College Work-Study'!BK56</f>
        <v>1447.2013204724815</v>
      </c>
      <c r="AF56" s="200">
        <f>('College Work-Study'!AF56*1000)/'College Work-Study'!BL56</f>
        <v>1420.1736072552285</v>
      </c>
      <c r="AG56" s="200">
        <f>('College Work-Study'!AG56*1000)/'College Work-Study'!BM56</f>
        <v>1529.425261707989</v>
      </c>
    </row>
    <row r="57" spans="1:33">
      <c r="A57" s="42" t="s">
        <v>162</v>
      </c>
      <c r="B57" s="200"/>
      <c r="C57" s="200"/>
      <c r="D57" s="200"/>
      <c r="E57" s="200"/>
      <c r="F57" s="200"/>
      <c r="G57" s="200"/>
      <c r="H57" s="200"/>
      <c r="I57" s="200"/>
      <c r="J57" s="200"/>
      <c r="K57" s="200"/>
      <c r="L57" s="200"/>
      <c r="M57" s="200"/>
      <c r="N57" s="200"/>
      <c r="O57" s="200"/>
      <c r="P57" s="200">
        <f>('College Work-Study'!P42*1000)/'College Work-Study'!AV42</f>
        <v>1003.6284188171697</v>
      </c>
      <c r="Q57" s="200">
        <f>('College Work-Study'!Q42*1000)/'College Work-Study'!AW42</f>
        <v>1033.5166443850267</v>
      </c>
      <c r="R57" s="200">
        <f>('College Work-Study'!R42*1000)/'College Work-Study'!AX42</f>
        <v>1064.2927949544114</v>
      </c>
      <c r="S57" s="200">
        <f>('College Work-Study'!S42*1000)/'College Work-Study'!AY42</f>
        <v>1154.1498792349371</v>
      </c>
      <c r="T57" s="200">
        <f>('College Work-Study'!T42*1000)/'College Work-Study'!AZ42</f>
        <v>1198.1958481462671</v>
      </c>
      <c r="U57" s="200">
        <f>('College Work-Study'!U42*1000)/'College Work-Study'!BA42</f>
        <v>1160.9475811544778</v>
      </c>
      <c r="V57" s="200">
        <f>('College Work-Study'!V42*1000)/'College Work-Study'!BB42</f>
        <v>1141.6395255451905</v>
      </c>
      <c r="W57" s="200">
        <f>('College Work-Study'!W42*1000)/'College Work-Study'!BC42</f>
        <v>1092.2620162194237</v>
      </c>
      <c r="X57" s="200">
        <f>('College Work-Study'!X42*1000)/'College Work-Study'!BD42</f>
        <v>1126.7610725720385</v>
      </c>
      <c r="Y57" s="200">
        <f>('College Work-Study'!Y42*1000)/'College Work-Study'!BE42</f>
        <v>1191.3703160421389</v>
      </c>
      <c r="Z57" s="200">
        <f>('College Work-Study'!Z42*1000)/'College Work-Study'!BF42</f>
        <v>1180.0442920809051</v>
      </c>
      <c r="AA57" s="200">
        <f>('College Work-Study'!AA57*1000)/'College Work-Study'!BG57</f>
        <v>1199.4500478338116</v>
      </c>
      <c r="AB57" s="200">
        <f>('College Work-Study'!AB57*1000)/'College Work-Study'!BH57</f>
        <v>1224.7804608803642</v>
      </c>
      <c r="AC57" s="200">
        <f>('College Work-Study'!AC57*1000)/'College Work-Study'!BI57</f>
        <v>1223.8990446313987</v>
      </c>
      <c r="AD57" s="200">
        <f>('College Work-Study'!AD57*1000)/'College Work-Study'!BJ57</f>
        <v>1245.6689604685212</v>
      </c>
      <c r="AE57" s="200">
        <f>('College Work-Study'!AE57*1000)/'College Work-Study'!BK57</f>
        <v>1209.8928782505909</v>
      </c>
      <c r="AF57" s="200">
        <f>('College Work-Study'!AF57*1000)/'College Work-Study'!BL57</f>
        <v>1217.0198579270261</v>
      </c>
      <c r="AG57" s="200">
        <f>('College Work-Study'!AG57*1000)/'College Work-Study'!BM57</f>
        <v>1203.0642983443176</v>
      </c>
    </row>
    <row r="58" spans="1:33">
      <c r="A58" s="42" t="s">
        <v>163</v>
      </c>
      <c r="B58" s="200"/>
      <c r="C58" s="200"/>
      <c r="D58" s="200"/>
      <c r="E58" s="200"/>
      <c r="F58" s="200"/>
      <c r="G58" s="200"/>
      <c r="H58" s="200"/>
      <c r="I58" s="200"/>
      <c r="J58" s="200"/>
      <c r="K58" s="200"/>
      <c r="L58" s="200"/>
      <c r="M58" s="200"/>
      <c r="N58" s="200"/>
      <c r="O58" s="200"/>
      <c r="P58" s="200">
        <f>('College Work-Study'!P43*1000)/'College Work-Study'!AV43</f>
        <v>1133.6220242053464</v>
      </c>
      <c r="Q58" s="200">
        <f>('College Work-Study'!Q43*1000)/'College Work-Study'!AW43</f>
        <v>1086.4640338504937</v>
      </c>
      <c r="R58" s="200">
        <f>('College Work-Study'!R43*1000)/'College Work-Study'!AX43</f>
        <v>1156.9543902772089</v>
      </c>
      <c r="S58" s="200">
        <f>('College Work-Study'!S43*1000)/'College Work-Study'!AY43</f>
        <v>1151.75217333155</v>
      </c>
      <c r="T58" s="200">
        <f>('College Work-Study'!T43*1000)/'College Work-Study'!AZ43</f>
        <v>1164.1572890025575</v>
      </c>
      <c r="U58" s="200">
        <f>('College Work-Study'!U43*1000)/'College Work-Study'!BA43</f>
        <v>1159.230853692012</v>
      </c>
      <c r="V58" s="200">
        <f>('College Work-Study'!V43*1000)/'College Work-Study'!BB43</f>
        <v>1193.8741002117149</v>
      </c>
      <c r="W58" s="200">
        <f>('College Work-Study'!W43*1000)/'College Work-Study'!BC43</f>
        <v>1219.4362425821391</v>
      </c>
      <c r="X58" s="200">
        <f>('College Work-Study'!X43*1000)/'College Work-Study'!BD43</f>
        <v>1236.559704732957</v>
      </c>
      <c r="Y58" s="200">
        <f>('College Work-Study'!Y43*1000)/'College Work-Study'!BE43</f>
        <v>1339.47976011994</v>
      </c>
      <c r="Z58" s="200">
        <f>('College Work-Study'!Z43*1000)/'College Work-Study'!BF43</f>
        <v>1423.3905401086608</v>
      </c>
      <c r="AA58" s="200">
        <f>('College Work-Study'!AA58*1000)/'College Work-Study'!BG58</f>
        <v>1587.7082411318984</v>
      </c>
      <c r="AB58" s="200">
        <f>('College Work-Study'!AB58*1000)/'College Work-Study'!BH58</f>
        <v>1544.3312237738185</v>
      </c>
      <c r="AC58" s="200">
        <f>('College Work-Study'!AC58*1000)/'College Work-Study'!BI58</f>
        <v>1543.0075258027523</v>
      </c>
      <c r="AD58" s="200">
        <f>('College Work-Study'!AD58*1000)/'College Work-Study'!BJ58</f>
        <v>1532.9527588252745</v>
      </c>
      <c r="AE58" s="200">
        <f>('College Work-Study'!AE58*1000)/'College Work-Study'!BK58</f>
        <v>1520.6410489616492</v>
      </c>
      <c r="AF58" s="200">
        <f>('College Work-Study'!AF58*1000)/'College Work-Study'!BL58</f>
        <v>1592.7009367321866</v>
      </c>
      <c r="AG58" s="200">
        <f>('College Work-Study'!AG58*1000)/'College Work-Study'!BM58</f>
        <v>1738.2349306930694</v>
      </c>
    </row>
    <row r="59" spans="1:33">
      <c r="A59" s="42" t="s">
        <v>165</v>
      </c>
      <c r="B59" s="200"/>
      <c r="C59" s="200"/>
      <c r="D59" s="200"/>
      <c r="E59" s="200"/>
      <c r="F59" s="200"/>
      <c r="G59" s="200"/>
      <c r="H59" s="200"/>
      <c r="I59" s="200"/>
      <c r="J59" s="200"/>
      <c r="K59" s="200"/>
      <c r="L59" s="200"/>
      <c r="M59" s="200"/>
      <c r="N59" s="200"/>
      <c r="O59" s="200"/>
      <c r="P59" s="200">
        <f>('College Work-Study'!P45*1000)/'College Work-Study'!AV45</f>
        <v>1046.0748916042569</v>
      </c>
      <c r="Q59" s="200">
        <f>('College Work-Study'!Q45*1000)/'College Work-Study'!AW45</f>
        <v>1261.3806751230331</v>
      </c>
      <c r="R59" s="200">
        <f>('College Work-Study'!R45*1000)/'College Work-Study'!AX45</f>
        <v>1338.5188141391106</v>
      </c>
      <c r="S59" s="200">
        <f>('College Work-Study'!S45*1000)/'College Work-Study'!AY45</f>
        <v>1451.96023884791</v>
      </c>
      <c r="T59" s="200">
        <f>('College Work-Study'!T45*1000)/'College Work-Study'!AZ45</f>
        <v>1444.5234891740629</v>
      </c>
      <c r="U59" s="200">
        <f>('College Work-Study'!U45*1000)/'College Work-Study'!BA45</f>
        <v>1475.7946538824726</v>
      </c>
      <c r="V59" s="200">
        <f>('College Work-Study'!V45*1000)/'College Work-Study'!BB45</f>
        <v>1535.1213674013759</v>
      </c>
      <c r="W59" s="200">
        <f>('College Work-Study'!W45*1000)/'College Work-Study'!BC45</f>
        <v>1553.3310835329123</v>
      </c>
      <c r="X59" s="200">
        <f>('College Work-Study'!X45*1000)/'College Work-Study'!BD45</f>
        <v>1532.2558544903372</v>
      </c>
      <c r="Y59" s="200">
        <f>('College Work-Study'!Y45*1000)/'College Work-Study'!BE45</f>
        <v>1576.6144923485431</v>
      </c>
      <c r="Z59" s="200">
        <f>('College Work-Study'!Z45*1000)/'College Work-Study'!BF45</f>
        <v>1613.3239124212937</v>
      </c>
      <c r="AA59" s="200">
        <f>('College Work-Study'!AA59*1000)/'College Work-Study'!BG59</f>
        <v>1591.2079881932164</v>
      </c>
      <c r="AB59" s="200">
        <f>('College Work-Study'!AB59*1000)/'College Work-Study'!BH59</f>
        <v>1545.4013316698761</v>
      </c>
      <c r="AC59" s="200">
        <f>('College Work-Study'!AC59*1000)/'College Work-Study'!BI59</f>
        <v>1523.0396463750717</v>
      </c>
      <c r="AD59" s="200">
        <f>('College Work-Study'!AD59*1000)/'College Work-Study'!BJ59</f>
        <v>1519.1336537650729</v>
      </c>
      <c r="AE59" s="200">
        <f>('College Work-Study'!AE59*1000)/'College Work-Study'!BK59</f>
        <v>1537.4420373593903</v>
      </c>
      <c r="AF59" s="200">
        <f>('College Work-Study'!AF59*1000)/'College Work-Study'!BL59</f>
        <v>1639.5539245667685</v>
      </c>
      <c r="AG59" s="200">
        <f>('College Work-Study'!AG59*1000)/'College Work-Study'!BM59</f>
        <v>1677.2378156728048</v>
      </c>
    </row>
    <row r="60" spans="1:33">
      <c r="A60" s="42" t="s">
        <v>169</v>
      </c>
      <c r="B60" s="200"/>
      <c r="C60" s="200"/>
      <c r="D60" s="200"/>
      <c r="E60" s="200"/>
      <c r="F60" s="200"/>
      <c r="G60" s="200"/>
      <c r="H60" s="200"/>
      <c r="I60" s="200"/>
      <c r="J60" s="200"/>
      <c r="K60" s="200"/>
      <c r="L60" s="200"/>
      <c r="M60" s="200"/>
      <c r="N60" s="200"/>
      <c r="O60" s="200"/>
      <c r="P60" s="200">
        <f>('College Work-Study'!P49*1000)/'College Work-Study'!AV49</f>
        <v>1208.2455778693975</v>
      </c>
      <c r="Q60" s="200">
        <f>('College Work-Study'!Q49*1000)/'College Work-Study'!AW49</f>
        <v>1219.3392648172369</v>
      </c>
      <c r="R60" s="200">
        <f>('College Work-Study'!R49*1000)/'College Work-Study'!AX49</f>
        <v>1249.5403415482156</v>
      </c>
      <c r="S60" s="200">
        <f>('College Work-Study'!S49*1000)/'College Work-Study'!AY49</f>
        <v>1332.3810446188875</v>
      </c>
      <c r="T60" s="200">
        <f>('College Work-Study'!T49*1000)/'College Work-Study'!AZ49</f>
        <v>1381.4321227621483</v>
      </c>
      <c r="U60" s="200">
        <f>('College Work-Study'!U49*1000)/'College Work-Study'!BA49</f>
        <v>1402.1847902432794</v>
      </c>
      <c r="V60" s="200">
        <f>('College Work-Study'!V49*1000)/'College Work-Study'!BB49</f>
        <v>794.99292902839613</v>
      </c>
      <c r="W60" s="200">
        <f>('College Work-Study'!W49*1000)/'College Work-Study'!BC49</f>
        <v>1461.5660670289244</v>
      </c>
      <c r="X60" s="200">
        <f>('College Work-Study'!X49*1000)/'College Work-Study'!BD49</f>
        <v>1486.8639389736477</v>
      </c>
      <c r="Y60" s="200">
        <f>('College Work-Study'!Y49*1000)/'College Work-Study'!BE49</f>
        <v>1528.758998045834</v>
      </c>
      <c r="Z60" s="200">
        <f>('College Work-Study'!Z49*1000)/'College Work-Study'!BF49</f>
        <v>1580.3054860582326</v>
      </c>
      <c r="AA60" s="200">
        <f>('College Work-Study'!AA60*1000)/'College Work-Study'!BG60</f>
        <v>1470.6834045652299</v>
      </c>
      <c r="AB60" s="200">
        <f>('College Work-Study'!AB60*1000)/'College Work-Study'!BH60</f>
        <v>1416.6162346679009</v>
      </c>
      <c r="AC60" s="200">
        <f>('College Work-Study'!AC60*1000)/'College Work-Study'!BI60</f>
        <v>1398.5469030742197</v>
      </c>
      <c r="AD60" s="200">
        <f>('College Work-Study'!AD60*1000)/'College Work-Study'!BJ60</f>
        <v>1380.3528863336182</v>
      </c>
      <c r="AE60" s="200">
        <f>('College Work-Study'!AE60*1000)/'College Work-Study'!BK60</f>
        <v>1337.9755438561638</v>
      </c>
      <c r="AF60" s="200">
        <f>('College Work-Study'!AF60*1000)/'College Work-Study'!BL60</f>
        <v>1320.0120389292435</v>
      </c>
      <c r="AG60" s="200">
        <f>('College Work-Study'!AG60*1000)/'College Work-Study'!BM60</f>
        <v>1378.3832820982407</v>
      </c>
    </row>
    <row r="61" spans="1:33">
      <c r="A61" s="42" t="s">
        <v>170</v>
      </c>
      <c r="B61" s="200"/>
      <c r="C61" s="200"/>
      <c r="D61" s="200"/>
      <c r="E61" s="200"/>
      <c r="F61" s="200"/>
      <c r="G61" s="200"/>
      <c r="H61" s="200"/>
      <c r="I61" s="200"/>
      <c r="J61" s="200"/>
      <c r="K61" s="200"/>
      <c r="L61" s="200"/>
      <c r="M61" s="200"/>
      <c r="N61" s="200"/>
      <c r="O61" s="200"/>
      <c r="P61" s="200">
        <f>('College Work-Study'!P50*1000)/'College Work-Study'!AV50</f>
        <v>1203.0914948453608</v>
      </c>
      <c r="Q61" s="200">
        <f>('College Work-Study'!Q50*1000)/'College Work-Study'!AW50</f>
        <v>1152.1327433628319</v>
      </c>
      <c r="R61" s="200">
        <f>('College Work-Study'!R50*1000)/'College Work-Study'!AX50</f>
        <v>1161.8149350649351</v>
      </c>
      <c r="S61" s="200">
        <f>('College Work-Study'!S50*1000)/'College Work-Study'!AY50</f>
        <v>1251.505946481665</v>
      </c>
      <c r="T61" s="200">
        <f>('College Work-Study'!T50*1000)/'College Work-Study'!AZ50</f>
        <v>1262.0135135135135</v>
      </c>
      <c r="U61" s="200">
        <f>('College Work-Study'!U50*1000)/'College Work-Study'!BA50</f>
        <v>1319.202479338843</v>
      </c>
      <c r="V61" s="200">
        <f>('College Work-Study'!V50*1000)/'College Work-Study'!BB50</f>
        <v>1266.3325089310249</v>
      </c>
      <c r="W61" s="200">
        <f>('College Work-Study'!W50*1000)/'College Work-Study'!BC50</f>
        <v>1289.1719908727896</v>
      </c>
      <c r="X61" s="200">
        <f>('College Work-Study'!X50*1000)/'College Work-Study'!BD50</f>
        <v>1308.6033303597978</v>
      </c>
      <c r="Y61" s="200">
        <f>('College Work-Study'!Y50*1000)/'College Work-Study'!BE50</f>
        <v>1357.2051361386139</v>
      </c>
      <c r="Z61" s="200">
        <f>('College Work-Study'!Z50*1000)/'College Work-Study'!BF50</f>
        <v>1449.9071217591072</v>
      </c>
      <c r="AA61" s="200">
        <f>('College Work-Study'!AA61*1000)/'College Work-Study'!BG61</f>
        <v>1520.180686445608</v>
      </c>
      <c r="AB61" s="200">
        <f>('College Work-Study'!AB61*1000)/'College Work-Study'!BH61</f>
        <v>1542.411030176899</v>
      </c>
      <c r="AC61" s="200">
        <f>('College Work-Study'!AC61*1000)/'College Work-Study'!BI61</f>
        <v>1608.5896848909238</v>
      </c>
      <c r="AD61" s="200">
        <f>('College Work-Study'!AD61*1000)/'College Work-Study'!BJ61</f>
        <v>1547.232099101552</v>
      </c>
      <c r="AE61" s="200">
        <f>('College Work-Study'!AE61*1000)/'College Work-Study'!BK61</f>
        <v>1565.9210063573651</v>
      </c>
      <c r="AF61" s="200">
        <f>('College Work-Study'!AF61*1000)/'College Work-Study'!BL61</f>
        <v>1665.5865286484911</v>
      </c>
      <c r="AG61" s="200">
        <f>('College Work-Study'!AG61*1000)/'College Work-Study'!BM61</f>
        <v>1568.3418544194108</v>
      </c>
    </row>
    <row r="62" spans="1:33">
      <c r="A62" s="42" t="s">
        <v>173</v>
      </c>
      <c r="B62" s="200"/>
      <c r="C62" s="200"/>
      <c r="D62" s="200"/>
      <c r="E62" s="200"/>
      <c r="F62" s="200"/>
      <c r="G62" s="200"/>
      <c r="H62" s="200"/>
      <c r="I62" s="200"/>
      <c r="J62" s="200"/>
      <c r="K62" s="200"/>
      <c r="L62" s="200"/>
      <c r="M62" s="200"/>
      <c r="N62" s="200"/>
      <c r="O62" s="200"/>
      <c r="P62" s="200">
        <f>('College Work-Study'!P53*1000)/'College Work-Study'!AV53</f>
        <v>945.13618263372143</v>
      </c>
      <c r="Q62" s="200">
        <f>('College Work-Study'!Q53*1000)/'College Work-Study'!AW53</f>
        <v>938.50908135980285</v>
      </c>
      <c r="R62" s="200">
        <f>('College Work-Study'!R53*1000)/'College Work-Study'!AX53</f>
        <v>710.50761486807733</v>
      </c>
      <c r="S62" s="200">
        <f>('College Work-Study'!S53*1000)/'College Work-Study'!AY53</f>
        <v>951.82159956685678</v>
      </c>
      <c r="T62" s="200">
        <f>('College Work-Study'!T53*1000)/'College Work-Study'!AZ53</f>
        <v>942.92549776300791</v>
      </c>
      <c r="U62" s="200">
        <f>('College Work-Study'!U53*1000)/'College Work-Study'!BA53</f>
        <v>940.85066659720326</v>
      </c>
      <c r="V62" s="200">
        <f>('College Work-Study'!V53*1000)/'College Work-Study'!BB53</f>
        <v>842.78335284296395</v>
      </c>
      <c r="W62" s="200">
        <f>('College Work-Study'!W53*1000)/'College Work-Study'!BC53</f>
        <v>931.01283891619266</v>
      </c>
      <c r="X62" s="200">
        <f>('College Work-Study'!X53*1000)/'College Work-Study'!BD53</f>
        <v>935.57896847276868</v>
      </c>
      <c r="Y62" s="200">
        <f>('College Work-Study'!Y53*1000)/'College Work-Study'!BE53</f>
        <v>881.65828212144027</v>
      </c>
      <c r="Z62" s="200">
        <f>('College Work-Study'!Z53*1000)/'College Work-Study'!BF53</f>
        <v>906.40226064365356</v>
      </c>
      <c r="AA62" s="200">
        <f>('College Work-Study'!AA62*1000)/'College Work-Study'!BG62</f>
        <v>1251.8308592634885</v>
      </c>
      <c r="AB62" s="200">
        <f>('College Work-Study'!AB62*1000)/'College Work-Study'!BH62</f>
        <v>1262.8857340720222</v>
      </c>
      <c r="AC62" s="200">
        <f>('College Work-Study'!AC62*1000)/'College Work-Study'!BI62</f>
        <v>1262.9458914159941</v>
      </c>
      <c r="AD62" s="200">
        <f>('College Work-Study'!AD62*1000)/'College Work-Study'!BJ62</f>
        <v>1229.7075558839831</v>
      </c>
      <c r="AE62" s="200">
        <f>('College Work-Study'!AE62*1000)/'College Work-Study'!BK62</f>
        <v>1244.7918107370338</v>
      </c>
      <c r="AF62" s="200">
        <f>('College Work-Study'!AF62*1000)/'College Work-Study'!BL62</f>
        <v>1222.9245994344958</v>
      </c>
      <c r="AG62" s="200">
        <f>('College Work-Study'!AG62*1000)/'College Work-Study'!BM62</f>
        <v>1293.9669735788632</v>
      </c>
    </row>
    <row r="63" spans="1:33">
      <c r="A63" s="46" t="s">
        <v>147</v>
      </c>
      <c r="B63" s="198"/>
      <c r="C63" s="198"/>
      <c r="D63" s="198"/>
      <c r="E63" s="198"/>
      <c r="F63" s="198"/>
      <c r="G63" s="198"/>
      <c r="H63" s="198"/>
      <c r="I63" s="198"/>
      <c r="J63" s="198"/>
      <c r="K63" s="198"/>
      <c r="L63" s="198"/>
      <c r="M63" s="198"/>
      <c r="N63" s="198"/>
      <c r="O63" s="198"/>
      <c r="P63" s="198">
        <f>('College Work-Study'!P57*1000)/'College Work-Study'!AV57</f>
        <v>969.25336852340604</v>
      </c>
      <c r="Q63" s="198">
        <f>('College Work-Study'!Q57*1000)/'College Work-Study'!AW57</f>
        <v>1002.1118538324421</v>
      </c>
      <c r="R63" s="198">
        <f>('College Work-Study'!R57*1000)/'College Work-Study'!AX57</f>
        <v>967.30788603809219</v>
      </c>
      <c r="S63" s="198">
        <f>('College Work-Study'!S57*1000)/'College Work-Study'!AY57</f>
        <v>1041.9132455460883</v>
      </c>
      <c r="T63" s="198">
        <f>('College Work-Study'!T57*1000)/'College Work-Study'!AZ57</f>
        <v>1077.3710069972619</v>
      </c>
      <c r="U63" s="198">
        <f>('College Work-Study'!U57*1000)/'College Work-Study'!BA57</f>
        <v>1060.2716954022987</v>
      </c>
      <c r="V63" s="198">
        <f>('College Work-Study'!V57*1000)/'College Work-Study'!BB57</f>
        <v>1056.1316026410564</v>
      </c>
      <c r="W63" s="198">
        <f>('College Work-Study'!W57*1000)/'College Work-Study'!BC57</f>
        <v>1127.0238057701404</v>
      </c>
      <c r="X63" s="198">
        <f>('College Work-Study'!X57*1000)/'College Work-Study'!BD57</f>
        <v>1149.3688611829102</v>
      </c>
      <c r="Y63" s="198">
        <f>('College Work-Study'!Y57*1000)/'College Work-Study'!BE57</f>
        <v>1139.1590038314175</v>
      </c>
      <c r="Z63" s="198">
        <f>('College Work-Study'!Z57*1000)/'College Work-Study'!BF57</f>
        <v>1175.4825733372058</v>
      </c>
      <c r="AA63" s="198">
        <f>('College Work-Study'!AA63*1000)/'College Work-Study'!BG63</f>
        <v>2190.6026072945656</v>
      </c>
      <c r="AB63" s="198">
        <f>('College Work-Study'!AB63*1000)/'College Work-Study'!BH63</f>
        <v>2175.6335771508184</v>
      </c>
      <c r="AC63" s="198">
        <f>('College Work-Study'!AC63*1000)/'College Work-Study'!BI63</f>
        <v>1925.4321680854919</v>
      </c>
      <c r="AD63" s="198">
        <f>('College Work-Study'!AD63*1000)/'College Work-Study'!BJ63</f>
        <v>1853.4087929039722</v>
      </c>
      <c r="AE63" s="198">
        <f>('College Work-Study'!AE63*1000)/'College Work-Study'!BK63</f>
        <v>1758.8714939327631</v>
      </c>
      <c r="AF63" s="198">
        <f>('College Work-Study'!AF63*1000)/'College Work-Study'!BL63</f>
        <v>1775.343280510393</v>
      </c>
      <c r="AG63" s="198">
        <f>('College Work-Study'!AG63*1000)/'College Work-Study'!BM63</f>
        <v>1895.0462302873191</v>
      </c>
    </row>
  </sheetData>
  <phoneticPr fontId="3"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62"/>
  </sheetPr>
  <dimension ref="A1:BM128"/>
  <sheetViews>
    <sheetView zoomScale="80" zoomScaleNormal="80" workbookViewId="0">
      <pane xSplit="1" ySplit="3" topLeftCell="AY52" activePane="bottomRight" state="frozen"/>
      <selection pane="topRight" activeCell="B1" sqref="B1"/>
      <selection pane="bottomLeft" activeCell="A4" sqref="A4"/>
      <selection pane="bottomRight" activeCell="BP50" sqref="BP50"/>
    </sheetView>
  </sheetViews>
  <sheetFormatPr defaultRowHeight="12.75"/>
  <cols>
    <col min="1" max="1" width="19.7109375" style="8" bestFit="1" customWidth="1"/>
    <col min="2" max="12" width="9.42578125" style="8" bestFit="1" customWidth="1"/>
    <col min="13" max="13" width="9.42578125" style="170" bestFit="1" customWidth="1"/>
    <col min="14" max="15" width="9.85546875" style="8" bestFit="1" customWidth="1"/>
    <col min="16" max="16" width="9.85546875" style="146" bestFit="1" customWidth="1"/>
    <col min="17" max="33" width="10.140625" style="8" customWidth="1"/>
    <col min="34" max="34" width="9.140625" style="8"/>
    <col min="35" max="35" width="9.140625" style="62"/>
    <col min="36" max="44" width="9.140625" style="8"/>
    <col min="45" max="45" width="9.140625" style="170"/>
    <col min="46" max="63" width="9.140625" style="8"/>
    <col min="64" max="64" width="9.85546875" style="8" bestFit="1" customWidth="1"/>
    <col min="65" max="65" width="9.85546875" style="8" customWidth="1"/>
    <col min="66" max="16384" width="9.140625" style="8"/>
  </cols>
  <sheetData>
    <row r="1" spans="1:65" s="152" customFormat="1">
      <c r="A1" s="71" t="s">
        <v>0</v>
      </c>
      <c r="B1" s="113" t="s">
        <v>4</v>
      </c>
      <c r="C1" s="130"/>
      <c r="D1" s="130"/>
      <c r="E1" s="130"/>
      <c r="F1" s="130"/>
      <c r="G1" s="131"/>
      <c r="H1" s="131"/>
      <c r="I1" s="131"/>
      <c r="J1" s="131"/>
      <c r="K1" s="131"/>
      <c r="L1" s="131"/>
      <c r="M1" s="132"/>
      <c r="N1" s="131"/>
      <c r="O1" s="131"/>
      <c r="P1" s="133"/>
      <c r="Q1" s="131"/>
      <c r="R1" s="131"/>
      <c r="S1" s="134"/>
      <c r="T1" s="134"/>
      <c r="U1" s="134"/>
      <c r="V1" s="134"/>
      <c r="W1" s="134"/>
      <c r="X1" s="134"/>
      <c r="Y1" s="134"/>
      <c r="Z1" s="134"/>
      <c r="AA1" s="125"/>
      <c r="AB1" s="125"/>
      <c r="AC1" s="125"/>
      <c r="AD1" s="125"/>
      <c r="AE1" s="125"/>
      <c r="AF1" s="125"/>
      <c r="AG1" s="125"/>
      <c r="AH1" s="113"/>
      <c r="AI1" s="135"/>
      <c r="AJ1" s="131"/>
      <c r="AK1" s="131"/>
      <c r="AL1" s="131"/>
      <c r="AM1" s="131"/>
      <c r="AN1" s="131"/>
      <c r="AO1" s="131"/>
      <c r="AP1" s="131"/>
      <c r="AQ1" s="131"/>
      <c r="AR1" s="131"/>
      <c r="AS1" s="132"/>
      <c r="AT1" s="131"/>
      <c r="AU1" s="131"/>
      <c r="AV1" s="125"/>
      <c r="AW1" s="125"/>
      <c r="AX1" s="125"/>
      <c r="AY1" s="125"/>
      <c r="AZ1" s="125"/>
      <c r="BA1" s="125"/>
      <c r="BB1" s="125"/>
      <c r="BC1" s="125"/>
      <c r="BD1" s="125"/>
      <c r="BE1" s="125"/>
      <c r="BF1" s="125"/>
      <c r="BG1" s="125"/>
    </row>
    <row r="2" spans="1:65" s="152" customFormat="1">
      <c r="A2" s="71" t="s">
        <v>1</v>
      </c>
      <c r="B2" s="113" t="s">
        <v>225</v>
      </c>
      <c r="C2" s="131"/>
      <c r="D2" s="131"/>
      <c r="E2" s="131"/>
      <c r="F2" s="131"/>
      <c r="G2" s="131"/>
      <c r="H2" s="131"/>
      <c r="I2" s="131"/>
      <c r="J2" s="131"/>
      <c r="K2" s="131"/>
      <c r="L2" s="131"/>
      <c r="M2" s="132"/>
      <c r="N2" s="131"/>
      <c r="O2" s="131"/>
      <c r="P2" s="131"/>
      <c r="Q2" s="131"/>
      <c r="R2" s="131"/>
      <c r="S2" s="134"/>
      <c r="T2" s="134"/>
      <c r="U2" s="134"/>
      <c r="V2" s="134"/>
      <c r="W2" s="134"/>
      <c r="X2" s="134"/>
      <c r="Y2" s="134"/>
      <c r="Z2" s="134"/>
      <c r="AA2" s="125"/>
      <c r="AB2" s="125"/>
      <c r="AC2" s="125"/>
      <c r="AD2" s="125"/>
      <c r="AE2" s="125"/>
      <c r="AF2" s="125"/>
      <c r="AG2" s="125"/>
      <c r="AH2" s="113" t="s">
        <v>6</v>
      </c>
      <c r="AI2" s="135"/>
      <c r="AJ2" s="131"/>
      <c r="AK2" s="131"/>
      <c r="AL2" s="131"/>
      <c r="AM2" s="131"/>
      <c r="AN2" s="131"/>
      <c r="AO2" s="131"/>
      <c r="AP2" s="131"/>
      <c r="AQ2" s="131"/>
      <c r="AR2" s="131"/>
      <c r="AS2" s="132"/>
      <c r="AT2" s="131"/>
      <c r="AU2" s="131"/>
      <c r="AV2" s="125"/>
      <c r="AW2" s="125"/>
      <c r="AX2" s="125"/>
      <c r="AY2" s="125"/>
      <c r="AZ2" s="125"/>
      <c r="BA2" s="125"/>
      <c r="BB2" s="125"/>
      <c r="BC2" s="125"/>
      <c r="BD2" s="125"/>
      <c r="BE2" s="125"/>
      <c r="BF2" s="125"/>
      <c r="BG2" s="125"/>
      <c r="BM2" s="127"/>
    </row>
    <row r="3" spans="1:65" s="152" customFormat="1">
      <c r="A3" s="153" t="s">
        <v>2</v>
      </c>
      <c r="B3" s="154" t="s">
        <v>7</v>
      </c>
      <c r="C3" s="136" t="s">
        <v>8</v>
      </c>
      <c r="D3" s="136" t="s">
        <v>9</v>
      </c>
      <c r="E3" s="136" t="s">
        <v>10</v>
      </c>
      <c r="F3" s="136" t="s">
        <v>11</v>
      </c>
      <c r="G3" s="136" t="s">
        <v>12</v>
      </c>
      <c r="H3" s="136" t="s">
        <v>13</v>
      </c>
      <c r="I3" s="136" t="s">
        <v>14</v>
      </c>
      <c r="J3" s="136" t="s">
        <v>15</v>
      </c>
      <c r="K3" s="136" t="s">
        <v>16</v>
      </c>
      <c r="L3" s="136" t="s">
        <v>17</v>
      </c>
      <c r="M3" s="137" t="s">
        <v>177</v>
      </c>
      <c r="N3" s="138" t="s">
        <v>114</v>
      </c>
      <c r="O3" s="138" t="s">
        <v>115</v>
      </c>
      <c r="P3" s="139" t="s">
        <v>132</v>
      </c>
      <c r="Q3" s="139" t="s">
        <v>136</v>
      </c>
      <c r="R3" s="139" t="s">
        <v>141</v>
      </c>
      <c r="S3" s="140" t="s">
        <v>192</v>
      </c>
      <c r="T3" s="140" t="s">
        <v>193</v>
      </c>
      <c r="U3" s="140" t="s">
        <v>202</v>
      </c>
      <c r="V3" s="140" t="s">
        <v>203</v>
      </c>
      <c r="W3" s="140" t="s">
        <v>204</v>
      </c>
      <c r="X3" s="141" t="s">
        <v>207</v>
      </c>
      <c r="Y3" s="141" t="s">
        <v>209</v>
      </c>
      <c r="Z3" s="141" t="s">
        <v>213</v>
      </c>
      <c r="AA3" s="140" t="s">
        <v>220</v>
      </c>
      <c r="AB3" s="140" t="s">
        <v>233</v>
      </c>
      <c r="AC3" s="140" t="s">
        <v>238</v>
      </c>
      <c r="AD3" s="143" t="s">
        <v>240</v>
      </c>
      <c r="AE3" s="143" t="s">
        <v>247</v>
      </c>
      <c r="AF3" s="143" t="s">
        <v>250</v>
      </c>
      <c r="AG3" s="230" t="s">
        <v>252</v>
      </c>
      <c r="AH3" s="154" t="s">
        <v>7</v>
      </c>
      <c r="AI3" s="142" t="s">
        <v>8</v>
      </c>
      <c r="AJ3" s="136" t="s">
        <v>9</v>
      </c>
      <c r="AK3" s="136" t="s">
        <v>10</v>
      </c>
      <c r="AL3" s="136" t="s">
        <v>11</v>
      </c>
      <c r="AM3" s="136" t="s">
        <v>12</v>
      </c>
      <c r="AN3" s="136" t="s">
        <v>13</v>
      </c>
      <c r="AO3" s="136" t="s">
        <v>14</v>
      </c>
      <c r="AP3" s="136" t="s">
        <v>15</v>
      </c>
      <c r="AQ3" s="136" t="s">
        <v>16</v>
      </c>
      <c r="AR3" s="136" t="s">
        <v>17</v>
      </c>
      <c r="AS3" s="137" t="s">
        <v>177</v>
      </c>
      <c r="AT3" s="138" t="s">
        <v>114</v>
      </c>
      <c r="AU3" s="138" t="s">
        <v>115</v>
      </c>
      <c r="AV3" s="143" t="s">
        <v>132</v>
      </c>
      <c r="AW3" s="140" t="s">
        <v>136</v>
      </c>
      <c r="AX3" s="140" t="s">
        <v>141</v>
      </c>
      <c r="AY3" s="140" t="s">
        <v>192</v>
      </c>
      <c r="AZ3" s="140" t="s">
        <v>193</v>
      </c>
      <c r="BA3" s="140" t="s">
        <v>202</v>
      </c>
      <c r="BB3" s="140" t="s">
        <v>203</v>
      </c>
      <c r="BC3" s="140" t="s">
        <v>204</v>
      </c>
      <c r="BD3" s="140" t="s">
        <v>207</v>
      </c>
      <c r="BE3" s="140" t="s">
        <v>209</v>
      </c>
      <c r="BF3" s="140" t="s">
        <v>213</v>
      </c>
      <c r="BG3" s="140" t="s">
        <v>220</v>
      </c>
      <c r="BH3" s="140" t="s">
        <v>233</v>
      </c>
      <c r="BI3" s="140" t="s">
        <v>238</v>
      </c>
      <c r="BJ3" s="143" t="s">
        <v>240</v>
      </c>
      <c r="BK3" s="143" t="s">
        <v>247</v>
      </c>
      <c r="BL3" s="143" t="s">
        <v>250</v>
      </c>
      <c r="BM3" s="228" t="s">
        <v>252</v>
      </c>
    </row>
    <row r="4" spans="1:65">
      <c r="A4" s="22" t="s">
        <v>214</v>
      </c>
      <c r="B4" s="106">
        <f>596468-4546.112-0-0-0</f>
        <v>591921.88800000004</v>
      </c>
      <c r="C4" s="23">
        <v>191457</v>
      </c>
      <c r="D4" s="23">
        <f>763476-5255.437-0-0-13.775</f>
        <v>758206.78799999994</v>
      </c>
      <c r="E4" s="23">
        <f>805190858/1000-5655.703-0-0-6.8</f>
        <v>799528.35499999998</v>
      </c>
      <c r="F4" s="23">
        <f>873730951/1000-4940.864-0-0-7.925</f>
        <v>868782.16200000001</v>
      </c>
      <c r="G4" s="23">
        <f>902521206/1000-5200.3-0-0</f>
        <v>897320.90599999996</v>
      </c>
      <c r="H4" s="23">
        <f>870399633/1000-4171.764-0-0-56.384</f>
        <v>866171.4850000001</v>
      </c>
      <c r="I4" s="23">
        <f>867800.439-4010.32</f>
        <v>863790.11900000006</v>
      </c>
      <c r="J4" s="23">
        <f>891681.168-4562.456-0-0-25.05</f>
        <v>887093.66199999989</v>
      </c>
      <c r="K4" s="23">
        <f>918661.831-6671.68-0-0-8</f>
        <v>911982.15099999995</v>
      </c>
      <c r="L4" s="23">
        <f>970957.367-6172.395-0-0-0</f>
        <v>964784.97199999995</v>
      </c>
      <c r="M4" s="23">
        <f t="shared" ref="M4:M22" si="0">((N4-L4)/2)+L4</f>
        <v>990750.77749999997</v>
      </c>
      <c r="N4" s="23">
        <f>1021752.644-5014.071-0-0-21.99</f>
        <v>1016716.583</v>
      </c>
      <c r="O4" s="23">
        <f>1062047.252-5325.064-0-0-0</f>
        <v>1056722.1880000001</v>
      </c>
      <c r="P4" s="23">
        <f t="shared" ref="P4:AA4" si="1">P5+P23+P38+P52+P63</f>
        <v>1065288.1159999999</v>
      </c>
      <c r="Q4" s="23">
        <f t="shared" si="1"/>
        <v>1096050.2439999999</v>
      </c>
      <c r="R4" s="23">
        <f t="shared" si="1"/>
        <v>1139660.436</v>
      </c>
      <c r="S4" s="23">
        <f t="shared" si="1"/>
        <v>1234083.6150000002</v>
      </c>
      <c r="T4" s="23">
        <f t="shared" si="1"/>
        <v>1454695.6449999998</v>
      </c>
      <c r="U4" s="23">
        <f t="shared" si="1"/>
        <v>1633708.7260000003</v>
      </c>
      <c r="V4" s="23">
        <f t="shared" si="1"/>
        <v>1647056.83</v>
      </c>
      <c r="W4" s="23">
        <f t="shared" si="1"/>
        <v>1586150.898</v>
      </c>
      <c r="X4" s="23">
        <f t="shared" si="1"/>
        <v>1612459.79</v>
      </c>
      <c r="Y4" s="23">
        <f t="shared" si="1"/>
        <v>1380208.5710000002</v>
      </c>
      <c r="Z4" s="23">
        <f t="shared" si="1"/>
        <v>959064.41799999995</v>
      </c>
      <c r="AA4" s="23">
        <f t="shared" si="1"/>
        <v>816655.88399999996</v>
      </c>
      <c r="AB4" s="23">
        <f t="shared" ref="AB4:AC4" si="2">AB5+AB23+AB38+AB52+AB63</f>
        <v>856273.32500000019</v>
      </c>
      <c r="AC4" s="23">
        <f t="shared" si="2"/>
        <v>946175.71799999999</v>
      </c>
      <c r="AD4" s="23">
        <f t="shared" ref="AD4:AE4" si="3">AD5+AD23+AD38+AD52+AD63</f>
        <v>1008450.519</v>
      </c>
      <c r="AE4" s="23">
        <f t="shared" si="3"/>
        <v>1169734.6029999999</v>
      </c>
      <c r="AF4" s="23">
        <f t="shared" ref="AF4:AG4" si="4">AF5+AF23+AF38+AF52+AF63</f>
        <v>1159356.8360000001</v>
      </c>
      <c r="AG4" s="23">
        <f t="shared" si="4"/>
        <v>1044909.4019999999</v>
      </c>
      <c r="AH4" s="106">
        <f>674195-8735-0-0-0</f>
        <v>665460</v>
      </c>
      <c r="AI4" s="23">
        <v>781015</v>
      </c>
      <c r="AJ4" s="23">
        <f>715779-10345-0-0-52</f>
        <v>705382</v>
      </c>
      <c r="AK4" s="23">
        <f>673549-9757-0-0-19</f>
        <v>663773</v>
      </c>
      <c r="AL4" s="23">
        <f>692064-11751-0-0-18</f>
        <v>680295</v>
      </c>
      <c r="AM4" s="23">
        <f>695909-8870-0-0</f>
        <v>687039</v>
      </c>
      <c r="AN4" s="23">
        <f>660218-8064-0-0-53</f>
        <v>652101</v>
      </c>
      <c r="AO4" s="23">
        <f>654214-8396</f>
        <v>645818</v>
      </c>
      <c r="AP4" s="23">
        <f>668771-9685-0-0-19</f>
        <v>659067</v>
      </c>
      <c r="AQ4" s="23">
        <f>684730-11568-0-0-4</f>
        <v>673158</v>
      </c>
      <c r="AR4" s="23">
        <f>663347-10415-0-0-0</f>
        <v>652932</v>
      </c>
      <c r="AS4" s="23">
        <f t="shared" ref="AS4:AS22" si="5">((AT4-AR4)/2)+AR4</f>
        <v>659096</v>
      </c>
      <c r="AT4" s="23">
        <f>674169-8896-0-0-13</f>
        <v>665260</v>
      </c>
      <c r="AU4" s="23">
        <f>679102-9622-0-0-0</f>
        <v>669480</v>
      </c>
      <c r="AV4" s="23">
        <f t="shared" ref="AV4:BG4" si="6">AV5+AV23+AV38+AV52+AV63</f>
        <v>660221</v>
      </c>
      <c r="AW4" s="23">
        <f t="shared" si="6"/>
        <v>647308</v>
      </c>
      <c r="AX4" s="23">
        <f t="shared" si="6"/>
        <v>634415</v>
      </c>
      <c r="AY4" s="23">
        <f t="shared" si="6"/>
        <v>655928</v>
      </c>
      <c r="AZ4" s="23">
        <f t="shared" si="6"/>
        <v>723683</v>
      </c>
      <c r="BA4" s="23">
        <f t="shared" si="6"/>
        <v>751815</v>
      </c>
      <c r="BB4" s="23">
        <f t="shared" si="6"/>
        <v>745316</v>
      </c>
      <c r="BC4" s="23">
        <f t="shared" si="6"/>
        <v>722682</v>
      </c>
      <c r="BD4" s="23">
        <f t="shared" si="6"/>
        <v>721949</v>
      </c>
      <c r="BE4" s="23">
        <f t="shared" si="6"/>
        <v>649074</v>
      </c>
      <c r="BF4" s="23">
        <f t="shared" si="6"/>
        <v>486989</v>
      </c>
      <c r="BG4" s="23">
        <f t="shared" si="6"/>
        <v>440886</v>
      </c>
      <c r="BH4" s="23">
        <f t="shared" ref="BH4:BI4" si="7">BH5+BH23+BH38+BH52+BH63</f>
        <v>460262</v>
      </c>
      <c r="BI4" s="23">
        <f t="shared" si="7"/>
        <v>482724</v>
      </c>
      <c r="BJ4" s="23">
        <f t="shared" ref="BJ4:BK4" si="8">BJ5+BJ23+BJ38+BJ52+BJ63</f>
        <v>498065</v>
      </c>
      <c r="BK4" s="23">
        <f t="shared" si="8"/>
        <v>538082</v>
      </c>
      <c r="BL4" s="23">
        <f t="shared" ref="BL4:BM4" si="9">BL5+BL23+BL38+BL52+BL63</f>
        <v>527132</v>
      </c>
      <c r="BM4" s="23">
        <f t="shared" si="9"/>
        <v>421414</v>
      </c>
    </row>
    <row r="5" spans="1:65">
      <c r="A5" s="26" t="s">
        <v>116</v>
      </c>
      <c r="B5" s="107">
        <f t="shared" ref="B5:L5" si="10">SUM(B7:B22)</f>
        <v>142955.28599999999</v>
      </c>
      <c r="C5" s="27">
        <f t="shared" si="10"/>
        <v>53581.2935</v>
      </c>
      <c r="D5" s="27">
        <f t="shared" si="10"/>
        <v>175554.30100000001</v>
      </c>
      <c r="E5" s="27">
        <f t="shared" si="10"/>
        <v>180401.37099999998</v>
      </c>
      <c r="F5" s="27">
        <f t="shared" si="10"/>
        <v>201925.21600000001</v>
      </c>
      <c r="G5" s="27">
        <f t="shared" si="10"/>
        <v>210163.23699999999</v>
      </c>
      <c r="H5" s="27">
        <f t="shared" si="10"/>
        <v>197771.041</v>
      </c>
      <c r="I5" s="27">
        <f t="shared" si="10"/>
        <v>195998.88800000001</v>
      </c>
      <c r="J5" s="27">
        <f t="shared" si="10"/>
        <v>203713.33299999998</v>
      </c>
      <c r="K5" s="27">
        <f t="shared" si="10"/>
        <v>214276.31500000003</v>
      </c>
      <c r="L5" s="27">
        <f t="shared" si="10"/>
        <v>219220.628</v>
      </c>
      <c r="M5" s="27">
        <f t="shared" si="0"/>
        <v>221299.53450000001</v>
      </c>
      <c r="N5" s="27">
        <f>SUM(N7:N22)</f>
        <v>223378.44100000002</v>
      </c>
      <c r="O5" s="27">
        <f>SUM(O7:O22)</f>
        <v>236034.29700000005</v>
      </c>
      <c r="P5" s="27">
        <f t="shared" ref="P5:AA5" si="11">SUM(P7:P22)</f>
        <v>237351.58699999997</v>
      </c>
      <c r="Q5" s="27">
        <f t="shared" si="11"/>
        <v>239197.27699999997</v>
      </c>
      <c r="R5" s="27">
        <f t="shared" si="11"/>
        <v>254493.69199999995</v>
      </c>
      <c r="S5" s="27">
        <f t="shared" si="11"/>
        <v>271024.70900000003</v>
      </c>
      <c r="T5" s="27">
        <f t="shared" si="11"/>
        <v>322583.24399999995</v>
      </c>
      <c r="U5" s="27">
        <f t="shared" si="11"/>
        <v>362634.94099999999</v>
      </c>
      <c r="V5" s="27">
        <f t="shared" si="11"/>
        <v>360992.40199999994</v>
      </c>
      <c r="W5" s="27">
        <f t="shared" si="11"/>
        <v>355670.85099999997</v>
      </c>
      <c r="X5" s="27">
        <f t="shared" si="11"/>
        <v>357852.95799999998</v>
      </c>
      <c r="Y5" s="27">
        <f t="shared" si="11"/>
        <v>327303.52300000004</v>
      </c>
      <c r="Z5" s="27">
        <f t="shared" si="11"/>
        <v>221182.45499999999</v>
      </c>
      <c r="AA5" s="27">
        <f t="shared" si="11"/>
        <v>181535.76899999997</v>
      </c>
      <c r="AB5" s="27">
        <f t="shared" ref="AB5:AC5" si="12">SUM(AB7:AB22)</f>
        <v>177000.16700000002</v>
      </c>
      <c r="AC5" s="27">
        <f t="shared" si="12"/>
        <v>199547.005</v>
      </c>
      <c r="AD5" s="27">
        <f t="shared" ref="AD5:AE5" si="13">SUM(AD7:AD22)</f>
        <v>210457.00499999998</v>
      </c>
      <c r="AE5" s="27">
        <f t="shared" si="13"/>
        <v>259546.12900000002</v>
      </c>
      <c r="AF5" s="27">
        <f t="shared" ref="AF5:AG5" si="14">SUM(AF7:AF22)</f>
        <v>252353.72300000006</v>
      </c>
      <c r="AG5" s="27">
        <f t="shared" si="14"/>
        <v>215089.845</v>
      </c>
      <c r="AH5" s="107">
        <f t="shared" ref="AH5:AR5" si="15">SUM(AH7:AH22)</f>
        <v>166891</v>
      </c>
      <c r="AI5" s="27">
        <f t="shared" si="15"/>
        <v>195364</v>
      </c>
      <c r="AJ5" s="27">
        <f t="shared" si="15"/>
        <v>161578</v>
      </c>
      <c r="AK5" s="27">
        <f t="shared" si="15"/>
        <v>148595</v>
      </c>
      <c r="AL5" s="27">
        <f t="shared" si="15"/>
        <v>155418</v>
      </c>
      <c r="AM5" s="27">
        <f t="shared" si="15"/>
        <v>158508</v>
      </c>
      <c r="AN5" s="27">
        <f t="shared" si="15"/>
        <v>143534</v>
      </c>
      <c r="AO5" s="27">
        <f t="shared" si="15"/>
        <v>140341</v>
      </c>
      <c r="AP5" s="27">
        <f t="shared" si="15"/>
        <v>141368</v>
      </c>
      <c r="AQ5" s="27">
        <f t="shared" si="15"/>
        <v>136337</v>
      </c>
      <c r="AR5" s="27">
        <f t="shared" si="15"/>
        <v>136559</v>
      </c>
      <c r="AS5" s="27">
        <f t="shared" si="5"/>
        <v>135806</v>
      </c>
      <c r="AT5" s="27">
        <f>SUM(AT7:AT22)</f>
        <v>135053</v>
      </c>
      <c r="AU5" s="27">
        <f>SUM(AU7:AU22)</f>
        <v>137838</v>
      </c>
      <c r="AV5" s="27">
        <f t="shared" ref="AV5:BG5" si="16">SUM(AV7:AV22)</f>
        <v>136834</v>
      </c>
      <c r="AW5" s="27">
        <f t="shared" si="16"/>
        <v>127659</v>
      </c>
      <c r="AX5" s="27">
        <f t="shared" si="16"/>
        <v>127672</v>
      </c>
      <c r="AY5" s="27">
        <f t="shared" si="16"/>
        <v>131219</v>
      </c>
      <c r="AZ5" s="27">
        <f t="shared" si="16"/>
        <v>143898</v>
      </c>
      <c r="BA5" s="27">
        <f t="shared" si="16"/>
        <v>154097</v>
      </c>
      <c r="BB5" s="27">
        <f t="shared" si="16"/>
        <v>146443</v>
      </c>
      <c r="BC5" s="27">
        <f t="shared" si="16"/>
        <v>144089</v>
      </c>
      <c r="BD5" s="27">
        <f t="shared" si="16"/>
        <v>141605</v>
      </c>
      <c r="BE5" s="27">
        <f t="shared" si="16"/>
        <v>132754</v>
      </c>
      <c r="BF5" s="27">
        <f t="shared" si="16"/>
        <v>93202</v>
      </c>
      <c r="BG5" s="27">
        <f t="shared" si="16"/>
        <v>79634</v>
      </c>
      <c r="BH5" s="27">
        <f t="shared" ref="BH5:BI5" si="17">SUM(BH7:BH22)</f>
        <v>77539</v>
      </c>
      <c r="BI5" s="27">
        <f t="shared" si="17"/>
        <v>83165</v>
      </c>
      <c r="BJ5" s="27">
        <f t="shared" ref="BJ5:BK5" si="18">SUM(BJ7:BJ22)</f>
        <v>81468</v>
      </c>
      <c r="BK5" s="27">
        <f t="shared" si="18"/>
        <v>97928</v>
      </c>
      <c r="BL5" s="27">
        <f t="shared" ref="BL5:BM5" si="19">SUM(BL7:BL22)</f>
        <v>92995</v>
      </c>
      <c r="BM5" s="27">
        <f t="shared" si="19"/>
        <v>69630</v>
      </c>
    </row>
    <row r="6" spans="1:65">
      <c r="A6" s="30" t="s">
        <v>215</v>
      </c>
      <c r="B6" s="108">
        <f t="shared" ref="B6:L6" si="20">(B5/B4)*100</f>
        <v>24.151038996550838</v>
      </c>
      <c r="C6" s="31">
        <f t="shared" si="20"/>
        <v>27.986071807246539</v>
      </c>
      <c r="D6" s="31">
        <f t="shared" si="20"/>
        <v>23.153881471185141</v>
      </c>
      <c r="E6" s="31">
        <f t="shared" si="20"/>
        <v>22.56347381200758</v>
      </c>
      <c r="F6" s="31">
        <f t="shared" si="20"/>
        <v>23.242329876473686</v>
      </c>
      <c r="G6" s="31">
        <f t="shared" si="20"/>
        <v>23.421190300452</v>
      </c>
      <c r="H6" s="31">
        <f t="shared" si="20"/>
        <v>22.832781316969811</v>
      </c>
      <c r="I6" s="31">
        <f t="shared" si="20"/>
        <v>22.690568424990282</v>
      </c>
      <c r="J6" s="31">
        <f t="shared" si="20"/>
        <v>22.964129012117777</v>
      </c>
      <c r="K6" s="31">
        <f t="shared" si="20"/>
        <v>23.495669818213365</v>
      </c>
      <c r="L6" s="31">
        <f t="shared" si="20"/>
        <v>22.722226647618225</v>
      </c>
      <c r="M6" s="31">
        <f t="shared" si="0"/>
        <v>22.346398935109114</v>
      </c>
      <c r="N6" s="31">
        <f>(N5/N4)*100</f>
        <v>21.9705712226</v>
      </c>
      <c r="O6" s="31">
        <f>(O5/O4)*100</f>
        <v>22.336456987501055</v>
      </c>
      <c r="P6" s="31">
        <f t="shared" ref="P6:AA6" si="21">(P5/P4)*100</f>
        <v>22.280506412783449</v>
      </c>
      <c r="Q6" s="31">
        <f t="shared" si="21"/>
        <v>21.823568610053609</v>
      </c>
      <c r="R6" s="31">
        <f t="shared" si="21"/>
        <v>22.330659550947153</v>
      </c>
      <c r="S6" s="31">
        <f t="shared" si="21"/>
        <v>21.961616352875733</v>
      </c>
      <c r="T6" s="31">
        <f t="shared" si="21"/>
        <v>22.175308292752881</v>
      </c>
      <c r="U6" s="31">
        <f t="shared" si="21"/>
        <v>22.197037649904793</v>
      </c>
      <c r="V6" s="31">
        <f t="shared" si="21"/>
        <v>21.917422363622993</v>
      </c>
      <c r="W6" s="31">
        <f t="shared" si="21"/>
        <v>22.423519190290804</v>
      </c>
      <c r="X6" s="31">
        <f t="shared" si="21"/>
        <v>22.192984917782042</v>
      </c>
      <c r="Y6" s="31">
        <f t="shared" si="21"/>
        <v>23.714062488603396</v>
      </c>
      <c r="Z6" s="31">
        <f t="shared" si="21"/>
        <v>23.062314777692023</v>
      </c>
      <c r="AA6" s="31">
        <f t="shared" si="21"/>
        <v>22.229163171008263</v>
      </c>
      <c r="AB6" s="31">
        <f t="shared" ref="AB6:AC6" si="22">(AB5/AB4)*100</f>
        <v>20.670989254511692</v>
      </c>
      <c r="AC6" s="31">
        <f t="shared" si="22"/>
        <v>21.089846336555425</v>
      </c>
      <c r="AD6" s="31">
        <f t="shared" ref="AD6:AE6" si="23">(AD5/AD4)*100</f>
        <v>20.869343714423731</v>
      </c>
      <c r="AE6" s="31">
        <f t="shared" si="23"/>
        <v>22.18846295000132</v>
      </c>
      <c r="AF6" s="31">
        <f t="shared" ref="AF6:AG6" si="24">(AF5/AF4)*100</f>
        <v>21.766699877379256</v>
      </c>
      <c r="AG6" s="31">
        <f t="shared" si="24"/>
        <v>20.584544898180564</v>
      </c>
      <c r="AH6" s="108">
        <f t="shared" ref="AH6:AR6" si="25">(AH5/AH4)*100</f>
        <v>25.079043067952995</v>
      </c>
      <c r="AI6" s="31">
        <f t="shared" si="25"/>
        <v>25.014116246166846</v>
      </c>
      <c r="AJ6" s="31">
        <f t="shared" si="25"/>
        <v>22.906453524473264</v>
      </c>
      <c r="AK6" s="31">
        <f t="shared" si="25"/>
        <v>22.38641824840721</v>
      </c>
      <c r="AL6" s="31">
        <f t="shared" si="25"/>
        <v>22.845677242960775</v>
      </c>
      <c r="AM6" s="31">
        <f t="shared" si="25"/>
        <v>23.071179365363541</v>
      </c>
      <c r="AN6" s="31">
        <f t="shared" si="25"/>
        <v>22.011007497304867</v>
      </c>
      <c r="AO6" s="31">
        <f t="shared" si="25"/>
        <v>21.730735284553855</v>
      </c>
      <c r="AP6" s="31">
        <f t="shared" si="25"/>
        <v>21.449716037974895</v>
      </c>
      <c r="AQ6" s="31">
        <f t="shared" si="25"/>
        <v>20.253343197288007</v>
      </c>
      <c r="AR6" s="31">
        <f t="shared" si="25"/>
        <v>20.914735378262975</v>
      </c>
      <c r="AS6" s="31">
        <f t="shared" si="5"/>
        <v>20.607760016943171</v>
      </c>
      <c r="AT6" s="31">
        <f>(AT5/AT4)*100</f>
        <v>20.300784655623367</v>
      </c>
      <c r="AU6" s="31">
        <f>(AU5/AU4)*100</f>
        <v>20.588815199856604</v>
      </c>
      <c r="AV6" s="31">
        <f t="shared" ref="AV6:BG6" si="26">(AV5/AV4)*100</f>
        <v>20.725484345393436</v>
      </c>
      <c r="AW6" s="31">
        <f t="shared" si="26"/>
        <v>19.72152360236549</v>
      </c>
      <c r="AX6" s="31">
        <f t="shared" si="26"/>
        <v>20.124366542405209</v>
      </c>
      <c r="AY6" s="31">
        <f t="shared" si="26"/>
        <v>20.005092022295131</v>
      </c>
      <c r="AZ6" s="31">
        <f t="shared" si="26"/>
        <v>19.884120533437983</v>
      </c>
      <c r="BA6" s="31">
        <f t="shared" si="26"/>
        <v>20.496664738000707</v>
      </c>
      <c r="BB6" s="31">
        <f t="shared" si="26"/>
        <v>19.648444418206505</v>
      </c>
      <c r="BC6" s="31">
        <f t="shared" si="26"/>
        <v>19.938091719456136</v>
      </c>
      <c r="BD6" s="31">
        <f t="shared" si="26"/>
        <v>19.614266381697323</v>
      </c>
      <c r="BE6" s="31">
        <f t="shared" si="26"/>
        <v>20.452829723575434</v>
      </c>
      <c r="BF6" s="31">
        <f t="shared" si="26"/>
        <v>19.138419964311311</v>
      </c>
      <c r="BG6" s="31">
        <f t="shared" si="26"/>
        <v>18.0622655289576</v>
      </c>
      <c r="BH6" s="31">
        <f t="shared" ref="BH6:BI6" si="27">(BH5/BH4)*100</f>
        <v>16.846709048324652</v>
      </c>
      <c r="BI6" s="31">
        <f t="shared" si="27"/>
        <v>17.228271227450882</v>
      </c>
      <c r="BJ6" s="31">
        <f t="shared" ref="BJ6:BK6" si="28">(BJ5/BJ4)*100</f>
        <v>16.356901207673697</v>
      </c>
      <c r="BK6" s="31">
        <f t="shared" si="28"/>
        <v>18.199456588401024</v>
      </c>
      <c r="BL6" s="31">
        <f t="shared" ref="BL6:BM6" si="29">(BL5/BL4)*100</f>
        <v>17.641691265185948</v>
      </c>
      <c r="BM6" s="31">
        <f t="shared" si="29"/>
        <v>16.522944183154809</v>
      </c>
    </row>
    <row r="7" spans="1:65">
      <c r="A7" s="25" t="s">
        <v>18</v>
      </c>
      <c r="B7" s="155">
        <f>ROUND(8537,0)</f>
        <v>8537</v>
      </c>
      <c r="C7">
        <f>ROUND(2793,0)</f>
        <v>2793</v>
      </c>
      <c r="D7">
        <f>ROUND(9260,0)</f>
        <v>9260</v>
      </c>
      <c r="E7">
        <f>ROUND(8847247/1000,0)</f>
        <v>8847</v>
      </c>
      <c r="F7">
        <f>ROUND(10148310/1000,0)</f>
        <v>10148</v>
      </c>
      <c r="G7">
        <f>ROUND(10393996/1000,0)</f>
        <v>10394</v>
      </c>
      <c r="H7">
        <f>ROUND(8992207/1000,0)</f>
        <v>8992</v>
      </c>
      <c r="I7">
        <f>ROUND(8817.687,0)</f>
        <v>8818</v>
      </c>
      <c r="J7">
        <f>ROUND(9101.687,0)</f>
        <v>9102</v>
      </c>
      <c r="K7">
        <f>ROUND(10054.447,0)</f>
        <v>10054</v>
      </c>
      <c r="L7">
        <v>10430.69</v>
      </c>
      <c r="M7">
        <f t="shared" si="0"/>
        <v>10281.874</v>
      </c>
      <c r="N7">
        <v>10133.058000000001</v>
      </c>
      <c r="O7">
        <v>9304.2620000000006</v>
      </c>
      <c r="P7">
        <v>11041.195</v>
      </c>
      <c r="Q7">
        <v>12024.144</v>
      </c>
      <c r="R7">
        <v>12751.413</v>
      </c>
      <c r="S7">
        <v>14083.047</v>
      </c>
      <c r="T7">
        <v>14138.718999999999</v>
      </c>
      <c r="U7">
        <v>13707.235000000001</v>
      </c>
      <c r="V7">
        <v>14248.787</v>
      </c>
      <c r="W7">
        <v>15599.947</v>
      </c>
      <c r="X7">
        <v>16238.85</v>
      </c>
      <c r="Y7">
        <v>14760.594999999999</v>
      </c>
      <c r="Z7">
        <v>11193.541999999999</v>
      </c>
      <c r="AA7">
        <v>8659.598</v>
      </c>
      <c r="AB7">
        <v>8774.7909999999993</v>
      </c>
      <c r="AC7">
        <v>9935.4220000000005</v>
      </c>
      <c r="AD7">
        <v>9674.4950000000008</v>
      </c>
      <c r="AE7">
        <v>10671.429</v>
      </c>
      <c r="AF7" s="8">
        <v>11465.031000000001</v>
      </c>
      <c r="AG7" s="8">
        <v>10550.351000000001</v>
      </c>
      <c r="AH7" s="155">
        <f>ROUND(10440,0)</f>
        <v>10440</v>
      </c>
      <c r="AI7">
        <f>ROUND(11136,0)</f>
        <v>11136</v>
      </c>
      <c r="AJ7">
        <f>ROUND(8671,0)</f>
        <v>8671</v>
      </c>
      <c r="AK7">
        <f>ROUND(6908,0)</f>
        <v>6908</v>
      </c>
      <c r="AL7">
        <f>ROUND(7444,0)</f>
        <v>7444</v>
      </c>
      <c r="AM7">
        <f>ROUND(7241,0)</f>
        <v>7241</v>
      </c>
      <c r="AN7">
        <f>ROUND(6382,0)</f>
        <v>6382</v>
      </c>
      <c r="AO7">
        <f>ROUND(6242,0)</f>
        <v>6242</v>
      </c>
      <c r="AP7">
        <f>ROUND(6074,0)</f>
        <v>6074</v>
      </c>
      <c r="AQ7">
        <v>6171</v>
      </c>
      <c r="AR7">
        <v>6194</v>
      </c>
      <c r="AS7">
        <f t="shared" si="5"/>
        <v>6360.5</v>
      </c>
      <c r="AT7">
        <v>6527</v>
      </c>
      <c r="AU7">
        <v>5771</v>
      </c>
      <c r="AV7">
        <v>6099</v>
      </c>
      <c r="AW7">
        <v>6047</v>
      </c>
      <c r="AX7">
        <v>6193</v>
      </c>
      <c r="AY7">
        <v>6878</v>
      </c>
      <c r="AZ7">
        <v>7041</v>
      </c>
      <c r="BA7">
        <v>6479</v>
      </c>
      <c r="BB7">
        <v>6238</v>
      </c>
      <c r="BC7">
        <v>6597</v>
      </c>
      <c r="BD7">
        <v>6684</v>
      </c>
      <c r="BE7">
        <v>6426</v>
      </c>
      <c r="BF7">
        <v>4365</v>
      </c>
      <c r="BG7">
        <v>3713</v>
      </c>
      <c r="BH7" s="8">
        <v>3510</v>
      </c>
      <c r="BI7" s="8">
        <v>3803</v>
      </c>
      <c r="BJ7" s="8">
        <v>3702</v>
      </c>
      <c r="BK7" s="8">
        <v>3917</v>
      </c>
      <c r="BL7" s="8">
        <v>4175</v>
      </c>
      <c r="BM7" s="8">
        <v>3696</v>
      </c>
    </row>
    <row r="8" spans="1:65">
      <c r="A8" s="25" t="s">
        <v>19</v>
      </c>
      <c r="B8" s="155">
        <f>ROUND(5065,0)</f>
        <v>5065</v>
      </c>
      <c r="C8">
        <f>ROUND(1585,0)</f>
        <v>1585</v>
      </c>
      <c r="D8">
        <f>ROUND(5365,0)</f>
        <v>5365</v>
      </c>
      <c r="E8">
        <f>ROUND(6613708/1000,0)</f>
        <v>6614</v>
      </c>
      <c r="F8">
        <f>ROUND(6138296/1000,0)</f>
        <v>6138</v>
      </c>
      <c r="G8">
        <f>ROUND(6490392/1000,0)</f>
        <v>6490</v>
      </c>
      <c r="H8">
        <f>ROUND(6557223/1000,0)</f>
        <v>6557</v>
      </c>
      <c r="I8">
        <f>ROUND(5462.928,0)</f>
        <v>5463</v>
      </c>
      <c r="J8">
        <f>ROUND(6214.386,0)</f>
        <v>6214</v>
      </c>
      <c r="K8">
        <f>ROUND(6423.465,0)</f>
        <v>6423</v>
      </c>
      <c r="L8">
        <v>6555.5029999999997</v>
      </c>
      <c r="M8">
        <f t="shared" si="0"/>
        <v>6560.5264999999999</v>
      </c>
      <c r="N8">
        <v>6565.55</v>
      </c>
      <c r="O8">
        <v>6906.7139999999999</v>
      </c>
      <c r="P8">
        <v>6856.1</v>
      </c>
      <c r="Q8">
        <v>6289.366</v>
      </c>
      <c r="R8">
        <v>6822.3720000000003</v>
      </c>
      <c r="S8">
        <v>7655.759</v>
      </c>
      <c r="T8">
        <v>9414.2549999999992</v>
      </c>
      <c r="U8">
        <v>10596.458000000001</v>
      </c>
      <c r="V8">
        <v>9282.6869999999999</v>
      </c>
      <c r="W8">
        <v>9963.1139999999996</v>
      </c>
      <c r="X8">
        <v>9637.74</v>
      </c>
      <c r="Y8">
        <v>8550.7360000000008</v>
      </c>
      <c r="Z8">
        <v>5467.1189999999997</v>
      </c>
      <c r="AA8">
        <v>4823.2120000000004</v>
      </c>
      <c r="AB8">
        <v>4962.9750000000004</v>
      </c>
      <c r="AC8">
        <v>5499.4170000000004</v>
      </c>
      <c r="AD8">
        <v>5708.27</v>
      </c>
      <c r="AE8">
        <v>7858.8389999999999</v>
      </c>
      <c r="AF8" s="8">
        <v>6941.1909999999998</v>
      </c>
      <c r="AG8" s="8">
        <v>6195.7039999999997</v>
      </c>
      <c r="AH8" s="155">
        <f>ROUND(6428,0)</f>
        <v>6428</v>
      </c>
      <c r="AI8">
        <f>ROUND(5985,0)</f>
        <v>5985</v>
      </c>
      <c r="AJ8">
        <f>ROUND(5582,0)</f>
        <v>5582</v>
      </c>
      <c r="AK8">
        <f>ROUND(5989,0)</f>
        <v>5989</v>
      </c>
      <c r="AL8">
        <f>ROUND(5548,0)</f>
        <v>5548</v>
      </c>
      <c r="AM8">
        <f>ROUND(7131,0)</f>
        <v>7131</v>
      </c>
      <c r="AN8">
        <f>ROUND(5002,0)</f>
        <v>5002</v>
      </c>
      <c r="AO8">
        <f>ROUND(4580,0)</f>
        <v>4580</v>
      </c>
      <c r="AP8">
        <f>ROUND(4322,0)</f>
        <v>4322</v>
      </c>
      <c r="AQ8">
        <v>4147</v>
      </c>
      <c r="AR8">
        <v>4026</v>
      </c>
      <c r="AS8">
        <f t="shared" si="5"/>
        <v>4020.5</v>
      </c>
      <c r="AT8">
        <v>4015</v>
      </c>
      <c r="AU8">
        <v>4067</v>
      </c>
      <c r="AV8">
        <v>4063</v>
      </c>
      <c r="AW8">
        <v>3571</v>
      </c>
      <c r="AX8">
        <v>4194</v>
      </c>
      <c r="AY8">
        <v>4731</v>
      </c>
      <c r="AZ8">
        <v>5316</v>
      </c>
      <c r="BA8">
        <v>5050</v>
      </c>
      <c r="BB8">
        <v>4681</v>
      </c>
      <c r="BC8">
        <v>4846</v>
      </c>
      <c r="BD8">
        <v>4490</v>
      </c>
      <c r="BE8">
        <v>3760</v>
      </c>
      <c r="BF8">
        <v>2508</v>
      </c>
      <c r="BG8">
        <v>2098</v>
      </c>
      <c r="BH8" s="8">
        <v>2100</v>
      </c>
      <c r="BI8" s="8">
        <v>2220</v>
      </c>
      <c r="BJ8" s="8">
        <v>2288</v>
      </c>
      <c r="BK8" s="8">
        <v>2870</v>
      </c>
      <c r="BL8" s="8">
        <v>2487</v>
      </c>
      <c r="BM8" s="8">
        <v>2097</v>
      </c>
    </row>
    <row r="9" spans="1:65">
      <c r="A9" s="25" t="s">
        <v>113</v>
      </c>
      <c r="B9" s="155">
        <v>1532.2860000000001</v>
      </c>
      <c r="C9">
        <f>((D9-B9)/2)+B9</f>
        <v>1777.2935</v>
      </c>
      <c r="D9">
        <v>2022.3009999999999</v>
      </c>
      <c r="E9">
        <v>2173.3710000000001</v>
      </c>
      <c r="F9">
        <v>2438.2159999999999</v>
      </c>
      <c r="G9">
        <v>2594.2370000000001</v>
      </c>
      <c r="H9">
        <v>2198.0410000000002</v>
      </c>
      <c r="I9">
        <v>2054.8879999999999</v>
      </c>
      <c r="J9">
        <v>1805.3330000000001</v>
      </c>
      <c r="K9">
        <v>2141.6010000000001</v>
      </c>
      <c r="L9">
        <v>2079.4650000000001</v>
      </c>
      <c r="M9">
        <f t="shared" si="0"/>
        <v>2194.1815000000001</v>
      </c>
      <c r="N9">
        <v>2308.8980000000001</v>
      </c>
      <c r="O9">
        <v>2577.6060000000002</v>
      </c>
      <c r="P9">
        <v>2450.902</v>
      </c>
      <c r="Q9">
        <v>2165.6509999999998</v>
      </c>
      <c r="R9">
        <v>2750.3270000000002</v>
      </c>
      <c r="S9">
        <v>2788.0830000000001</v>
      </c>
      <c r="T9">
        <v>2920.8069999999998</v>
      </c>
      <c r="U9">
        <v>3667.5619999999999</v>
      </c>
      <c r="V9">
        <v>3637.451</v>
      </c>
      <c r="W9">
        <v>3245.2190000000001</v>
      </c>
      <c r="X9">
        <v>3086.306</v>
      </c>
      <c r="Y9">
        <v>3465.9</v>
      </c>
      <c r="Z9">
        <v>1419.05</v>
      </c>
      <c r="AA9">
        <v>2231.4659999999999</v>
      </c>
      <c r="AB9">
        <v>1559.579</v>
      </c>
      <c r="AC9">
        <v>1663.338</v>
      </c>
      <c r="AD9">
        <v>1661.981</v>
      </c>
      <c r="AE9">
        <v>2565.424</v>
      </c>
      <c r="AF9" s="8">
        <v>2137.9380000000001</v>
      </c>
      <c r="AG9" s="8">
        <v>2514.453</v>
      </c>
      <c r="AH9" s="155">
        <v>1793</v>
      </c>
      <c r="AI9">
        <f>((AJ9-AH9)/2)+AH9</f>
        <v>1810</v>
      </c>
      <c r="AJ9">
        <v>1827</v>
      </c>
      <c r="AK9">
        <v>1764</v>
      </c>
      <c r="AL9">
        <v>1769</v>
      </c>
      <c r="AM9">
        <v>1780</v>
      </c>
      <c r="AN9">
        <v>1459</v>
      </c>
      <c r="AO9">
        <v>1378</v>
      </c>
      <c r="AP9">
        <v>1445</v>
      </c>
      <c r="AQ9">
        <v>1715</v>
      </c>
      <c r="AR9">
        <v>1482</v>
      </c>
      <c r="AS9">
        <f t="shared" si="5"/>
        <v>1615</v>
      </c>
      <c r="AT9">
        <v>1748</v>
      </c>
      <c r="AU9">
        <v>1792</v>
      </c>
      <c r="AV9">
        <v>1838</v>
      </c>
      <c r="AW9">
        <v>1862</v>
      </c>
      <c r="AX9">
        <v>1552</v>
      </c>
      <c r="AY9">
        <v>1577</v>
      </c>
      <c r="AZ9">
        <v>1593</v>
      </c>
      <c r="BA9">
        <v>1745</v>
      </c>
      <c r="BB9">
        <v>1777</v>
      </c>
      <c r="BC9">
        <v>1579</v>
      </c>
      <c r="BD9">
        <v>1395</v>
      </c>
      <c r="BE9">
        <v>1494</v>
      </c>
      <c r="BF9">
        <v>820</v>
      </c>
      <c r="BG9">
        <v>1525</v>
      </c>
      <c r="BH9" s="8">
        <v>871</v>
      </c>
      <c r="BI9" s="8">
        <v>2021</v>
      </c>
      <c r="BJ9" s="8">
        <v>1051</v>
      </c>
      <c r="BK9" s="8">
        <v>1837</v>
      </c>
      <c r="BL9" s="8">
        <v>1341</v>
      </c>
      <c r="BM9" s="8">
        <v>1261</v>
      </c>
    </row>
    <row r="10" spans="1:65">
      <c r="A10" s="25" t="s">
        <v>20</v>
      </c>
      <c r="B10" s="155">
        <f>ROUND(15004,0)</f>
        <v>15004</v>
      </c>
      <c r="C10">
        <f>ROUND(5328,0)</f>
        <v>5328</v>
      </c>
      <c r="D10">
        <f>ROUND(19823,0)</f>
        <v>19823</v>
      </c>
      <c r="E10">
        <f>ROUND(17765617/1000,0)</f>
        <v>17766</v>
      </c>
      <c r="F10">
        <f>ROUND(20885612/1000,0)</f>
        <v>20886</v>
      </c>
      <c r="G10">
        <f>ROUND(21333332/1000,0)</f>
        <v>21333</v>
      </c>
      <c r="H10">
        <f>ROUND(18383226/1000,0)</f>
        <v>18383</v>
      </c>
      <c r="I10">
        <f>ROUND(20120.816,0)</f>
        <v>20121</v>
      </c>
      <c r="J10">
        <f>ROUND(21984.574,0)</f>
        <v>21985</v>
      </c>
      <c r="K10">
        <v>19267.921999999999</v>
      </c>
      <c r="L10">
        <v>22151.073</v>
      </c>
      <c r="M10">
        <f t="shared" si="0"/>
        <v>22118.095000000001</v>
      </c>
      <c r="N10">
        <v>22085.116999999998</v>
      </c>
      <c r="O10">
        <v>22722.721000000001</v>
      </c>
      <c r="P10">
        <v>23105.249</v>
      </c>
      <c r="Q10">
        <v>22236.920999999998</v>
      </c>
      <c r="R10">
        <v>24434.777999999998</v>
      </c>
      <c r="S10">
        <v>26422.485000000001</v>
      </c>
      <c r="T10">
        <v>28015.073</v>
      </c>
      <c r="U10">
        <v>36705.921999999999</v>
      </c>
      <c r="V10">
        <v>35442.063000000002</v>
      </c>
      <c r="W10">
        <v>37053.432999999997</v>
      </c>
      <c r="X10">
        <v>36477.625</v>
      </c>
      <c r="Y10">
        <v>32220.667000000001</v>
      </c>
      <c r="Z10">
        <v>17285.204000000002</v>
      </c>
      <c r="AA10">
        <v>12823.054</v>
      </c>
      <c r="AB10">
        <v>15940.22</v>
      </c>
      <c r="AC10">
        <v>17348.68</v>
      </c>
      <c r="AD10">
        <v>20289.397000000001</v>
      </c>
      <c r="AE10">
        <v>23241.367999999999</v>
      </c>
      <c r="AF10" s="8">
        <v>26167.830999999998</v>
      </c>
      <c r="AG10" s="8">
        <v>20660.190999999999</v>
      </c>
      <c r="AH10" s="155">
        <f>ROUND(15665,0)</f>
        <v>15665</v>
      </c>
      <c r="AI10">
        <f>ROUND(18051,0)</f>
        <v>18051</v>
      </c>
      <c r="AJ10">
        <f>ROUND(18340,0)</f>
        <v>18340</v>
      </c>
      <c r="AK10">
        <f>ROUND(14883,0)</f>
        <v>14883</v>
      </c>
      <c r="AL10">
        <f>ROUND(17040,0)</f>
        <v>17040</v>
      </c>
      <c r="AM10">
        <f>ROUND(16690,0)</f>
        <v>16690</v>
      </c>
      <c r="AN10">
        <f>ROUND(14425,0)</f>
        <v>14425</v>
      </c>
      <c r="AO10">
        <f>ROUND(14827,0)</f>
        <v>14827</v>
      </c>
      <c r="AP10">
        <f>ROUND(17421,0)</f>
        <v>17421</v>
      </c>
      <c r="AQ10">
        <v>14468</v>
      </c>
      <c r="AR10">
        <v>16677</v>
      </c>
      <c r="AS10">
        <f t="shared" si="5"/>
        <v>16207</v>
      </c>
      <c r="AT10">
        <v>15737</v>
      </c>
      <c r="AU10">
        <v>15737</v>
      </c>
      <c r="AV10">
        <v>15657</v>
      </c>
      <c r="AW10">
        <v>13709</v>
      </c>
      <c r="AX10">
        <v>14222</v>
      </c>
      <c r="AY10">
        <v>14943</v>
      </c>
      <c r="AZ10">
        <v>14782</v>
      </c>
      <c r="BA10">
        <v>17313</v>
      </c>
      <c r="BB10">
        <v>16364</v>
      </c>
      <c r="BC10">
        <v>16421</v>
      </c>
      <c r="BD10">
        <v>15666</v>
      </c>
      <c r="BE10">
        <v>14183</v>
      </c>
      <c r="BF10">
        <v>8280</v>
      </c>
      <c r="BG10">
        <v>6716</v>
      </c>
      <c r="BH10" s="8">
        <v>7634</v>
      </c>
      <c r="BI10" s="8">
        <v>8100</v>
      </c>
      <c r="BJ10" s="8">
        <v>8325</v>
      </c>
      <c r="BK10" s="8">
        <v>9398</v>
      </c>
      <c r="BL10" s="8">
        <v>10292</v>
      </c>
      <c r="BM10" s="8">
        <v>6727</v>
      </c>
    </row>
    <row r="11" spans="1:65">
      <c r="A11" s="25" t="s">
        <v>21</v>
      </c>
      <c r="B11" s="155">
        <f>ROUND(8451,0)</f>
        <v>8451</v>
      </c>
      <c r="C11">
        <f>ROUND(3174,0)</f>
        <v>3174</v>
      </c>
      <c r="D11">
        <f>ROUND(11470,0)</f>
        <v>11470</v>
      </c>
      <c r="E11">
        <f>ROUND(11051778/1000,0)</f>
        <v>11052</v>
      </c>
      <c r="F11">
        <f>ROUND(13243251/1000,0)</f>
        <v>13243</v>
      </c>
      <c r="G11">
        <f>ROUND(13375814/1000,0)</f>
        <v>13376</v>
      </c>
      <c r="H11">
        <f>ROUND(14968435/1000,0)</f>
        <v>14968</v>
      </c>
      <c r="I11">
        <f>ROUND(12830.834,0)</f>
        <v>12831</v>
      </c>
      <c r="J11">
        <f>ROUND(12341.872,0)</f>
        <v>12342</v>
      </c>
      <c r="K11">
        <v>12604.692999999999</v>
      </c>
      <c r="L11">
        <v>13014.337</v>
      </c>
      <c r="M11">
        <f t="shared" si="0"/>
        <v>13108.298500000001</v>
      </c>
      <c r="N11">
        <v>13202.26</v>
      </c>
      <c r="O11">
        <v>13721.489</v>
      </c>
      <c r="P11">
        <v>12823.111000000001</v>
      </c>
      <c r="Q11">
        <v>15215.618</v>
      </c>
      <c r="R11">
        <v>13893.89</v>
      </c>
      <c r="S11">
        <v>16121.833000000001</v>
      </c>
      <c r="T11">
        <v>16631.536</v>
      </c>
      <c r="U11">
        <v>20422.8</v>
      </c>
      <c r="V11">
        <v>21846.078000000001</v>
      </c>
      <c r="W11">
        <v>19967.52</v>
      </c>
      <c r="X11">
        <v>20497.733</v>
      </c>
      <c r="Y11">
        <v>19421.868999999999</v>
      </c>
      <c r="Z11">
        <v>12844.339</v>
      </c>
      <c r="AA11">
        <v>8708.8230000000003</v>
      </c>
      <c r="AB11">
        <v>6754.5159999999996</v>
      </c>
      <c r="AC11">
        <v>10512.603999999999</v>
      </c>
      <c r="AD11">
        <v>12523.529</v>
      </c>
      <c r="AE11">
        <v>14535.183000000001</v>
      </c>
      <c r="AF11" s="8">
        <v>13593.511</v>
      </c>
      <c r="AG11" s="8">
        <v>9827.9920000000002</v>
      </c>
      <c r="AH11" s="155">
        <f>ROUND(11246,0)</f>
        <v>11246</v>
      </c>
      <c r="AI11">
        <f>ROUND(14247,0)</f>
        <v>14247</v>
      </c>
      <c r="AJ11">
        <f>ROUND(10820,0)</f>
        <v>10820</v>
      </c>
      <c r="AK11">
        <f>ROUND(9616,0)</f>
        <v>9616</v>
      </c>
      <c r="AL11">
        <f>ROUND(10224,0)</f>
        <v>10224</v>
      </c>
      <c r="AM11">
        <f>ROUND(10633,0)</f>
        <v>10633</v>
      </c>
      <c r="AN11">
        <f>ROUND(10285,0)</f>
        <v>10285</v>
      </c>
      <c r="AO11">
        <f>ROUND(8775,0)</f>
        <v>8775</v>
      </c>
      <c r="AP11">
        <f>ROUND(8061,0)</f>
        <v>8061</v>
      </c>
      <c r="AQ11">
        <v>7709</v>
      </c>
      <c r="AR11">
        <v>8185</v>
      </c>
      <c r="AS11">
        <f t="shared" si="5"/>
        <v>8213</v>
      </c>
      <c r="AT11">
        <v>8241</v>
      </c>
      <c r="AU11">
        <v>8099</v>
      </c>
      <c r="AV11">
        <v>7314</v>
      </c>
      <c r="AW11">
        <v>7515</v>
      </c>
      <c r="AX11">
        <v>6422</v>
      </c>
      <c r="AY11">
        <v>7086</v>
      </c>
      <c r="AZ11">
        <v>7105</v>
      </c>
      <c r="BA11">
        <v>8091</v>
      </c>
      <c r="BB11">
        <v>8009</v>
      </c>
      <c r="BC11">
        <v>7469</v>
      </c>
      <c r="BD11">
        <v>7947</v>
      </c>
      <c r="BE11">
        <v>7352</v>
      </c>
      <c r="BF11">
        <v>5165</v>
      </c>
      <c r="BG11">
        <v>4148</v>
      </c>
      <c r="BH11" s="8">
        <v>2909</v>
      </c>
      <c r="BI11" s="8">
        <v>3769</v>
      </c>
      <c r="BJ11" s="8">
        <v>3913</v>
      </c>
      <c r="BK11" s="8">
        <v>4488</v>
      </c>
      <c r="BL11" s="8">
        <v>4038</v>
      </c>
      <c r="BM11" s="8">
        <v>2548</v>
      </c>
    </row>
    <row r="12" spans="1:65">
      <c r="A12" s="25" t="s">
        <v>22</v>
      </c>
      <c r="B12" s="155">
        <f>ROUND(8186,0)</f>
        <v>8186</v>
      </c>
      <c r="C12">
        <f>ROUND(2656,0)</f>
        <v>2656</v>
      </c>
      <c r="D12">
        <f>ROUND(9489,0)</f>
        <v>9489</v>
      </c>
      <c r="E12">
        <f>ROUND(9595404/1000,0)</f>
        <v>9595</v>
      </c>
      <c r="F12">
        <f>ROUND(11033217/1000,0)</f>
        <v>11033</v>
      </c>
      <c r="G12">
        <f>ROUND(12029348/1000,0)</f>
        <v>12029</v>
      </c>
      <c r="H12">
        <f>ROUND(10261577/1000,0)</f>
        <v>10262</v>
      </c>
      <c r="I12">
        <f>ROUND(10798.45,0)</f>
        <v>10798</v>
      </c>
      <c r="J12">
        <f>ROUND(10812.692,0)</f>
        <v>10813</v>
      </c>
      <c r="K12">
        <v>10974.82</v>
      </c>
      <c r="L12">
        <v>11970.92</v>
      </c>
      <c r="M12">
        <f t="shared" si="0"/>
        <v>11696.347</v>
      </c>
      <c r="N12">
        <v>11421.773999999999</v>
      </c>
      <c r="O12">
        <v>12006.664000000001</v>
      </c>
      <c r="P12">
        <v>11555.34</v>
      </c>
      <c r="Q12">
        <v>10880.189</v>
      </c>
      <c r="R12">
        <v>14102.071</v>
      </c>
      <c r="S12">
        <v>12886.370999999999</v>
      </c>
      <c r="T12">
        <v>15726.111000000001</v>
      </c>
      <c r="U12">
        <v>17945.184000000001</v>
      </c>
      <c r="V12">
        <v>18239.245999999999</v>
      </c>
      <c r="W12">
        <v>14775.257</v>
      </c>
      <c r="X12">
        <v>15419.130999999999</v>
      </c>
      <c r="Y12">
        <v>17651.506000000001</v>
      </c>
      <c r="Z12">
        <v>9994.277</v>
      </c>
      <c r="AA12">
        <v>8435.1489999999994</v>
      </c>
      <c r="AB12">
        <v>9844.0339999999997</v>
      </c>
      <c r="AC12">
        <v>9913.3150000000005</v>
      </c>
      <c r="AD12">
        <v>9906.3670000000002</v>
      </c>
      <c r="AE12">
        <v>12900.002</v>
      </c>
      <c r="AF12" s="8">
        <v>10294.703</v>
      </c>
      <c r="AG12" s="8">
        <v>7396.6180000000004</v>
      </c>
      <c r="AH12" s="155">
        <f>ROUND(11576,0)</f>
        <v>11576</v>
      </c>
      <c r="AI12">
        <f>ROUND(12236,0)</f>
        <v>12236</v>
      </c>
      <c r="AJ12">
        <f>ROUND(10087,0)</f>
        <v>10087</v>
      </c>
      <c r="AK12">
        <f>ROUND(9292,0)</f>
        <v>9292</v>
      </c>
      <c r="AL12">
        <f>ROUND(10390,0)</f>
        <v>10390</v>
      </c>
      <c r="AM12">
        <f>ROUND(10859,0)</f>
        <v>10859</v>
      </c>
      <c r="AN12">
        <f>ROUND(9537,0)</f>
        <v>9537</v>
      </c>
      <c r="AO12">
        <f>ROUND(9149,0)</f>
        <v>9149</v>
      </c>
      <c r="AP12">
        <f>ROUND(8594,0)</f>
        <v>8594</v>
      </c>
      <c r="AQ12">
        <v>8133</v>
      </c>
      <c r="AR12">
        <v>8296</v>
      </c>
      <c r="AS12">
        <f t="shared" si="5"/>
        <v>8204</v>
      </c>
      <c r="AT12">
        <v>8112</v>
      </c>
      <c r="AU12">
        <v>7846</v>
      </c>
      <c r="AV12">
        <v>7766</v>
      </c>
      <c r="AW12">
        <v>6831</v>
      </c>
      <c r="AX12">
        <v>8484</v>
      </c>
      <c r="AY12">
        <v>7684</v>
      </c>
      <c r="AZ12">
        <v>8600</v>
      </c>
      <c r="BA12">
        <v>9423</v>
      </c>
      <c r="BB12">
        <v>9214</v>
      </c>
      <c r="BC12">
        <v>7902</v>
      </c>
      <c r="BD12">
        <v>7605</v>
      </c>
      <c r="BE12">
        <v>8752</v>
      </c>
      <c r="BF12">
        <v>5638</v>
      </c>
      <c r="BG12">
        <v>4805</v>
      </c>
      <c r="BH12" s="8">
        <v>6266</v>
      </c>
      <c r="BI12" s="8">
        <v>6000</v>
      </c>
      <c r="BJ12" s="8">
        <v>5423</v>
      </c>
      <c r="BK12" s="8">
        <v>7344</v>
      </c>
      <c r="BL12" s="8">
        <v>5804</v>
      </c>
      <c r="BM12" s="8">
        <v>3731</v>
      </c>
    </row>
    <row r="13" spans="1:65">
      <c r="A13" s="25" t="s">
        <v>23</v>
      </c>
      <c r="B13" s="155">
        <f>ROUND(9052,0)</f>
        <v>9052</v>
      </c>
      <c r="C13">
        <f>ROUND(3137,0)</f>
        <v>3137</v>
      </c>
      <c r="D13">
        <f>ROUND(9647,0)</f>
        <v>9647</v>
      </c>
      <c r="E13">
        <f>ROUND(10070038/1000,0)</f>
        <v>10070</v>
      </c>
      <c r="F13">
        <f>ROUND(12503589/1000,0)</f>
        <v>12504</v>
      </c>
      <c r="G13">
        <f>ROUND(10688464/1000,0)</f>
        <v>10688</v>
      </c>
      <c r="H13">
        <f>ROUND(11175086/1000,0)</f>
        <v>11175</v>
      </c>
      <c r="I13">
        <f>ROUND(10007.414,0)</f>
        <v>10007</v>
      </c>
      <c r="J13">
        <f>ROUND(11705.083,0)</f>
        <v>11705</v>
      </c>
      <c r="K13">
        <v>12597.431</v>
      </c>
      <c r="L13">
        <v>12925.623</v>
      </c>
      <c r="M13">
        <f t="shared" si="0"/>
        <v>12572.936</v>
      </c>
      <c r="N13">
        <v>12220.249</v>
      </c>
      <c r="O13">
        <v>14520.852000000001</v>
      </c>
      <c r="P13">
        <v>14309.174000000001</v>
      </c>
      <c r="Q13">
        <v>14339.949000000001</v>
      </c>
      <c r="R13">
        <v>14928.58</v>
      </c>
      <c r="S13">
        <v>14727.947</v>
      </c>
      <c r="T13">
        <v>19069.589</v>
      </c>
      <c r="U13">
        <v>21321.951000000001</v>
      </c>
      <c r="V13">
        <v>25428.393</v>
      </c>
      <c r="W13">
        <v>21347.758000000002</v>
      </c>
      <c r="X13">
        <v>23699.351999999999</v>
      </c>
      <c r="Y13">
        <v>21478.977999999999</v>
      </c>
      <c r="Z13">
        <v>11740.126</v>
      </c>
      <c r="AA13">
        <v>13690.397999999999</v>
      </c>
      <c r="AB13">
        <v>13120.061</v>
      </c>
      <c r="AC13">
        <v>11721.749</v>
      </c>
      <c r="AD13">
        <v>13718.893</v>
      </c>
      <c r="AE13">
        <v>16830.66</v>
      </c>
      <c r="AF13" s="8">
        <v>16236.554</v>
      </c>
      <c r="AG13" s="8">
        <v>16067.366</v>
      </c>
      <c r="AH13" s="155">
        <f>ROUND(10423,0)</f>
        <v>10423</v>
      </c>
      <c r="AI13">
        <f>ROUND(12490,0)</f>
        <v>12490</v>
      </c>
      <c r="AJ13">
        <f>ROUND(8244,0)</f>
        <v>8244</v>
      </c>
      <c r="AK13">
        <f>ROUND(8155,0)</f>
        <v>8155</v>
      </c>
      <c r="AL13">
        <f>ROUND(8857,0)</f>
        <v>8857</v>
      </c>
      <c r="AM13">
        <f>ROUND(7884,0)</f>
        <v>7884</v>
      </c>
      <c r="AN13">
        <f>ROUND(7716,0)</f>
        <v>7716</v>
      </c>
      <c r="AO13">
        <f>ROUND(6578,0)</f>
        <v>6578</v>
      </c>
      <c r="AP13">
        <f>ROUND(7213,0)</f>
        <v>7213</v>
      </c>
      <c r="AQ13">
        <v>7507</v>
      </c>
      <c r="AR13">
        <v>7193</v>
      </c>
      <c r="AS13">
        <f t="shared" si="5"/>
        <v>6955</v>
      </c>
      <c r="AT13">
        <v>6717</v>
      </c>
      <c r="AU13">
        <v>7494</v>
      </c>
      <c r="AV13">
        <v>6932</v>
      </c>
      <c r="AW13">
        <v>6501</v>
      </c>
      <c r="AX13">
        <v>6613</v>
      </c>
      <c r="AY13">
        <v>6704</v>
      </c>
      <c r="AZ13">
        <v>7943</v>
      </c>
      <c r="BA13">
        <v>8519</v>
      </c>
      <c r="BB13">
        <v>8491</v>
      </c>
      <c r="BC13">
        <v>7624</v>
      </c>
      <c r="BD13">
        <v>7380</v>
      </c>
      <c r="BE13">
        <v>6668</v>
      </c>
      <c r="BF13">
        <v>4695</v>
      </c>
      <c r="BG13">
        <v>5172</v>
      </c>
      <c r="BH13" s="8">
        <v>4792</v>
      </c>
      <c r="BI13" s="8">
        <v>4615</v>
      </c>
      <c r="BJ13" s="8">
        <v>4852</v>
      </c>
      <c r="BK13" s="8">
        <v>5655</v>
      </c>
      <c r="BL13" s="8">
        <v>5165</v>
      </c>
      <c r="BM13" s="8">
        <v>4029</v>
      </c>
    </row>
    <row r="14" spans="1:65">
      <c r="A14" s="25" t="s">
        <v>24</v>
      </c>
      <c r="B14" s="155">
        <f>ROUND(7842,0)</f>
        <v>7842</v>
      </c>
      <c r="C14">
        <f>ROUND(2873,0)</f>
        <v>2873</v>
      </c>
      <c r="D14">
        <f>ROUND(10109,0)</f>
        <v>10109</v>
      </c>
      <c r="E14">
        <f>ROUND(10718818/1000,0)</f>
        <v>10719</v>
      </c>
      <c r="F14">
        <f>ROUND(11849533/1000,0)</f>
        <v>11850</v>
      </c>
      <c r="G14">
        <f>ROUND(12925444/1000,0)</f>
        <v>12925</v>
      </c>
      <c r="H14">
        <f>ROUND(13083490/1000,0)</f>
        <v>13083</v>
      </c>
      <c r="I14">
        <f>ROUND(13769.546,0)</f>
        <v>13770</v>
      </c>
      <c r="J14">
        <f>ROUND(13297.102,0)</f>
        <v>13297</v>
      </c>
      <c r="K14">
        <v>13625.004999999999</v>
      </c>
      <c r="L14">
        <v>13696.079</v>
      </c>
      <c r="M14">
        <f t="shared" si="0"/>
        <v>14094.7845</v>
      </c>
      <c r="N14">
        <v>14493.49</v>
      </c>
      <c r="O14">
        <v>15392.21</v>
      </c>
      <c r="P14">
        <v>15179.155000000001</v>
      </c>
      <c r="Q14">
        <v>16109.49</v>
      </c>
      <c r="R14">
        <v>17667.062999999998</v>
      </c>
      <c r="S14">
        <v>18866.034</v>
      </c>
      <c r="T14">
        <v>21420.044000000002</v>
      </c>
      <c r="U14">
        <v>22788.63</v>
      </c>
      <c r="V14">
        <v>23454.578000000001</v>
      </c>
      <c r="W14">
        <v>22182.227999999999</v>
      </c>
      <c r="X14">
        <v>24982.080999999998</v>
      </c>
      <c r="Y14">
        <v>21841.388999999999</v>
      </c>
      <c r="Z14">
        <v>12036.791999999999</v>
      </c>
      <c r="AA14">
        <v>10310.216</v>
      </c>
      <c r="AB14">
        <v>13251.868</v>
      </c>
      <c r="AC14">
        <v>12696.432000000001</v>
      </c>
      <c r="AD14">
        <v>13242.546</v>
      </c>
      <c r="AE14">
        <v>18860.919999999998</v>
      </c>
      <c r="AF14" s="8">
        <v>18500.907999999999</v>
      </c>
      <c r="AG14" s="8">
        <v>13930.468000000001</v>
      </c>
      <c r="AH14" s="155">
        <f>ROUND(9112,0)</f>
        <v>9112</v>
      </c>
      <c r="AI14">
        <f>ROUND(7779,0)</f>
        <v>7779</v>
      </c>
      <c r="AJ14">
        <f>ROUND(9208,0)</f>
        <v>9208</v>
      </c>
      <c r="AK14">
        <f>ROUND(8583,0)</f>
        <v>8583</v>
      </c>
      <c r="AL14">
        <f>ROUND(8199,0)</f>
        <v>8199</v>
      </c>
      <c r="AM14">
        <f>ROUND(9002,0)</f>
        <v>9002</v>
      </c>
      <c r="AN14">
        <f>ROUND(8917,0)</f>
        <v>8917</v>
      </c>
      <c r="AO14">
        <f>ROUND(9448,0)</f>
        <v>9448</v>
      </c>
      <c r="AP14">
        <f>ROUND(8826,0)</f>
        <v>8826</v>
      </c>
      <c r="AQ14">
        <v>8491</v>
      </c>
      <c r="AR14">
        <v>8233</v>
      </c>
      <c r="AS14">
        <f t="shared" si="5"/>
        <v>8288</v>
      </c>
      <c r="AT14">
        <v>8343</v>
      </c>
      <c r="AU14">
        <v>8550</v>
      </c>
      <c r="AV14">
        <v>8551</v>
      </c>
      <c r="AW14">
        <v>8198</v>
      </c>
      <c r="AX14">
        <v>8302</v>
      </c>
      <c r="AY14">
        <v>8114</v>
      </c>
      <c r="AZ14">
        <v>8903</v>
      </c>
      <c r="BA14">
        <v>9154</v>
      </c>
      <c r="BB14">
        <v>9334</v>
      </c>
      <c r="BC14">
        <v>9184</v>
      </c>
      <c r="BD14">
        <v>10334</v>
      </c>
      <c r="BE14">
        <v>8609</v>
      </c>
      <c r="BF14">
        <v>5203</v>
      </c>
      <c r="BG14">
        <v>5207</v>
      </c>
      <c r="BH14" s="8">
        <v>6489</v>
      </c>
      <c r="BI14" s="8">
        <v>5746</v>
      </c>
      <c r="BJ14" s="8">
        <v>5109</v>
      </c>
      <c r="BK14" s="8">
        <v>6817</v>
      </c>
      <c r="BL14" s="8">
        <v>6206</v>
      </c>
      <c r="BM14" s="8">
        <v>3955</v>
      </c>
    </row>
    <row r="15" spans="1:65">
      <c r="A15" s="25" t="s">
        <v>25</v>
      </c>
      <c r="B15" s="155">
        <f>ROUND(5805,0)</f>
        <v>5805</v>
      </c>
      <c r="C15">
        <f>ROUND(2124,0)</f>
        <v>2124</v>
      </c>
      <c r="D15">
        <f>ROUND(6575,0)</f>
        <v>6575</v>
      </c>
      <c r="E15">
        <f>ROUND(7030758/1000,0)</f>
        <v>7031</v>
      </c>
      <c r="F15">
        <f>ROUND(9316573/1000,0)</f>
        <v>9317</v>
      </c>
      <c r="G15">
        <f>ROUND(9688651/1000,0)</f>
        <v>9689</v>
      </c>
      <c r="H15">
        <f>ROUND(8481717/1000,0)</f>
        <v>8482</v>
      </c>
      <c r="I15">
        <f>ROUND(7705.724,0)</f>
        <v>7706</v>
      </c>
      <c r="J15">
        <f>ROUND(8201.081,0)</f>
        <v>8201</v>
      </c>
      <c r="K15">
        <v>9300.1450000000004</v>
      </c>
      <c r="L15">
        <v>8426.8870000000006</v>
      </c>
      <c r="M15">
        <f t="shared" si="0"/>
        <v>9781.1834999999992</v>
      </c>
      <c r="N15">
        <v>11135.48</v>
      </c>
      <c r="O15">
        <v>10580.66</v>
      </c>
      <c r="P15">
        <v>11647.65</v>
      </c>
      <c r="Q15">
        <v>10735.361000000001</v>
      </c>
      <c r="R15">
        <v>11678.013000000001</v>
      </c>
      <c r="S15">
        <v>11614.781999999999</v>
      </c>
      <c r="T15">
        <v>16806.041000000001</v>
      </c>
      <c r="U15">
        <v>14581.905000000001</v>
      </c>
      <c r="V15">
        <v>15623.493</v>
      </c>
      <c r="W15">
        <v>15340.585999999999</v>
      </c>
      <c r="X15">
        <v>15899.927</v>
      </c>
      <c r="Y15">
        <v>13149.832</v>
      </c>
      <c r="Z15">
        <v>12243.418</v>
      </c>
      <c r="AA15">
        <v>11150.967000000001</v>
      </c>
      <c r="AB15">
        <v>6751.2209999999995</v>
      </c>
      <c r="AC15">
        <v>8375.9089999999997</v>
      </c>
      <c r="AD15">
        <v>7182.4430000000002</v>
      </c>
      <c r="AE15">
        <v>10255.398999999999</v>
      </c>
      <c r="AF15" s="8">
        <v>13064.187</v>
      </c>
      <c r="AG15" s="8">
        <v>10185.867</v>
      </c>
      <c r="AH15" s="155">
        <f>ROUND(7942,0)</f>
        <v>7942</v>
      </c>
      <c r="AI15">
        <f>ROUND(7862,0)</f>
        <v>7862</v>
      </c>
      <c r="AJ15">
        <f>ROUND(5714,0)</f>
        <v>5714</v>
      </c>
      <c r="AK15">
        <f>ROUND(5887,0)</f>
        <v>5887</v>
      </c>
      <c r="AL15">
        <f>ROUND(6760,0)</f>
        <v>6760</v>
      </c>
      <c r="AM15">
        <f>ROUND(6893,0)</f>
        <v>6893</v>
      </c>
      <c r="AN15">
        <f>ROUND(5926,0)</f>
        <v>5926</v>
      </c>
      <c r="AO15">
        <f>ROUND(4988,0)</f>
        <v>4988</v>
      </c>
      <c r="AP15">
        <f>ROUND(4992,0)</f>
        <v>4992</v>
      </c>
      <c r="AQ15">
        <v>5242</v>
      </c>
      <c r="AR15">
        <v>5234</v>
      </c>
      <c r="AS15">
        <f t="shared" si="5"/>
        <v>5824</v>
      </c>
      <c r="AT15">
        <v>6414</v>
      </c>
      <c r="AU15">
        <v>6438</v>
      </c>
      <c r="AV15">
        <v>5996</v>
      </c>
      <c r="AW15">
        <v>4876</v>
      </c>
      <c r="AX15">
        <v>4895</v>
      </c>
      <c r="AY15">
        <v>4670</v>
      </c>
      <c r="AZ15">
        <v>6501</v>
      </c>
      <c r="BA15">
        <v>5461</v>
      </c>
      <c r="BB15">
        <v>5367</v>
      </c>
      <c r="BC15">
        <v>5707</v>
      </c>
      <c r="BD15">
        <v>5658</v>
      </c>
      <c r="BE15">
        <v>4757</v>
      </c>
      <c r="BF15">
        <v>4760</v>
      </c>
      <c r="BG15">
        <v>4403</v>
      </c>
      <c r="BH15" s="8">
        <v>3003</v>
      </c>
      <c r="BI15" s="8">
        <v>3266</v>
      </c>
      <c r="BJ15" s="8">
        <v>2867</v>
      </c>
      <c r="BK15" s="8">
        <v>3909</v>
      </c>
      <c r="BL15" s="8">
        <v>4705</v>
      </c>
      <c r="BM15" s="8">
        <v>3208</v>
      </c>
    </row>
    <row r="16" spans="1:65">
      <c r="A16" s="25" t="s">
        <v>26</v>
      </c>
      <c r="B16" s="155">
        <f>ROUND(13339,0)</f>
        <v>13339</v>
      </c>
      <c r="C16">
        <f>ROUND(4384,0)</f>
        <v>4384</v>
      </c>
      <c r="D16">
        <f>ROUND(18523,0)</f>
        <v>18523</v>
      </c>
      <c r="E16">
        <f>ROUND(19769611/1000,0)</f>
        <v>19770</v>
      </c>
      <c r="F16">
        <f>ROUND(20277656/1000,0)</f>
        <v>20278</v>
      </c>
      <c r="G16">
        <f>ROUND(21427674/1000,0)</f>
        <v>21428</v>
      </c>
      <c r="H16">
        <f>ROUND(18977552/1000,0)</f>
        <v>18978</v>
      </c>
      <c r="I16">
        <f>ROUND(19819.805,0)</f>
        <v>19820</v>
      </c>
      <c r="J16">
        <f>ROUND(19653.282,0)</f>
        <v>19653</v>
      </c>
      <c r="K16">
        <v>23098.052</v>
      </c>
      <c r="L16">
        <v>23118.483</v>
      </c>
      <c r="M16">
        <f t="shared" si="0"/>
        <v>22815.533499999998</v>
      </c>
      <c r="N16">
        <v>22512.583999999999</v>
      </c>
      <c r="O16">
        <v>24060.399000000001</v>
      </c>
      <c r="P16">
        <v>24655.832999999999</v>
      </c>
      <c r="Q16">
        <v>24776.131000000001</v>
      </c>
      <c r="R16">
        <v>25855.367999999999</v>
      </c>
      <c r="S16">
        <v>28924.522000000001</v>
      </c>
      <c r="T16">
        <v>38645.137000000002</v>
      </c>
      <c r="U16">
        <v>43124.338000000003</v>
      </c>
      <c r="V16">
        <v>36699.824999999997</v>
      </c>
      <c r="W16">
        <v>37265.285000000003</v>
      </c>
      <c r="X16">
        <v>35274.165999999997</v>
      </c>
      <c r="Y16">
        <v>35881.046000000002</v>
      </c>
      <c r="Z16">
        <v>24823.915000000001</v>
      </c>
      <c r="AA16">
        <v>25752.314999999999</v>
      </c>
      <c r="AB16">
        <v>22328.194</v>
      </c>
      <c r="AC16">
        <v>25506.17</v>
      </c>
      <c r="AD16">
        <v>21468.353999999999</v>
      </c>
      <c r="AE16">
        <v>32163.005000000001</v>
      </c>
      <c r="AF16" s="8">
        <v>29056.442999999999</v>
      </c>
      <c r="AG16" s="8">
        <v>25352.319</v>
      </c>
      <c r="AH16" s="155">
        <f>ROUND(15867,0)</f>
        <v>15867</v>
      </c>
      <c r="AI16">
        <f>ROUND(19525,0)</f>
        <v>19525</v>
      </c>
      <c r="AJ16">
        <f>ROUND(16159,0)</f>
        <v>16159</v>
      </c>
      <c r="AK16">
        <f>ROUND(15109,0)</f>
        <v>15109</v>
      </c>
      <c r="AL16">
        <f>ROUND(15253,0)</f>
        <v>15253</v>
      </c>
      <c r="AM16">
        <f>ROUND(15106,0)</f>
        <v>15106</v>
      </c>
      <c r="AN16">
        <f>ROUND(13238,0)</f>
        <v>13238</v>
      </c>
      <c r="AO16">
        <f>ROUND(13796,0)</f>
        <v>13796</v>
      </c>
      <c r="AP16">
        <f>ROUND(13089,0)</f>
        <v>13089</v>
      </c>
      <c r="AQ16">
        <v>12994</v>
      </c>
      <c r="AR16">
        <v>13132</v>
      </c>
      <c r="AS16">
        <f t="shared" si="5"/>
        <v>12725.5</v>
      </c>
      <c r="AT16">
        <v>12319</v>
      </c>
      <c r="AU16">
        <v>12826</v>
      </c>
      <c r="AV16">
        <v>12982</v>
      </c>
      <c r="AW16">
        <v>12355</v>
      </c>
      <c r="AX16">
        <v>12323</v>
      </c>
      <c r="AY16">
        <v>13037</v>
      </c>
      <c r="AZ16">
        <v>15895</v>
      </c>
      <c r="BA16">
        <v>17437</v>
      </c>
      <c r="BB16">
        <v>14950</v>
      </c>
      <c r="BC16">
        <v>15318</v>
      </c>
      <c r="BD16">
        <v>14340</v>
      </c>
      <c r="BE16">
        <v>14225</v>
      </c>
      <c r="BF16">
        <v>9568</v>
      </c>
      <c r="BG16">
        <v>9230</v>
      </c>
      <c r="BH16" s="8">
        <v>8361</v>
      </c>
      <c r="BI16" s="8">
        <v>10004</v>
      </c>
      <c r="BJ16" s="8">
        <v>7633</v>
      </c>
      <c r="BK16" s="8">
        <v>11494</v>
      </c>
      <c r="BL16" s="8">
        <v>10579</v>
      </c>
      <c r="BM16" s="8">
        <v>8329</v>
      </c>
    </row>
    <row r="17" spans="1:65">
      <c r="A17" s="25" t="s">
        <v>27</v>
      </c>
      <c r="B17" s="155">
        <f>ROUND(8770,0)</f>
        <v>8770</v>
      </c>
      <c r="C17">
        <f>ROUND(2896,0)</f>
        <v>2896</v>
      </c>
      <c r="D17">
        <f>ROUND(10043,0)</f>
        <v>10043</v>
      </c>
      <c r="E17">
        <f>ROUND(10450971/1000,0)</f>
        <v>10451</v>
      </c>
      <c r="F17">
        <f>ROUND(11705066/1000,0)</f>
        <v>11705</v>
      </c>
      <c r="G17">
        <f>ROUND(11774458/1000,0)</f>
        <v>11774</v>
      </c>
      <c r="H17">
        <f>ROUND(11589726/1000,0)</f>
        <v>11590</v>
      </c>
      <c r="I17">
        <f>ROUND(11813.635,0)</f>
        <v>11814</v>
      </c>
      <c r="J17">
        <f>ROUND(11468.278,0)</f>
        <v>11468</v>
      </c>
      <c r="K17">
        <v>12403.049000000001</v>
      </c>
      <c r="L17">
        <v>13928.884</v>
      </c>
      <c r="M17">
        <f t="shared" si="0"/>
        <v>13401.4395</v>
      </c>
      <c r="N17">
        <v>12873.995000000001</v>
      </c>
      <c r="O17">
        <v>12176.550999999999</v>
      </c>
      <c r="P17">
        <v>12770.963</v>
      </c>
      <c r="Q17">
        <v>13376.955</v>
      </c>
      <c r="R17">
        <v>12917.971</v>
      </c>
      <c r="S17">
        <v>15685.315000000001</v>
      </c>
      <c r="T17">
        <v>19634.128000000001</v>
      </c>
      <c r="U17">
        <v>20004.577000000001</v>
      </c>
      <c r="V17">
        <v>19040.827000000001</v>
      </c>
      <c r="W17">
        <v>21228.472000000002</v>
      </c>
      <c r="X17">
        <v>19577.367999999999</v>
      </c>
      <c r="Y17">
        <v>17107.830000000002</v>
      </c>
      <c r="Z17">
        <v>13120.378000000001</v>
      </c>
      <c r="AA17">
        <v>8936.3700000000008</v>
      </c>
      <c r="AB17">
        <v>9690.48</v>
      </c>
      <c r="AC17">
        <v>8850.7579999999998</v>
      </c>
      <c r="AD17">
        <v>11383.124</v>
      </c>
      <c r="AE17">
        <v>14130.049000000001</v>
      </c>
      <c r="AF17" s="8">
        <v>12887.284</v>
      </c>
      <c r="AG17" s="8">
        <v>11893.768</v>
      </c>
      <c r="AH17" s="155">
        <f>ROUND(9645,0)</f>
        <v>9645</v>
      </c>
      <c r="AI17">
        <f>ROUND(11553,0)</f>
        <v>11553</v>
      </c>
      <c r="AJ17">
        <f>ROUND(9753,0)</f>
        <v>9753</v>
      </c>
      <c r="AK17">
        <f>ROUND(9374,0)</f>
        <v>9374</v>
      </c>
      <c r="AL17">
        <f>ROUND(9165,0)</f>
        <v>9165</v>
      </c>
      <c r="AM17">
        <f>ROUND(9356,0)</f>
        <v>9356</v>
      </c>
      <c r="AN17">
        <f>ROUND(8369,0)</f>
        <v>8369</v>
      </c>
      <c r="AO17">
        <f>ROUND(8415,0)</f>
        <v>8415</v>
      </c>
      <c r="AP17">
        <f>ROUND(8001,0)</f>
        <v>8001</v>
      </c>
      <c r="AQ17">
        <v>8165</v>
      </c>
      <c r="AR17">
        <v>8467</v>
      </c>
      <c r="AS17">
        <f t="shared" si="5"/>
        <v>7895.5</v>
      </c>
      <c r="AT17">
        <v>7324</v>
      </c>
      <c r="AU17">
        <v>6866</v>
      </c>
      <c r="AV17">
        <v>6823</v>
      </c>
      <c r="AW17">
        <v>6897</v>
      </c>
      <c r="AX17">
        <v>6450</v>
      </c>
      <c r="AY17">
        <v>7490</v>
      </c>
      <c r="AZ17">
        <v>7510</v>
      </c>
      <c r="BA17">
        <v>6664</v>
      </c>
      <c r="BB17">
        <v>6295</v>
      </c>
      <c r="BC17">
        <v>6947</v>
      </c>
      <c r="BD17">
        <v>6235</v>
      </c>
      <c r="BE17">
        <v>5483</v>
      </c>
      <c r="BF17">
        <v>4056</v>
      </c>
      <c r="BG17">
        <v>3436</v>
      </c>
      <c r="BH17" s="8">
        <v>3288</v>
      </c>
      <c r="BI17" s="8">
        <v>3186</v>
      </c>
      <c r="BJ17" s="8">
        <v>3774</v>
      </c>
      <c r="BK17" s="8">
        <v>4348</v>
      </c>
      <c r="BL17" s="8">
        <v>4089</v>
      </c>
      <c r="BM17" s="8">
        <v>3256</v>
      </c>
    </row>
    <row r="18" spans="1:65">
      <c r="A18" s="25" t="s">
        <v>28</v>
      </c>
      <c r="B18" s="155">
        <f>ROUND(5451,0)</f>
        <v>5451</v>
      </c>
      <c r="C18">
        <f>ROUND(1967,0)</f>
        <v>1967</v>
      </c>
      <c r="D18">
        <f>ROUND(6314,0)</f>
        <v>6314</v>
      </c>
      <c r="E18">
        <f>ROUND(7133117/1000,0)</f>
        <v>7133</v>
      </c>
      <c r="F18">
        <f>ROUND(8136479/1000,0)</f>
        <v>8136</v>
      </c>
      <c r="G18">
        <f>ROUND(9041728/1000,0)</f>
        <v>9042</v>
      </c>
      <c r="H18">
        <f>ROUND(8580021/1000,0)</f>
        <v>8580</v>
      </c>
      <c r="I18">
        <f>ROUND(7222.879,0)</f>
        <v>7223</v>
      </c>
      <c r="J18">
        <f>ROUND(8464.115,0)</f>
        <v>8464</v>
      </c>
      <c r="K18">
        <v>8571.4670000000006</v>
      </c>
      <c r="L18">
        <v>8854.0939999999991</v>
      </c>
      <c r="M18">
        <f t="shared" si="0"/>
        <v>11336.699000000001</v>
      </c>
      <c r="N18">
        <v>13819.304</v>
      </c>
      <c r="O18">
        <v>10149.351000000001</v>
      </c>
      <c r="P18">
        <v>9854.3119999999999</v>
      </c>
      <c r="Q18">
        <v>10349.262000000001</v>
      </c>
      <c r="R18">
        <v>10911.098</v>
      </c>
      <c r="S18">
        <v>12140.798000000001</v>
      </c>
      <c r="T18">
        <v>12418.503000000001</v>
      </c>
      <c r="U18">
        <v>15438.089</v>
      </c>
      <c r="V18">
        <v>15776.973</v>
      </c>
      <c r="W18">
        <v>16861.605</v>
      </c>
      <c r="X18">
        <v>15243.008</v>
      </c>
      <c r="Y18">
        <v>12682.796</v>
      </c>
      <c r="Z18">
        <v>10276.995999999999</v>
      </c>
      <c r="AA18">
        <v>7646.9080000000004</v>
      </c>
      <c r="AB18">
        <v>7429.4170000000004</v>
      </c>
      <c r="AC18">
        <v>8555.0889999999999</v>
      </c>
      <c r="AD18">
        <v>9348.6319999999996</v>
      </c>
      <c r="AE18">
        <v>10860.125</v>
      </c>
      <c r="AF18" s="8">
        <v>10456.026</v>
      </c>
      <c r="AG18" s="8">
        <v>7703.03</v>
      </c>
      <c r="AH18" s="155">
        <f>ROUND(7513,0)</f>
        <v>7513</v>
      </c>
      <c r="AI18">
        <f>ROUND(8265,0)</f>
        <v>8265</v>
      </c>
      <c r="AJ18">
        <f>ROUND(6264,0)</f>
        <v>6264</v>
      </c>
      <c r="AK18">
        <f>ROUND(5692,0)</f>
        <v>5692</v>
      </c>
      <c r="AL18">
        <f>ROUND(6281,0)</f>
        <v>6281</v>
      </c>
      <c r="AM18">
        <f>ROUND(6669,0)</f>
        <v>6669</v>
      </c>
      <c r="AN18">
        <f>ROUND(6079,0)</f>
        <v>6079</v>
      </c>
      <c r="AO18">
        <f>ROUND(5224,0)</f>
        <v>5224</v>
      </c>
      <c r="AP18">
        <f>ROUND(5706,0)</f>
        <v>5706</v>
      </c>
      <c r="AQ18">
        <v>5390</v>
      </c>
      <c r="AR18">
        <v>5690</v>
      </c>
      <c r="AS18">
        <f t="shared" si="5"/>
        <v>6945.5</v>
      </c>
      <c r="AT18">
        <v>8201</v>
      </c>
      <c r="AU18">
        <v>6069</v>
      </c>
      <c r="AV18">
        <v>5831</v>
      </c>
      <c r="AW18">
        <v>5631</v>
      </c>
      <c r="AX18">
        <v>5871</v>
      </c>
      <c r="AY18">
        <v>6057</v>
      </c>
      <c r="AZ18">
        <v>5984</v>
      </c>
      <c r="BA18">
        <v>6775</v>
      </c>
      <c r="BB18">
        <v>6768</v>
      </c>
      <c r="BC18">
        <v>6731</v>
      </c>
      <c r="BD18">
        <v>6248</v>
      </c>
      <c r="BE18">
        <v>5312</v>
      </c>
      <c r="BF18">
        <v>4214</v>
      </c>
      <c r="BG18">
        <v>3329</v>
      </c>
      <c r="BH18" s="8">
        <v>3323</v>
      </c>
      <c r="BI18" s="8">
        <v>3942</v>
      </c>
      <c r="BJ18" s="8">
        <v>4290</v>
      </c>
      <c r="BK18" s="8">
        <v>4488</v>
      </c>
      <c r="BL18" s="8">
        <v>4293</v>
      </c>
      <c r="BM18" s="8">
        <v>3074</v>
      </c>
    </row>
    <row r="19" spans="1:65">
      <c r="A19" s="25" t="s">
        <v>29</v>
      </c>
      <c r="B19" s="155">
        <f>ROUND(10401,0)</f>
        <v>10401</v>
      </c>
      <c r="C19">
        <f>ROUND(3438,0)</f>
        <v>3438</v>
      </c>
      <c r="D19">
        <f>ROUND(13485,0)</f>
        <v>13485</v>
      </c>
      <c r="E19">
        <f>ROUND(13406862/1000,0)</f>
        <v>13407</v>
      </c>
      <c r="F19">
        <f>ROUND(13293524/1000,0)</f>
        <v>13294</v>
      </c>
      <c r="G19">
        <f>ROUND(16958018/1000,0)</f>
        <v>16958</v>
      </c>
      <c r="H19">
        <f>ROUND(15425042/1000,0)</f>
        <v>15425</v>
      </c>
      <c r="I19">
        <f>ROUND(14767.201,0)</f>
        <v>14767</v>
      </c>
      <c r="J19">
        <f>ROUND(14877.053,0)</f>
        <v>14877</v>
      </c>
      <c r="K19">
        <v>14905.817999999999</v>
      </c>
      <c r="L19">
        <v>16088.826999999999</v>
      </c>
      <c r="M19">
        <f t="shared" si="0"/>
        <v>15936.341499999999</v>
      </c>
      <c r="N19">
        <v>15783.856</v>
      </c>
      <c r="O19">
        <v>19037.026000000002</v>
      </c>
      <c r="P19">
        <v>19053.508000000002</v>
      </c>
      <c r="Q19">
        <v>19315.895</v>
      </c>
      <c r="R19">
        <v>21115.982</v>
      </c>
      <c r="S19">
        <v>20916.705999999998</v>
      </c>
      <c r="T19">
        <v>26054.064999999999</v>
      </c>
      <c r="U19">
        <v>27481.940999999999</v>
      </c>
      <c r="V19">
        <v>31066.525000000001</v>
      </c>
      <c r="W19">
        <v>29010.187999999998</v>
      </c>
      <c r="X19">
        <v>29753.85</v>
      </c>
      <c r="Y19">
        <v>22052.522000000001</v>
      </c>
      <c r="Z19">
        <v>17330.473999999998</v>
      </c>
      <c r="AA19">
        <v>14119.799000000001</v>
      </c>
      <c r="AB19">
        <v>14473.073</v>
      </c>
      <c r="AC19">
        <v>17083.955000000002</v>
      </c>
      <c r="AD19">
        <v>19069.907999999999</v>
      </c>
      <c r="AE19">
        <v>20271.385999999999</v>
      </c>
      <c r="AF19" s="8">
        <v>20067.738000000001</v>
      </c>
      <c r="AG19" s="8">
        <v>17355.34</v>
      </c>
      <c r="AH19" s="155">
        <f>ROUND(11943,0)</f>
        <v>11943</v>
      </c>
      <c r="AI19">
        <f>ROUND(15689,0)</f>
        <v>15689</v>
      </c>
      <c r="AJ19">
        <f>ROUND(11393,0)</f>
        <v>11393</v>
      </c>
      <c r="AK19">
        <f>ROUND(10156,0)</f>
        <v>10156</v>
      </c>
      <c r="AL19">
        <f>ROUND(9892,0)</f>
        <v>9892</v>
      </c>
      <c r="AM19">
        <f>ROUND(11344,0)</f>
        <v>11344</v>
      </c>
      <c r="AN19">
        <f>ROUND(10167,0)</f>
        <v>10167</v>
      </c>
      <c r="AO19">
        <f>ROUND(10013,0)</f>
        <v>10013</v>
      </c>
      <c r="AP19">
        <f>ROUND(9772,0)</f>
        <v>9772</v>
      </c>
      <c r="AQ19">
        <v>9034</v>
      </c>
      <c r="AR19">
        <v>9491</v>
      </c>
      <c r="AS19">
        <f t="shared" si="5"/>
        <v>9155</v>
      </c>
      <c r="AT19">
        <v>8819</v>
      </c>
      <c r="AU19">
        <v>10385</v>
      </c>
      <c r="AV19">
        <v>10014</v>
      </c>
      <c r="AW19">
        <v>10002</v>
      </c>
      <c r="AX19">
        <v>9789</v>
      </c>
      <c r="AY19">
        <v>9232</v>
      </c>
      <c r="AZ19">
        <v>10692</v>
      </c>
      <c r="BA19">
        <v>10639</v>
      </c>
      <c r="BB19">
        <v>11545</v>
      </c>
      <c r="BC19">
        <v>10999</v>
      </c>
      <c r="BD19">
        <v>11166</v>
      </c>
      <c r="BE19">
        <v>9332</v>
      </c>
      <c r="BF19">
        <v>7496</v>
      </c>
      <c r="BG19">
        <v>6288</v>
      </c>
      <c r="BH19" s="8">
        <v>5974</v>
      </c>
      <c r="BI19" s="8">
        <v>6135</v>
      </c>
      <c r="BJ19" s="8">
        <v>6797</v>
      </c>
      <c r="BK19" s="8">
        <v>7462</v>
      </c>
      <c r="BL19" s="8">
        <v>6836</v>
      </c>
      <c r="BM19" s="8">
        <v>5011</v>
      </c>
    </row>
    <row r="20" spans="1:65">
      <c r="A20" s="25" t="s">
        <v>30</v>
      </c>
      <c r="B20" s="155">
        <f>ROUND(20007,0)</f>
        <v>20007</v>
      </c>
      <c r="C20">
        <f>ROUND(9927,0)</f>
        <v>9927</v>
      </c>
      <c r="D20">
        <f>ROUND(24218,0)</f>
        <v>24218</v>
      </c>
      <c r="E20">
        <f>ROUND(24679275/1000,0)</f>
        <v>24679</v>
      </c>
      <c r="F20">
        <f>ROUND(27365702/1000,0)</f>
        <v>27366</v>
      </c>
      <c r="G20">
        <f>ROUND(27743155/1000,0)</f>
        <v>27743</v>
      </c>
      <c r="H20">
        <f>ROUND(26148159/1000,0)</f>
        <v>26148</v>
      </c>
      <c r="I20">
        <f>ROUND(28061.642,0)</f>
        <v>28062</v>
      </c>
      <c r="J20">
        <f>ROUND(29373.207,0)</f>
        <v>29373</v>
      </c>
      <c r="K20">
        <v>31101.85</v>
      </c>
      <c r="L20">
        <v>29247.418000000001</v>
      </c>
      <c r="M20">
        <f t="shared" si="0"/>
        <v>28851.6525</v>
      </c>
      <c r="N20">
        <v>28455.886999999999</v>
      </c>
      <c r="O20">
        <v>35074.839</v>
      </c>
      <c r="P20">
        <v>35547.321000000004</v>
      </c>
      <c r="Q20">
        <v>34004.446000000004</v>
      </c>
      <c r="R20">
        <v>35479.614000000001</v>
      </c>
      <c r="S20">
        <v>37873.642999999996</v>
      </c>
      <c r="T20">
        <v>46172.966</v>
      </c>
      <c r="U20">
        <v>54902.951999999997</v>
      </c>
      <c r="V20">
        <v>51882.913</v>
      </c>
      <c r="W20">
        <v>52130.610999999997</v>
      </c>
      <c r="X20">
        <v>52689.182000000001</v>
      </c>
      <c r="Y20">
        <v>53061.266000000003</v>
      </c>
      <c r="Z20">
        <v>34675.974000000002</v>
      </c>
      <c r="AA20">
        <v>21056.553</v>
      </c>
      <c r="AB20">
        <v>18259.524000000001</v>
      </c>
      <c r="AC20">
        <v>30072.507000000001</v>
      </c>
      <c r="AD20">
        <v>31336.621999999999</v>
      </c>
      <c r="AE20">
        <v>35706.154000000002</v>
      </c>
      <c r="AF20" s="8">
        <v>33866.951000000001</v>
      </c>
      <c r="AG20" s="8">
        <v>30630.669000000002</v>
      </c>
      <c r="AH20" s="155">
        <f>ROUND(19478,0)</f>
        <v>19478</v>
      </c>
      <c r="AI20">
        <f>ROUND(26299,0)</f>
        <v>26299</v>
      </c>
      <c r="AJ20">
        <f>ROUND(20339,0)</f>
        <v>20339</v>
      </c>
      <c r="AK20">
        <f>ROUND(18515,0)</f>
        <v>18515</v>
      </c>
      <c r="AL20">
        <f>ROUND(18956,0)</f>
        <v>18956</v>
      </c>
      <c r="AM20">
        <f>ROUND(19972,0)</f>
        <v>19972</v>
      </c>
      <c r="AN20">
        <f>ROUND(17963,0)</f>
        <v>17963</v>
      </c>
      <c r="AO20">
        <f>ROUND(19243,0)</f>
        <v>19243</v>
      </c>
      <c r="AP20">
        <f>ROUND(19265,0)</f>
        <v>19265</v>
      </c>
      <c r="AQ20">
        <v>19061</v>
      </c>
      <c r="AR20">
        <v>17461</v>
      </c>
      <c r="AS20">
        <f t="shared" si="5"/>
        <v>16782.5</v>
      </c>
      <c r="AT20">
        <v>16104</v>
      </c>
      <c r="AU20">
        <v>19190</v>
      </c>
      <c r="AV20">
        <v>19311</v>
      </c>
      <c r="AW20">
        <v>17626</v>
      </c>
      <c r="AX20">
        <v>16541</v>
      </c>
      <c r="AY20">
        <v>16984</v>
      </c>
      <c r="AZ20">
        <v>18692</v>
      </c>
      <c r="BA20">
        <v>23205</v>
      </c>
      <c r="BB20">
        <v>20726</v>
      </c>
      <c r="BC20">
        <v>19775</v>
      </c>
      <c r="BD20">
        <v>19727</v>
      </c>
      <c r="BE20">
        <v>20154</v>
      </c>
      <c r="BF20">
        <v>13544</v>
      </c>
      <c r="BG20">
        <v>8486</v>
      </c>
      <c r="BH20" s="8">
        <v>7457</v>
      </c>
      <c r="BI20" s="8">
        <v>10526</v>
      </c>
      <c r="BJ20" s="8">
        <v>10885</v>
      </c>
      <c r="BK20" s="8">
        <v>11678</v>
      </c>
      <c r="BL20" s="8">
        <v>10627</v>
      </c>
      <c r="BM20" s="8">
        <v>8374</v>
      </c>
    </row>
    <row r="21" spans="1:65">
      <c r="A21" s="25" t="s">
        <v>31</v>
      </c>
      <c r="B21" s="155">
        <f>ROUND(9931,0)</f>
        <v>9931</v>
      </c>
      <c r="C21">
        <f>ROUND(3794,0)</f>
        <v>3794</v>
      </c>
      <c r="D21">
        <f>ROUND(12787,0)</f>
        <v>12787</v>
      </c>
      <c r="E21">
        <f>ROUND(14707547/1000,0)</f>
        <v>14708</v>
      </c>
      <c r="F21">
        <f>ROUND(16663677/1000,0)</f>
        <v>16664</v>
      </c>
      <c r="G21">
        <f>ROUND(16873711/1000,0)</f>
        <v>16874</v>
      </c>
      <c r="H21">
        <f>ROUND(16086523/1000,0)</f>
        <v>16087</v>
      </c>
      <c r="I21">
        <f>ROUND(16130.111,0)</f>
        <v>16130</v>
      </c>
      <c r="J21">
        <f>ROUND(17316.14,0)</f>
        <v>17316</v>
      </c>
      <c r="K21">
        <v>18478.031999999999</v>
      </c>
      <c r="L21">
        <v>18605.053</v>
      </c>
      <c r="M21">
        <f t="shared" si="0"/>
        <v>18220.270499999999</v>
      </c>
      <c r="N21">
        <v>17835.488000000001</v>
      </c>
      <c r="O21">
        <v>18776.691999999999</v>
      </c>
      <c r="P21">
        <v>18328.850999999999</v>
      </c>
      <c r="Q21">
        <v>18931.946</v>
      </c>
      <c r="R21">
        <v>19525.294999999998</v>
      </c>
      <c r="S21">
        <v>20909.440999999999</v>
      </c>
      <c r="T21">
        <v>24261.485000000001</v>
      </c>
      <c r="U21">
        <v>27954.526000000002</v>
      </c>
      <c r="V21">
        <v>27668.485000000001</v>
      </c>
      <c r="W21">
        <v>27253.952000000001</v>
      </c>
      <c r="X21">
        <v>26200.36</v>
      </c>
      <c r="Y21">
        <v>24205.83</v>
      </c>
      <c r="Z21">
        <v>17192.84</v>
      </c>
      <c r="AA21">
        <v>16143.329</v>
      </c>
      <c r="AB21">
        <v>15684.144</v>
      </c>
      <c r="AC21">
        <v>17441.975999999999</v>
      </c>
      <c r="AD21">
        <v>17609.038</v>
      </c>
      <c r="AE21">
        <v>19682.719000000001</v>
      </c>
      <c r="AF21" s="8">
        <v>18516.264999999999</v>
      </c>
      <c r="AG21" s="8">
        <v>16828.304</v>
      </c>
      <c r="AH21" s="155">
        <f>ROUND(10566,0)</f>
        <v>10566</v>
      </c>
      <c r="AI21">
        <f>ROUND(15893,0)</f>
        <v>15893</v>
      </c>
      <c r="AJ21">
        <f>ROUND(12311,0)</f>
        <v>12311</v>
      </c>
      <c r="AK21">
        <f>ROUND(12323,0)</f>
        <v>12323</v>
      </c>
      <c r="AL21">
        <f>ROUND(12856,0)</f>
        <v>12856</v>
      </c>
      <c r="AM21">
        <f>ROUND(11812,0)</f>
        <v>11812</v>
      </c>
      <c r="AN21">
        <f>ROUND(12091,0)</f>
        <v>12091</v>
      </c>
      <c r="AO21">
        <f>ROUND(11983,0)</f>
        <v>11983</v>
      </c>
      <c r="AP21">
        <f>ROUND(12548,0)</f>
        <v>12548</v>
      </c>
      <c r="AQ21">
        <v>11860</v>
      </c>
      <c r="AR21">
        <v>11188</v>
      </c>
      <c r="AS21">
        <f t="shared" si="5"/>
        <v>10840</v>
      </c>
      <c r="AT21">
        <v>10492</v>
      </c>
      <c r="AU21">
        <v>10783</v>
      </c>
      <c r="AV21">
        <v>11952</v>
      </c>
      <c r="AW21">
        <v>10605</v>
      </c>
      <c r="AX21">
        <v>10060</v>
      </c>
      <c r="AY21">
        <v>10436</v>
      </c>
      <c r="AZ21">
        <v>11394</v>
      </c>
      <c r="BA21">
        <v>12068</v>
      </c>
      <c r="BB21">
        <v>11162</v>
      </c>
      <c r="BC21">
        <v>11250</v>
      </c>
      <c r="BD21">
        <v>10666</v>
      </c>
      <c r="BE21">
        <v>10892</v>
      </c>
      <c r="BF21">
        <v>7820</v>
      </c>
      <c r="BG21">
        <v>7207</v>
      </c>
      <c r="BH21" s="8">
        <v>7364</v>
      </c>
      <c r="BI21" s="8">
        <v>7234</v>
      </c>
      <c r="BJ21" s="8">
        <v>7107</v>
      </c>
      <c r="BK21" s="8">
        <v>7808</v>
      </c>
      <c r="BL21" s="8">
        <v>7772</v>
      </c>
      <c r="BM21" s="8">
        <v>6444</v>
      </c>
    </row>
    <row r="22" spans="1:65">
      <c r="A22" s="25" t="s">
        <v>32</v>
      </c>
      <c r="B22" s="155">
        <f>ROUND(5582,0)</f>
        <v>5582</v>
      </c>
      <c r="C22">
        <f>ROUND(1728,0)</f>
        <v>1728</v>
      </c>
      <c r="D22">
        <f>ROUND(6424,0)</f>
        <v>6424</v>
      </c>
      <c r="E22">
        <f>ROUND(6385847/1000,0)</f>
        <v>6386</v>
      </c>
      <c r="F22">
        <f>ROUND(6925163/1000,0)</f>
        <v>6925</v>
      </c>
      <c r="G22">
        <f>ROUND(6826206/1000,0)</f>
        <v>6826</v>
      </c>
      <c r="H22">
        <f>ROUND(6862685/1000,0)</f>
        <v>6863</v>
      </c>
      <c r="I22">
        <f>ROUND(6613.61,0)</f>
        <v>6614</v>
      </c>
      <c r="J22">
        <f>ROUND(7097.85,0)</f>
        <v>7098</v>
      </c>
      <c r="K22">
        <v>8729.43</v>
      </c>
      <c r="L22">
        <v>8127.2920000000004</v>
      </c>
      <c r="M22">
        <f t="shared" si="0"/>
        <v>8329.3714999999993</v>
      </c>
      <c r="N22">
        <v>8531.4509999999991</v>
      </c>
      <c r="O22">
        <v>9026.2610000000004</v>
      </c>
      <c r="P22">
        <v>8172.9229999999998</v>
      </c>
      <c r="Q22">
        <v>8445.9529999999995</v>
      </c>
      <c r="R22">
        <v>9659.857</v>
      </c>
      <c r="S22">
        <v>9407.9429999999993</v>
      </c>
      <c r="T22">
        <v>11254.785</v>
      </c>
      <c r="U22">
        <v>11990.870999999999</v>
      </c>
      <c r="V22">
        <v>11654.078</v>
      </c>
      <c r="W22">
        <v>12445.675999999999</v>
      </c>
      <c r="X22">
        <v>13176.279</v>
      </c>
      <c r="Y22">
        <v>9770.7610000000004</v>
      </c>
      <c r="Z22">
        <v>9538.0110000000004</v>
      </c>
      <c r="AA22">
        <v>7047.6120000000001</v>
      </c>
      <c r="AB22">
        <v>8176.07</v>
      </c>
      <c r="AC22">
        <v>4369.6840000000002</v>
      </c>
      <c r="AD22">
        <v>6333.4059999999999</v>
      </c>
      <c r="AE22">
        <v>9013.4670000000006</v>
      </c>
      <c r="AF22" s="8">
        <v>9101.1620000000003</v>
      </c>
      <c r="AG22" s="8">
        <v>7997.4049999999997</v>
      </c>
      <c r="AH22" s="155">
        <f>ROUND(7254,0)</f>
        <v>7254</v>
      </c>
      <c r="AI22">
        <f>ROUND(6544,0)</f>
        <v>6544</v>
      </c>
      <c r="AJ22">
        <f>ROUND(6866,0)</f>
        <v>6866</v>
      </c>
      <c r="AK22">
        <f>ROUND(6349,0)</f>
        <v>6349</v>
      </c>
      <c r="AL22">
        <f>ROUND(6784,0)</f>
        <v>6784</v>
      </c>
      <c r="AM22">
        <f>ROUND(6136,0)</f>
        <v>6136</v>
      </c>
      <c r="AN22">
        <f>ROUND(5978,0)</f>
        <v>5978</v>
      </c>
      <c r="AO22">
        <f>ROUND(5702,0)</f>
        <v>5702</v>
      </c>
      <c r="AP22">
        <f>ROUND(6039,0)</f>
        <v>6039</v>
      </c>
      <c r="AQ22">
        <v>6250</v>
      </c>
      <c r="AR22">
        <v>5610</v>
      </c>
      <c r="AS22">
        <f t="shared" si="5"/>
        <v>5775</v>
      </c>
      <c r="AT22">
        <v>5940</v>
      </c>
      <c r="AU22">
        <v>5925</v>
      </c>
      <c r="AV22">
        <v>5705</v>
      </c>
      <c r="AW22">
        <v>5433</v>
      </c>
      <c r="AX22">
        <v>5761</v>
      </c>
      <c r="AY22">
        <v>5596</v>
      </c>
      <c r="AZ22">
        <v>5947</v>
      </c>
      <c r="BA22">
        <v>6074</v>
      </c>
      <c r="BB22">
        <v>5522</v>
      </c>
      <c r="BC22">
        <v>5740</v>
      </c>
      <c r="BD22">
        <v>6064</v>
      </c>
      <c r="BE22">
        <v>5355</v>
      </c>
      <c r="BF22">
        <v>5070</v>
      </c>
      <c r="BG22">
        <v>3871</v>
      </c>
      <c r="BH22" s="8">
        <v>4198</v>
      </c>
      <c r="BI22" s="8">
        <v>2598</v>
      </c>
      <c r="BJ22" s="231">
        <v>3452</v>
      </c>
      <c r="BK22" s="231">
        <v>4415</v>
      </c>
      <c r="BL22" s="8">
        <v>4586</v>
      </c>
      <c r="BM22" s="231">
        <v>3890</v>
      </c>
    </row>
    <row r="23" spans="1:65">
      <c r="A23" s="150" t="s">
        <v>217</v>
      </c>
      <c r="B23" s="111"/>
      <c r="C23" s="41"/>
      <c r="D23" s="41"/>
      <c r="E23" s="41"/>
      <c r="F23" s="41"/>
      <c r="G23" s="41"/>
      <c r="H23" s="41"/>
      <c r="I23" s="41"/>
      <c r="J23" s="41"/>
      <c r="K23" s="41"/>
      <c r="L23" s="41"/>
      <c r="M23" s="41"/>
      <c r="N23" s="41"/>
      <c r="O23" s="41"/>
      <c r="P23" s="41">
        <f t="shared" ref="P23:AA23" si="30">SUM(P25:P37)</f>
        <v>209066.71600000001</v>
      </c>
      <c r="Q23" s="41">
        <f t="shared" si="30"/>
        <v>211091.50399999996</v>
      </c>
      <c r="R23" s="41">
        <f t="shared" si="30"/>
        <v>212035.90400000004</v>
      </c>
      <c r="S23" s="41">
        <f t="shared" si="30"/>
        <v>241378.23100000003</v>
      </c>
      <c r="T23" s="41">
        <f t="shared" si="30"/>
        <v>275027.82900000003</v>
      </c>
      <c r="U23" s="41">
        <f t="shared" si="30"/>
        <v>308550.152</v>
      </c>
      <c r="V23" s="41">
        <f t="shared" si="30"/>
        <v>322873.62400000001</v>
      </c>
      <c r="W23" s="41">
        <f t="shared" si="30"/>
        <v>306731.85200000001</v>
      </c>
      <c r="X23" s="41">
        <f t="shared" si="30"/>
        <v>300213.90899999999</v>
      </c>
      <c r="Y23" s="41">
        <f t="shared" si="30"/>
        <v>242709.62</v>
      </c>
      <c r="Z23" s="41">
        <f t="shared" si="30"/>
        <v>166470.299</v>
      </c>
      <c r="AA23" s="41">
        <f t="shared" si="30"/>
        <v>145235.101</v>
      </c>
      <c r="AB23" s="41">
        <f t="shared" ref="AB23:AC23" si="31">SUM(AB25:AB37)</f>
        <v>159687.29200000002</v>
      </c>
      <c r="AC23" s="41">
        <f t="shared" si="31"/>
        <v>172683.58200000002</v>
      </c>
      <c r="AD23" s="41">
        <f t="shared" ref="AD23:AE23" si="32">SUM(AD25:AD37)</f>
        <v>185187.16099999999</v>
      </c>
      <c r="AE23" s="41">
        <f t="shared" si="32"/>
        <v>215154.27699999997</v>
      </c>
      <c r="AF23" s="41">
        <f>SUM(AF25:AF37)</f>
        <v>207473.16100000002</v>
      </c>
      <c r="AG23" s="41">
        <f>SUM(AG25:AG37)</f>
        <v>190300.228</v>
      </c>
      <c r="AH23" s="111"/>
      <c r="AI23" s="41"/>
      <c r="AJ23" s="41"/>
      <c r="AK23" s="41"/>
      <c r="AL23" s="41"/>
      <c r="AM23" s="41"/>
      <c r="AN23" s="41"/>
      <c r="AO23" s="41"/>
      <c r="AP23" s="41"/>
      <c r="AQ23" s="41"/>
      <c r="AR23" s="41"/>
      <c r="AS23" s="41"/>
      <c r="AT23" s="41"/>
      <c r="AU23" s="41"/>
      <c r="AV23" s="41">
        <f t="shared" ref="AV23:BG23" si="33">SUM(AV25:AV37)</f>
        <v>120959</v>
      </c>
      <c r="AW23" s="41">
        <f t="shared" si="33"/>
        <v>118904</v>
      </c>
      <c r="AX23" s="41">
        <f t="shared" si="33"/>
        <v>114938</v>
      </c>
      <c r="AY23" s="41">
        <f t="shared" si="33"/>
        <v>119515</v>
      </c>
      <c r="AZ23" s="41">
        <f t="shared" si="33"/>
        <v>127937</v>
      </c>
      <c r="BA23" s="41">
        <f t="shared" si="33"/>
        <v>135002</v>
      </c>
      <c r="BB23" s="41">
        <f t="shared" si="33"/>
        <v>137061</v>
      </c>
      <c r="BC23" s="41">
        <f t="shared" si="33"/>
        <v>130980</v>
      </c>
      <c r="BD23" s="41">
        <f t="shared" si="33"/>
        <v>129322</v>
      </c>
      <c r="BE23" s="41">
        <f t="shared" si="33"/>
        <v>109480</v>
      </c>
      <c r="BF23" s="41">
        <f t="shared" si="33"/>
        <v>84290</v>
      </c>
      <c r="BG23" s="41">
        <f t="shared" si="33"/>
        <v>77978</v>
      </c>
      <c r="BH23" s="41">
        <f t="shared" ref="BH23:BI23" si="34">SUM(BH25:BH37)</f>
        <v>82707</v>
      </c>
      <c r="BI23" s="41">
        <f t="shared" si="34"/>
        <v>88023</v>
      </c>
      <c r="BJ23" s="41">
        <f t="shared" ref="BJ23:BK23" si="35">SUM(BJ25:BJ37)</f>
        <v>90627</v>
      </c>
      <c r="BK23" s="41">
        <f t="shared" si="35"/>
        <v>98389</v>
      </c>
      <c r="BL23" s="41">
        <f t="shared" ref="BL23:BM23" si="36">SUM(BL25:BL37)</f>
        <v>94049</v>
      </c>
      <c r="BM23" s="41">
        <f t="shared" si="36"/>
        <v>75729</v>
      </c>
    </row>
    <row r="24" spans="1:65">
      <c r="A24" s="30" t="s">
        <v>215</v>
      </c>
      <c r="B24" s="108"/>
      <c r="C24" s="31"/>
      <c r="D24" s="31"/>
      <c r="E24" s="31"/>
      <c r="F24" s="31"/>
      <c r="G24" s="31"/>
      <c r="H24" s="31"/>
      <c r="I24" s="31"/>
      <c r="J24" s="31"/>
      <c r="K24" s="31"/>
      <c r="L24" s="31"/>
      <c r="M24" s="31"/>
      <c r="N24" s="31"/>
      <c r="O24" s="31"/>
      <c r="P24" s="31">
        <f t="shared" ref="P24:AA24" si="37">(P23/P4)*100</f>
        <v>19.625368279242121</v>
      </c>
      <c r="Q24" s="31">
        <f t="shared" si="37"/>
        <v>19.259290817693568</v>
      </c>
      <c r="R24" s="31">
        <f t="shared" si="37"/>
        <v>18.605182500167096</v>
      </c>
      <c r="S24" s="31">
        <f t="shared" si="37"/>
        <v>19.559309277434981</v>
      </c>
      <c r="T24" s="31">
        <f t="shared" si="37"/>
        <v>18.906211065201894</v>
      </c>
      <c r="U24" s="31">
        <f t="shared" si="37"/>
        <v>18.886484909428091</v>
      </c>
      <c r="V24" s="31">
        <f t="shared" si="37"/>
        <v>19.603065183852824</v>
      </c>
      <c r="W24" s="31">
        <f t="shared" si="37"/>
        <v>19.338125545732282</v>
      </c>
      <c r="X24" s="31">
        <f t="shared" si="37"/>
        <v>18.618381113243139</v>
      </c>
      <c r="Y24" s="31">
        <f t="shared" si="37"/>
        <v>17.584995854948936</v>
      </c>
      <c r="Z24" s="31">
        <f t="shared" si="37"/>
        <v>17.357572220972546</v>
      </c>
      <c r="AA24" s="31">
        <f t="shared" si="37"/>
        <v>17.784124726884354</v>
      </c>
      <c r="AB24" s="31">
        <f t="shared" ref="AB24:AC24" si="38">(AB23/AB4)*100</f>
        <v>18.64910272663229</v>
      </c>
      <c r="AC24" s="31">
        <f t="shared" si="38"/>
        <v>18.250688399086567</v>
      </c>
      <c r="AD24" s="31">
        <f t="shared" ref="AD24:AE24" si="39">(AD23/AD4)*100</f>
        <v>18.363534701101187</v>
      </c>
      <c r="AE24" s="31">
        <f t="shared" si="39"/>
        <v>18.393426718180105</v>
      </c>
      <c r="AF24" s="31">
        <f t="shared" ref="AF24:AG24" si="40">(AF23/AF4)*100</f>
        <v>17.895539540338724</v>
      </c>
      <c r="AG24" s="31">
        <f t="shared" si="40"/>
        <v>18.21212706439022</v>
      </c>
      <c r="AH24" s="108"/>
      <c r="AI24" s="31"/>
      <c r="AJ24" s="31"/>
      <c r="AK24" s="31"/>
      <c r="AL24" s="31"/>
      <c r="AM24" s="31"/>
      <c r="AN24" s="31"/>
      <c r="AO24" s="31"/>
      <c r="AP24" s="31"/>
      <c r="AQ24" s="31"/>
      <c r="AR24" s="31"/>
      <c r="AS24" s="31"/>
      <c r="AT24" s="31"/>
      <c r="AU24" s="31"/>
      <c r="AV24" s="31">
        <f t="shared" ref="AV24:BG24" si="41">(AV23/AV4)*100</f>
        <v>18.320986457564967</v>
      </c>
      <c r="AW24" s="31">
        <f t="shared" si="41"/>
        <v>18.368998992751518</v>
      </c>
      <c r="AX24" s="31">
        <f t="shared" si="41"/>
        <v>18.117163055728504</v>
      </c>
      <c r="AY24" s="31">
        <f t="shared" si="41"/>
        <v>18.220749838396895</v>
      </c>
      <c r="AZ24" s="31">
        <f t="shared" si="41"/>
        <v>17.678596844198356</v>
      </c>
      <c r="BA24" s="31">
        <f t="shared" si="41"/>
        <v>17.956811183602351</v>
      </c>
      <c r="BB24" s="31">
        <f t="shared" si="41"/>
        <v>18.38964949095417</v>
      </c>
      <c r="BC24" s="31">
        <f t="shared" si="41"/>
        <v>18.124154192300349</v>
      </c>
      <c r="BD24" s="31">
        <f t="shared" si="41"/>
        <v>17.912899664657754</v>
      </c>
      <c r="BE24" s="31">
        <f t="shared" si="41"/>
        <v>16.867106061866597</v>
      </c>
      <c r="BF24" s="31">
        <f t="shared" si="41"/>
        <v>17.308399163020109</v>
      </c>
      <c r="BG24" s="31">
        <f t="shared" si="41"/>
        <v>17.68665822911138</v>
      </c>
      <c r="BH24" s="31">
        <f t="shared" ref="BH24:BI24" si="42">(BH23/BH4)*100</f>
        <v>17.969547779308307</v>
      </c>
      <c r="BI24" s="31">
        <f t="shared" si="42"/>
        <v>18.234643398712308</v>
      </c>
      <c r="BJ24" s="31">
        <f t="shared" ref="BJ24:BK24" si="43">(BJ23/BJ4)*100</f>
        <v>18.195817814943833</v>
      </c>
      <c r="BK24" s="31">
        <f t="shared" si="43"/>
        <v>18.285131262521325</v>
      </c>
      <c r="BL24" s="31">
        <f t="shared" ref="BL24:BM24" si="44">(BL23/BL4)*100</f>
        <v>17.841641182853628</v>
      </c>
      <c r="BM24" s="31">
        <f t="shared" si="44"/>
        <v>17.970214563351004</v>
      </c>
    </row>
    <row r="25" spans="1:65">
      <c r="A25" s="39" t="s">
        <v>142</v>
      </c>
      <c r="B25" s="155"/>
      <c r="C25"/>
      <c r="D25"/>
      <c r="E25"/>
      <c r="F25"/>
      <c r="G25"/>
      <c r="H25"/>
      <c r="I25"/>
      <c r="J25"/>
      <c r="K25"/>
      <c r="L25"/>
      <c r="M25"/>
      <c r="N25"/>
      <c r="O25"/>
      <c r="P25">
        <v>181.84100000000001</v>
      </c>
      <c r="Q25">
        <v>152.88499999999999</v>
      </c>
      <c r="R25">
        <v>31.222999999999999</v>
      </c>
      <c r="S25">
        <v>32.555</v>
      </c>
      <c r="T25">
        <v>62.134999999999998</v>
      </c>
      <c r="U25">
        <v>73.406999999999996</v>
      </c>
      <c r="V25">
        <v>109.935</v>
      </c>
      <c r="W25">
        <v>25.75</v>
      </c>
      <c r="X25"/>
      <c r="Y25"/>
      <c r="Z25"/>
      <c r="AA25"/>
      <c r="AB25"/>
      <c r="AC25"/>
      <c r="AD25">
        <v>0</v>
      </c>
      <c r="AE25">
        <v>0</v>
      </c>
      <c r="AF25" s="8">
        <v>0</v>
      </c>
      <c r="AG25" s="8">
        <v>0</v>
      </c>
      <c r="AH25" s="155"/>
      <c r="AI25"/>
      <c r="AJ25"/>
      <c r="AK25"/>
      <c r="AL25"/>
      <c r="AM25"/>
      <c r="AN25"/>
      <c r="AO25"/>
      <c r="AP25"/>
      <c r="AQ25"/>
      <c r="AR25"/>
      <c r="AS25"/>
      <c r="AT25"/>
      <c r="AU25"/>
      <c r="AV25">
        <v>80</v>
      </c>
      <c r="AW25">
        <v>81</v>
      </c>
      <c r="AX25">
        <v>12</v>
      </c>
      <c r="AY25">
        <v>43</v>
      </c>
      <c r="AZ25">
        <v>38</v>
      </c>
      <c r="BA25">
        <v>44</v>
      </c>
      <c r="BB25">
        <v>42</v>
      </c>
      <c r="BC25">
        <v>11</v>
      </c>
      <c r="BD25"/>
      <c r="BE25"/>
      <c r="BF25"/>
      <c r="BG25"/>
      <c r="BJ25" s="8">
        <v>0</v>
      </c>
      <c r="BK25" s="8">
        <v>0</v>
      </c>
      <c r="BL25" s="8">
        <v>0</v>
      </c>
      <c r="BM25" s="8">
        <v>0</v>
      </c>
    </row>
    <row r="26" spans="1:65">
      <c r="A26" s="39" t="s">
        <v>143</v>
      </c>
      <c r="B26" s="155"/>
      <c r="C26"/>
      <c r="D26"/>
      <c r="E26"/>
      <c r="F26"/>
      <c r="G26"/>
      <c r="H26"/>
      <c r="I26"/>
      <c r="J26"/>
      <c r="K26"/>
      <c r="L26"/>
      <c r="M26"/>
      <c r="N26"/>
      <c r="O26"/>
      <c r="P26">
        <v>9294.4979999999996</v>
      </c>
      <c r="Q26">
        <v>7475.6189999999997</v>
      </c>
      <c r="R26">
        <v>7755.5290000000005</v>
      </c>
      <c r="S26">
        <v>8453.9770000000008</v>
      </c>
      <c r="T26">
        <v>10227.628000000001</v>
      </c>
      <c r="U26">
        <v>11096.932000000001</v>
      </c>
      <c r="V26">
        <v>9933.4689999999991</v>
      </c>
      <c r="W26">
        <v>8795.4150000000009</v>
      </c>
      <c r="X26">
        <v>11041.728999999999</v>
      </c>
      <c r="Y26">
        <v>7319.4960000000001</v>
      </c>
      <c r="Z26">
        <v>4534.6790000000001</v>
      </c>
      <c r="AA26">
        <v>5178.0609999999997</v>
      </c>
      <c r="AB26">
        <v>5474.7129999999997</v>
      </c>
      <c r="AC26">
        <v>5766.6360000000004</v>
      </c>
      <c r="AD26">
        <v>7031.15</v>
      </c>
      <c r="AE26">
        <v>8097.6450000000004</v>
      </c>
      <c r="AF26" s="8">
        <v>5697.5320000000002</v>
      </c>
      <c r="AG26" s="8">
        <v>4888.884</v>
      </c>
      <c r="AH26" s="155"/>
      <c r="AI26"/>
      <c r="AJ26"/>
      <c r="AK26"/>
      <c r="AL26"/>
      <c r="AM26"/>
      <c r="AN26"/>
      <c r="AO26"/>
      <c r="AP26"/>
      <c r="AQ26"/>
      <c r="AR26"/>
      <c r="AS26"/>
      <c r="AT26"/>
      <c r="AU26"/>
      <c r="AV26">
        <v>4484</v>
      </c>
      <c r="AW26">
        <v>3081</v>
      </c>
      <c r="AX26">
        <v>3137</v>
      </c>
      <c r="AY26">
        <v>3343</v>
      </c>
      <c r="AZ26">
        <v>3702</v>
      </c>
      <c r="BA26">
        <v>4177</v>
      </c>
      <c r="BB26">
        <v>3509</v>
      </c>
      <c r="BC26">
        <v>3192</v>
      </c>
      <c r="BD26">
        <v>4099</v>
      </c>
      <c r="BE26">
        <v>2905</v>
      </c>
      <c r="BF26">
        <v>1685</v>
      </c>
      <c r="BG26">
        <v>1954</v>
      </c>
      <c r="BH26" s="8">
        <v>2120</v>
      </c>
      <c r="BI26" s="8">
        <v>1981</v>
      </c>
      <c r="BJ26" s="8">
        <v>2387</v>
      </c>
      <c r="BK26" s="8">
        <v>2708</v>
      </c>
      <c r="BL26" s="8">
        <v>1915</v>
      </c>
      <c r="BM26" s="8">
        <v>1631</v>
      </c>
    </row>
    <row r="27" spans="1:65">
      <c r="A27" s="39" t="s">
        <v>144</v>
      </c>
      <c r="B27" s="155"/>
      <c r="C27"/>
      <c r="D27"/>
      <c r="E27"/>
      <c r="F27"/>
      <c r="G27"/>
      <c r="H27"/>
      <c r="I27"/>
      <c r="J27"/>
      <c r="K27"/>
      <c r="L27"/>
      <c r="M27"/>
      <c r="N27"/>
      <c r="O27"/>
      <c r="P27">
        <v>102558.61</v>
      </c>
      <c r="Q27">
        <v>100292.88099999999</v>
      </c>
      <c r="R27">
        <v>102383.546</v>
      </c>
      <c r="S27">
        <v>120876.86500000001</v>
      </c>
      <c r="T27">
        <v>138647.80600000001</v>
      </c>
      <c r="U27">
        <v>146710.04699999999</v>
      </c>
      <c r="V27">
        <v>157796.027</v>
      </c>
      <c r="W27">
        <v>155983.122</v>
      </c>
      <c r="X27">
        <v>148645.51300000001</v>
      </c>
      <c r="Y27">
        <v>115238.56600000001</v>
      </c>
      <c r="Z27">
        <v>86797.804000000004</v>
      </c>
      <c r="AA27">
        <v>70876.229000000007</v>
      </c>
      <c r="AB27">
        <v>80508.459000000003</v>
      </c>
      <c r="AC27">
        <v>89960.646999999997</v>
      </c>
      <c r="AD27">
        <v>93871.225999999995</v>
      </c>
      <c r="AE27">
        <v>107416.364</v>
      </c>
      <c r="AF27" s="8">
        <v>107762.814</v>
      </c>
      <c r="AG27" s="8">
        <v>94804.008000000002</v>
      </c>
      <c r="AH27" s="155"/>
      <c r="AI27"/>
      <c r="AJ27"/>
      <c r="AK27"/>
      <c r="AL27"/>
      <c r="AM27"/>
      <c r="AN27"/>
      <c r="AO27"/>
      <c r="AP27"/>
      <c r="AQ27"/>
      <c r="AR27"/>
      <c r="AS27"/>
      <c r="AT27"/>
      <c r="AU27"/>
      <c r="AV27">
        <v>59022</v>
      </c>
      <c r="AW27">
        <v>57237</v>
      </c>
      <c r="AX27">
        <v>55849</v>
      </c>
      <c r="AY27">
        <v>59066</v>
      </c>
      <c r="AZ27">
        <v>63113</v>
      </c>
      <c r="BA27">
        <v>62151</v>
      </c>
      <c r="BB27">
        <v>64637</v>
      </c>
      <c r="BC27">
        <v>61990</v>
      </c>
      <c r="BD27">
        <v>61493</v>
      </c>
      <c r="BE27">
        <v>51006</v>
      </c>
      <c r="BF27">
        <v>42472</v>
      </c>
      <c r="BG27">
        <v>36597</v>
      </c>
      <c r="BH27" s="8">
        <v>38792</v>
      </c>
      <c r="BI27" s="8">
        <v>42199</v>
      </c>
      <c r="BJ27" s="8">
        <v>41915</v>
      </c>
      <c r="BK27" s="8">
        <v>46140</v>
      </c>
      <c r="BL27" s="8">
        <v>46031</v>
      </c>
      <c r="BM27" s="8">
        <v>35614</v>
      </c>
    </row>
    <row r="28" spans="1:65">
      <c r="A28" s="39" t="s">
        <v>145</v>
      </c>
      <c r="B28" s="155"/>
      <c r="C28"/>
      <c r="D28"/>
      <c r="E28"/>
      <c r="F28"/>
      <c r="G28"/>
      <c r="H28"/>
      <c r="I28"/>
      <c r="J28"/>
      <c r="K28"/>
      <c r="L28"/>
      <c r="M28"/>
      <c r="N28"/>
      <c r="O28"/>
      <c r="P28">
        <v>19221.84</v>
      </c>
      <c r="Q28">
        <v>19881.697</v>
      </c>
      <c r="R28">
        <v>19232.614000000001</v>
      </c>
      <c r="S28">
        <v>19535.522000000001</v>
      </c>
      <c r="T28">
        <v>23471.115000000002</v>
      </c>
      <c r="U28">
        <v>30818.474999999999</v>
      </c>
      <c r="V28">
        <v>25065.297999999999</v>
      </c>
      <c r="W28">
        <v>25923.256000000001</v>
      </c>
      <c r="X28">
        <v>25436.016</v>
      </c>
      <c r="Y28">
        <v>21044.066999999999</v>
      </c>
      <c r="Z28">
        <v>11630.359</v>
      </c>
      <c r="AA28">
        <v>12412.823</v>
      </c>
      <c r="AB28">
        <v>12231.200999999999</v>
      </c>
      <c r="AC28">
        <v>15151.338</v>
      </c>
      <c r="AD28">
        <v>15009.652</v>
      </c>
      <c r="AE28">
        <v>16454.447</v>
      </c>
      <c r="AF28" s="8">
        <v>18211.312999999998</v>
      </c>
      <c r="AG28" s="8">
        <v>15017.982</v>
      </c>
      <c r="AH28" s="155"/>
      <c r="AI28"/>
      <c r="AJ28"/>
      <c r="AK28"/>
      <c r="AL28"/>
      <c r="AM28"/>
      <c r="AN28"/>
      <c r="AO28"/>
      <c r="AP28"/>
      <c r="AQ28"/>
      <c r="AR28"/>
      <c r="AS28"/>
      <c r="AT28"/>
      <c r="AU28"/>
      <c r="AV28">
        <v>11400</v>
      </c>
      <c r="AW28">
        <v>11174</v>
      </c>
      <c r="AX28">
        <v>10620</v>
      </c>
      <c r="AY28">
        <v>10654</v>
      </c>
      <c r="AZ28">
        <v>11660</v>
      </c>
      <c r="BA28">
        <v>11827</v>
      </c>
      <c r="BB28">
        <v>10820</v>
      </c>
      <c r="BC28">
        <v>10661</v>
      </c>
      <c r="BD28">
        <v>9695</v>
      </c>
      <c r="BE28">
        <v>8641</v>
      </c>
      <c r="BF28">
        <v>4554</v>
      </c>
      <c r="BG28">
        <v>5255</v>
      </c>
      <c r="BH28" s="8">
        <v>5174</v>
      </c>
      <c r="BI28" s="8">
        <v>5875</v>
      </c>
      <c r="BJ28" s="8">
        <v>5573</v>
      </c>
      <c r="BK28" s="8">
        <v>5892</v>
      </c>
      <c r="BL28" s="8">
        <v>6233</v>
      </c>
      <c r="BM28" s="8">
        <v>4888</v>
      </c>
    </row>
    <row r="29" spans="1:65">
      <c r="A29" s="39" t="s">
        <v>148</v>
      </c>
      <c r="B29" s="155"/>
      <c r="C29"/>
      <c r="D29"/>
      <c r="E29"/>
      <c r="F29"/>
      <c r="G29"/>
      <c r="H29"/>
      <c r="I29"/>
      <c r="J29"/>
      <c r="K29"/>
      <c r="L29"/>
      <c r="M29"/>
      <c r="N29"/>
      <c r="O29"/>
      <c r="P29">
        <v>2785.68</v>
      </c>
      <c r="Q29">
        <v>3166.7860000000001</v>
      </c>
      <c r="R29">
        <v>2901.8670000000002</v>
      </c>
      <c r="S29">
        <v>3395.12</v>
      </c>
      <c r="T29">
        <v>3951.6170000000002</v>
      </c>
      <c r="U29">
        <v>4481.8559999999998</v>
      </c>
      <c r="V29">
        <v>5201.4799999999996</v>
      </c>
      <c r="W29">
        <v>4280.1989999999996</v>
      </c>
      <c r="X29">
        <v>3914.652</v>
      </c>
      <c r="Y29">
        <v>5157.1899999999996</v>
      </c>
      <c r="Z29">
        <v>3975.57</v>
      </c>
      <c r="AA29">
        <v>1955.021</v>
      </c>
      <c r="AB29">
        <v>3262.951</v>
      </c>
      <c r="AC29">
        <v>2702.7869999999998</v>
      </c>
      <c r="AD29">
        <v>2833.922</v>
      </c>
      <c r="AE29">
        <v>3030.0039999999999</v>
      </c>
      <c r="AF29" s="8">
        <v>2945.79</v>
      </c>
      <c r="AG29" s="8">
        <v>2671.4160000000002</v>
      </c>
      <c r="AH29" s="155"/>
      <c r="AI29"/>
      <c r="AJ29"/>
      <c r="AK29"/>
      <c r="AL29"/>
      <c r="AM29"/>
      <c r="AN29"/>
      <c r="AO29"/>
      <c r="AP29"/>
      <c r="AQ29"/>
      <c r="AR29"/>
      <c r="AS29"/>
      <c r="AT29"/>
      <c r="AU29"/>
      <c r="AV29">
        <v>1185</v>
      </c>
      <c r="AW29">
        <v>1356</v>
      </c>
      <c r="AX29">
        <v>1220</v>
      </c>
      <c r="AY29">
        <v>1365</v>
      </c>
      <c r="AZ29">
        <v>1544</v>
      </c>
      <c r="BA29">
        <v>1914</v>
      </c>
      <c r="BB29">
        <v>1871</v>
      </c>
      <c r="BC29">
        <v>1701</v>
      </c>
      <c r="BD29">
        <v>1624</v>
      </c>
      <c r="BE29">
        <v>1780</v>
      </c>
      <c r="BF29">
        <v>1309</v>
      </c>
      <c r="BG29">
        <v>749</v>
      </c>
      <c r="BH29" s="8">
        <v>1334</v>
      </c>
      <c r="BI29" s="8">
        <v>1075</v>
      </c>
      <c r="BJ29" s="8">
        <v>1145</v>
      </c>
      <c r="BK29" s="8">
        <v>1221</v>
      </c>
      <c r="BL29" s="8">
        <v>1160</v>
      </c>
      <c r="BM29" s="8">
        <v>1029</v>
      </c>
    </row>
    <row r="30" spans="1:65">
      <c r="A30" s="39" t="s">
        <v>149</v>
      </c>
      <c r="B30" s="155"/>
      <c r="C30"/>
      <c r="D30"/>
      <c r="E30"/>
      <c r="F30"/>
      <c r="G30"/>
      <c r="H30"/>
      <c r="I30"/>
      <c r="J30"/>
      <c r="K30"/>
      <c r="L30"/>
      <c r="M30"/>
      <c r="N30"/>
      <c r="O30"/>
      <c r="P30">
        <v>4724.6760000000004</v>
      </c>
      <c r="Q30">
        <v>5019.4250000000002</v>
      </c>
      <c r="R30">
        <v>5468.2929999999997</v>
      </c>
      <c r="S30">
        <v>5168.7749999999996</v>
      </c>
      <c r="T30">
        <v>5949.8530000000001</v>
      </c>
      <c r="U30">
        <v>6120.3990000000003</v>
      </c>
      <c r="V30">
        <v>9293.4369999999999</v>
      </c>
      <c r="W30">
        <v>6655.2650000000003</v>
      </c>
      <c r="X30">
        <v>7446.6670000000004</v>
      </c>
      <c r="Y30">
        <v>6022.5730000000003</v>
      </c>
      <c r="Z30">
        <v>3723.6419999999998</v>
      </c>
      <c r="AA30">
        <v>3215.7260000000001</v>
      </c>
      <c r="AB30">
        <v>3701.4929999999999</v>
      </c>
      <c r="AC30">
        <v>3899.114</v>
      </c>
      <c r="AD30">
        <v>3744.5720000000001</v>
      </c>
      <c r="AE30">
        <v>4412.8109999999997</v>
      </c>
      <c r="AF30" s="8">
        <v>4576.4589999999998</v>
      </c>
      <c r="AG30" s="8">
        <v>5228.0110000000004</v>
      </c>
      <c r="AH30" s="155"/>
      <c r="AI30"/>
      <c r="AJ30"/>
      <c r="AK30"/>
      <c r="AL30"/>
      <c r="AM30"/>
      <c r="AN30"/>
      <c r="AO30"/>
      <c r="AP30"/>
      <c r="AQ30"/>
      <c r="AR30"/>
      <c r="AS30"/>
      <c r="AT30"/>
      <c r="AU30"/>
      <c r="AV30">
        <v>3975</v>
      </c>
      <c r="AW30">
        <v>3797</v>
      </c>
      <c r="AX30">
        <v>3932</v>
      </c>
      <c r="AY30">
        <v>3853</v>
      </c>
      <c r="AZ30">
        <v>4225</v>
      </c>
      <c r="BA30">
        <v>4346</v>
      </c>
      <c r="BB30">
        <v>5303</v>
      </c>
      <c r="BC30">
        <v>4415</v>
      </c>
      <c r="BD30">
        <v>4423</v>
      </c>
      <c r="BE30">
        <v>4417</v>
      </c>
      <c r="BF30">
        <v>2690</v>
      </c>
      <c r="BG30">
        <v>2257</v>
      </c>
      <c r="BH30" s="8">
        <v>2740</v>
      </c>
      <c r="BI30" s="8">
        <v>2905</v>
      </c>
      <c r="BJ30" s="8">
        <v>3164</v>
      </c>
      <c r="BK30" s="8">
        <v>3545</v>
      </c>
      <c r="BL30" s="8">
        <v>3089</v>
      </c>
      <c r="BM30" s="8">
        <v>2518</v>
      </c>
    </row>
    <row r="31" spans="1:65">
      <c r="A31" s="39" t="s">
        <v>159</v>
      </c>
      <c r="B31" s="155"/>
      <c r="C31"/>
      <c r="D31"/>
      <c r="E31"/>
      <c r="F31"/>
      <c r="G31"/>
      <c r="H31"/>
      <c r="I31"/>
      <c r="J31"/>
      <c r="K31"/>
      <c r="L31"/>
      <c r="M31"/>
      <c r="N31"/>
      <c r="O31"/>
      <c r="P31">
        <v>4884.6279999999997</v>
      </c>
      <c r="Q31">
        <v>6091.3130000000001</v>
      </c>
      <c r="R31">
        <v>5439.9849999999997</v>
      </c>
      <c r="S31">
        <v>6379.1469999999999</v>
      </c>
      <c r="T31">
        <v>7194.4229999999998</v>
      </c>
      <c r="U31">
        <v>8598.3050000000003</v>
      </c>
      <c r="V31">
        <v>7614.2179999999998</v>
      </c>
      <c r="W31">
        <v>8272.4040000000005</v>
      </c>
      <c r="X31">
        <v>6435.3130000000001</v>
      </c>
      <c r="Y31">
        <v>7540.4290000000001</v>
      </c>
      <c r="Z31">
        <v>4935.7809999999999</v>
      </c>
      <c r="AA31">
        <v>3174.4369999999999</v>
      </c>
      <c r="AB31">
        <v>5034.915</v>
      </c>
      <c r="AC31">
        <v>5196.857</v>
      </c>
      <c r="AD31">
        <v>4687.0879999999997</v>
      </c>
      <c r="AE31">
        <v>5555.6459999999997</v>
      </c>
      <c r="AF31" s="8">
        <v>6859.7870000000003</v>
      </c>
      <c r="AG31" s="8">
        <v>6601.9250000000002</v>
      </c>
      <c r="AH31" s="155"/>
      <c r="AI31"/>
      <c r="AJ31"/>
      <c r="AK31"/>
      <c r="AL31"/>
      <c r="AM31"/>
      <c r="AN31"/>
      <c r="AO31"/>
      <c r="AP31"/>
      <c r="AQ31"/>
      <c r="AR31"/>
      <c r="AS31"/>
      <c r="AT31"/>
      <c r="AU31"/>
      <c r="AV31">
        <v>3350</v>
      </c>
      <c r="AW31">
        <v>3833</v>
      </c>
      <c r="AX31">
        <v>3119</v>
      </c>
      <c r="AY31">
        <v>3301</v>
      </c>
      <c r="AZ31">
        <v>3960</v>
      </c>
      <c r="BA31">
        <v>4709</v>
      </c>
      <c r="BB31">
        <v>4947</v>
      </c>
      <c r="BC31">
        <v>4687</v>
      </c>
      <c r="BD31">
        <v>3717</v>
      </c>
      <c r="BE31">
        <v>4146</v>
      </c>
      <c r="BF31">
        <v>2978</v>
      </c>
      <c r="BG31">
        <v>2030</v>
      </c>
      <c r="BH31" s="8">
        <v>3270</v>
      </c>
      <c r="BI31" s="8">
        <v>3434</v>
      </c>
      <c r="BJ31" s="8">
        <v>3672</v>
      </c>
      <c r="BK31" s="8">
        <v>3880</v>
      </c>
      <c r="BL31" s="8">
        <v>3541</v>
      </c>
      <c r="BM31" s="8">
        <v>2907</v>
      </c>
    </row>
    <row r="32" spans="1:65">
      <c r="A32" s="39" t="s">
        <v>161</v>
      </c>
      <c r="B32" s="155"/>
      <c r="C32"/>
      <c r="D32"/>
      <c r="E32"/>
      <c r="F32"/>
      <c r="G32"/>
      <c r="H32"/>
      <c r="I32"/>
      <c r="J32"/>
      <c r="K32"/>
      <c r="L32"/>
      <c r="M32"/>
      <c r="N32"/>
      <c r="O32"/>
      <c r="P32">
        <v>1073.2570000000001</v>
      </c>
      <c r="Q32">
        <v>955.53099999999995</v>
      </c>
      <c r="R32">
        <v>1216.2819999999999</v>
      </c>
      <c r="S32">
        <v>1410.3589999999999</v>
      </c>
      <c r="T32">
        <v>1582.2539999999999</v>
      </c>
      <c r="U32">
        <v>2200.4830000000002</v>
      </c>
      <c r="V32">
        <v>2204.2939999999999</v>
      </c>
      <c r="W32">
        <v>1668.9880000000001</v>
      </c>
      <c r="X32">
        <v>1970.787</v>
      </c>
      <c r="Y32">
        <v>637.66700000000003</v>
      </c>
      <c r="Z32">
        <v>1365.8209999999999</v>
      </c>
      <c r="AA32">
        <v>300.286</v>
      </c>
      <c r="AB32">
        <v>753.38800000000003</v>
      </c>
      <c r="AC32">
        <v>1308.875</v>
      </c>
      <c r="AD32">
        <v>1406.9590000000001</v>
      </c>
      <c r="AE32">
        <v>1216.848</v>
      </c>
      <c r="AF32" s="8">
        <v>1083.3150000000001</v>
      </c>
      <c r="AG32" s="8">
        <v>1135.22</v>
      </c>
      <c r="AH32" s="155"/>
      <c r="AI32"/>
      <c r="AJ32"/>
      <c r="AK32"/>
      <c r="AL32"/>
      <c r="AM32"/>
      <c r="AN32"/>
      <c r="AO32"/>
      <c r="AP32"/>
      <c r="AQ32"/>
      <c r="AR32"/>
      <c r="AS32"/>
      <c r="AT32"/>
      <c r="AU32"/>
      <c r="AV32">
        <v>447</v>
      </c>
      <c r="AW32">
        <v>367</v>
      </c>
      <c r="AX32">
        <v>482</v>
      </c>
      <c r="AY32">
        <v>536</v>
      </c>
      <c r="AZ32">
        <v>601</v>
      </c>
      <c r="BA32">
        <v>691</v>
      </c>
      <c r="BB32">
        <v>672</v>
      </c>
      <c r="BC32">
        <v>510</v>
      </c>
      <c r="BD32">
        <v>804</v>
      </c>
      <c r="BE32">
        <v>365</v>
      </c>
      <c r="BF32">
        <v>681</v>
      </c>
      <c r="BG32">
        <v>183</v>
      </c>
      <c r="BH32" s="8">
        <v>396</v>
      </c>
      <c r="BI32" s="8">
        <v>595</v>
      </c>
      <c r="BJ32" s="8">
        <v>627</v>
      </c>
      <c r="BK32" s="8">
        <v>480</v>
      </c>
      <c r="BL32" s="8">
        <v>355</v>
      </c>
      <c r="BM32" s="8">
        <v>364</v>
      </c>
    </row>
    <row r="33" spans="1:65">
      <c r="A33" s="39" t="s">
        <v>164</v>
      </c>
      <c r="B33" s="155"/>
      <c r="C33"/>
      <c r="D33"/>
      <c r="E33"/>
      <c r="F33"/>
      <c r="G33"/>
      <c r="H33"/>
      <c r="I33"/>
      <c r="J33"/>
      <c r="K33"/>
      <c r="L33"/>
      <c r="M33"/>
      <c r="N33"/>
      <c r="O33"/>
      <c r="P33">
        <v>5711.8609999999999</v>
      </c>
      <c r="Q33">
        <v>6771.0519999999997</v>
      </c>
      <c r="R33">
        <v>6580.4290000000001</v>
      </c>
      <c r="S33">
        <v>7837.5889999999999</v>
      </c>
      <c r="T33">
        <v>7023.8710000000001</v>
      </c>
      <c r="U33">
        <v>9645.5409999999993</v>
      </c>
      <c r="V33">
        <v>9280.9750000000004</v>
      </c>
      <c r="W33">
        <v>8291.0220000000008</v>
      </c>
      <c r="X33">
        <v>8850.7170000000006</v>
      </c>
      <c r="Y33">
        <v>7561.8559999999998</v>
      </c>
      <c r="Z33">
        <v>2855.3820000000001</v>
      </c>
      <c r="AA33">
        <v>3357.3820000000001</v>
      </c>
      <c r="AB33">
        <v>3171.069</v>
      </c>
      <c r="AC33">
        <v>4059.3180000000002</v>
      </c>
      <c r="AD33">
        <v>3733.0459999999998</v>
      </c>
      <c r="AE33">
        <v>7020.7039999999997</v>
      </c>
      <c r="AF33" s="8">
        <v>4977.5230000000001</v>
      </c>
      <c r="AG33" s="8">
        <v>2414.9259999999999</v>
      </c>
      <c r="AH33" s="155"/>
      <c r="AI33"/>
      <c r="AJ33"/>
      <c r="AK33"/>
      <c r="AL33"/>
      <c r="AM33"/>
      <c r="AN33"/>
      <c r="AO33"/>
      <c r="AP33"/>
      <c r="AQ33"/>
      <c r="AR33"/>
      <c r="AS33"/>
      <c r="AT33"/>
      <c r="AU33"/>
      <c r="AV33">
        <v>3503</v>
      </c>
      <c r="AW33">
        <v>3925</v>
      </c>
      <c r="AX33">
        <v>2904</v>
      </c>
      <c r="AY33">
        <v>3087</v>
      </c>
      <c r="AZ33">
        <v>2770</v>
      </c>
      <c r="BA33">
        <v>3978</v>
      </c>
      <c r="BB33">
        <v>3486</v>
      </c>
      <c r="BC33">
        <v>3565</v>
      </c>
      <c r="BD33">
        <v>3800</v>
      </c>
      <c r="BE33">
        <v>2743</v>
      </c>
      <c r="BF33">
        <v>1194</v>
      </c>
      <c r="BG33">
        <v>1731</v>
      </c>
      <c r="BH33" s="8">
        <v>1368</v>
      </c>
      <c r="BI33" s="8">
        <v>2194</v>
      </c>
      <c r="BJ33" s="8">
        <v>1935</v>
      </c>
      <c r="BK33" s="8">
        <v>2779</v>
      </c>
      <c r="BL33" s="8">
        <v>2181</v>
      </c>
      <c r="BM33" s="8">
        <v>1199</v>
      </c>
    </row>
    <row r="34" spans="1:65">
      <c r="A34" s="39" t="s">
        <v>168</v>
      </c>
      <c r="B34" s="155"/>
      <c r="C34"/>
      <c r="D34"/>
      <c r="E34"/>
      <c r="F34"/>
      <c r="G34"/>
      <c r="H34"/>
      <c r="I34"/>
      <c r="J34"/>
      <c r="K34"/>
      <c r="L34"/>
      <c r="M34"/>
      <c r="N34"/>
      <c r="O34"/>
      <c r="P34">
        <v>22587.633000000002</v>
      </c>
      <c r="Q34">
        <v>23785.098999999998</v>
      </c>
      <c r="R34">
        <v>22301.651000000002</v>
      </c>
      <c r="S34">
        <v>25360.050999999999</v>
      </c>
      <c r="T34">
        <v>25168.647000000001</v>
      </c>
      <c r="U34">
        <v>31044.047999999999</v>
      </c>
      <c r="V34">
        <v>33626.317000000003</v>
      </c>
      <c r="W34">
        <v>32620.705000000002</v>
      </c>
      <c r="X34">
        <v>32100.485000000001</v>
      </c>
      <c r="Y34">
        <v>31511.878000000001</v>
      </c>
      <c r="Z34">
        <v>16363.786</v>
      </c>
      <c r="AA34">
        <v>14628.394</v>
      </c>
      <c r="AB34">
        <v>14376.459000000001</v>
      </c>
      <c r="AC34">
        <v>13857.755999999999</v>
      </c>
      <c r="AD34">
        <v>16300.169</v>
      </c>
      <c r="AE34">
        <v>20493.829000000002</v>
      </c>
      <c r="AF34" s="8">
        <v>19516.214</v>
      </c>
      <c r="AG34" s="8">
        <v>17448.178</v>
      </c>
      <c r="AH34" s="155"/>
      <c r="AI34"/>
      <c r="AJ34"/>
      <c r="AK34"/>
      <c r="AL34"/>
      <c r="AM34"/>
      <c r="AN34"/>
      <c r="AO34"/>
      <c r="AP34"/>
      <c r="AQ34"/>
      <c r="AR34"/>
      <c r="AS34"/>
      <c r="AT34"/>
      <c r="AU34"/>
      <c r="AV34">
        <v>14044</v>
      </c>
      <c r="AW34">
        <v>13956</v>
      </c>
      <c r="AX34">
        <v>13497</v>
      </c>
      <c r="AY34">
        <v>14272</v>
      </c>
      <c r="AZ34">
        <v>13944</v>
      </c>
      <c r="BA34">
        <v>16138</v>
      </c>
      <c r="BB34">
        <v>16292</v>
      </c>
      <c r="BC34">
        <v>16383</v>
      </c>
      <c r="BD34">
        <v>16401</v>
      </c>
      <c r="BE34">
        <v>14409</v>
      </c>
      <c r="BF34">
        <v>10712</v>
      </c>
      <c r="BG34">
        <v>9171</v>
      </c>
      <c r="BH34" s="8">
        <v>9634</v>
      </c>
      <c r="BI34" s="8">
        <v>8567</v>
      </c>
      <c r="BJ34" s="8">
        <v>10059</v>
      </c>
      <c r="BK34" s="8">
        <v>11316</v>
      </c>
      <c r="BL34" s="8">
        <v>11530</v>
      </c>
      <c r="BM34" s="8">
        <v>9879</v>
      </c>
    </row>
    <row r="35" spans="1:65">
      <c r="A35" s="39" t="s">
        <v>172</v>
      </c>
      <c r="B35" s="155"/>
      <c r="C35"/>
      <c r="D35"/>
      <c r="E35"/>
      <c r="F35"/>
      <c r="G35"/>
      <c r="H35"/>
      <c r="I35"/>
      <c r="J35"/>
      <c r="K35"/>
      <c r="L35"/>
      <c r="M35"/>
      <c r="N35"/>
      <c r="O35"/>
      <c r="P35">
        <v>10186.431</v>
      </c>
      <c r="Q35">
        <v>9891.4480000000003</v>
      </c>
      <c r="R35">
        <v>11011.165000000001</v>
      </c>
      <c r="S35">
        <v>10858.432000000001</v>
      </c>
      <c r="T35">
        <v>14359.025</v>
      </c>
      <c r="U35">
        <v>17978.995999999999</v>
      </c>
      <c r="V35">
        <v>19394.116999999998</v>
      </c>
      <c r="W35">
        <v>12049.034</v>
      </c>
      <c r="X35">
        <v>13169.84</v>
      </c>
      <c r="Y35">
        <v>9268.5419999999995</v>
      </c>
      <c r="Z35">
        <v>7086.299</v>
      </c>
      <c r="AA35">
        <v>7811.18</v>
      </c>
      <c r="AB35">
        <v>8101.7070000000003</v>
      </c>
      <c r="AC35">
        <v>7955.098</v>
      </c>
      <c r="AD35">
        <v>9466.5190000000002</v>
      </c>
      <c r="AE35">
        <v>9818.6080000000002</v>
      </c>
      <c r="AF35" s="8">
        <v>8876.1749999999993</v>
      </c>
      <c r="AG35" s="8">
        <v>9714.4269999999997</v>
      </c>
      <c r="AH35" s="155"/>
      <c r="AI35"/>
      <c r="AJ35"/>
      <c r="AK35"/>
      <c r="AL35"/>
      <c r="AM35"/>
      <c r="AN35"/>
      <c r="AO35"/>
      <c r="AP35"/>
      <c r="AQ35"/>
      <c r="AR35"/>
      <c r="AS35"/>
      <c r="AT35"/>
      <c r="AU35"/>
      <c r="AV35">
        <v>4438</v>
      </c>
      <c r="AW35">
        <v>4620</v>
      </c>
      <c r="AX35">
        <v>4639</v>
      </c>
      <c r="AY35">
        <v>4561</v>
      </c>
      <c r="AZ35">
        <v>5760</v>
      </c>
      <c r="BA35">
        <v>6631</v>
      </c>
      <c r="BB35">
        <v>6721</v>
      </c>
      <c r="BC35">
        <v>5085</v>
      </c>
      <c r="BD35">
        <v>5109</v>
      </c>
      <c r="BE35">
        <v>3600</v>
      </c>
      <c r="BF35">
        <v>2813</v>
      </c>
      <c r="BG35">
        <v>3256</v>
      </c>
      <c r="BH35" s="8">
        <v>3382</v>
      </c>
      <c r="BI35" s="8">
        <v>3529</v>
      </c>
      <c r="BJ35" s="8">
        <v>3927</v>
      </c>
      <c r="BK35" s="8">
        <v>4245</v>
      </c>
      <c r="BL35" s="8">
        <v>3589</v>
      </c>
      <c r="BM35" s="8">
        <v>4215</v>
      </c>
    </row>
    <row r="36" spans="1:65">
      <c r="A36" s="39" t="s">
        <v>174</v>
      </c>
      <c r="B36" s="155"/>
      <c r="C36"/>
      <c r="D36"/>
      <c r="E36"/>
      <c r="F36"/>
      <c r="G36"/>
      <c r="H36"/>
      <c r="I36"/>
      <c r="J36"/>
      <c r="K36"/>
      <c r="L36"/>
      <c r="M36"/>
      <c r="N36"/>
      <c r="O36"/>
      <c r="P36">
        <v>23969.233</v>
      </c>
      <c r="Q36">
        <v>25380.258000000002</v>
      </c>
      <c r="R36">
        <v>25239.93</v>
      </c>
      <c r="S36">
        <v>28148.098000000002</v>
      </c>
      <c r="T36">
        <v>33132.593000000001</v>
      </c>
      <c r="U36">
        <v>35716.892</v>
      </c>
      <c r="V36">
        <v>38244.767</v>
      </c>
      <c r="W36">
        <v>36723.125</v>
      </c>
      <c r="X36">
        <v>36767.415999999997</v>
      </c>
      <c r="Y36">
        <v>27742.598000000002</v>
      </c>
      <c r="Z36">
        <v>19668.245999999999</v>
      </c>
      <c r="AA36">
        <v>19013.652999999998</v>
      </c>
      <c r="AB36">
        <v>20479.786</v>
      </c>
      <c r="AC36">
        <v>20366.273000000001</v>
      </c>
      <c r="AD36">
        <v>23491.162</v>
      </c>
      <c r="AE36">
        <v>28468.003000000001</v>
      </c>
      <c r="AF36" s="8">
        <v>24510.135999999999</v>
      </c>
      <c r="AG36" s="8">
        <v>29659.863000000001</v>
      </c>
      <c r="AH36" s="155"/>
      <c r="AI36"/>
      <c r="AJ36"/>
      <c r="AK36"/>
      <c r="AL36"/>
      <c r="AM36"/>
      <c r="AN36"/>
      <c r="AO36"/>
      <c r="AP36"/>
      <c r="AQ36"/>
      <c r="AR36"/>
      <c r="AS36"/>
      <c r="AT36"/>
      <c r="AU36"/>
      <c r="AV36">
        <v>13964</v>
      </c>
      <c r="AW36">
        <v>14093</v>
      </c>
      <c r="AX36">
        <v>13923</v>
      </c>
      <c r="AY36">
        <v>13405</v>
      </c>
      <c r="AZ36">
        <v>15089</v>
      </c>
      <c r="BA36">
        <v>15920</v>
      </c>
      <c r="BB36">
        <v>16038</v>
      </c>
      <c r="BC36">
        <v>15933</v>
      </c>
      <c r="BD36">
        <v>15699</v>
      </c>
      <c r="BE36">
        <v>12919</v>
      </c>
      <c r="BF36">
        <v>10648</v>
      </c>
      <c r="BG36">
        <v>12351</v>
      </c>
      <c r="BH36" s="8">
        <v>13331</v>
      </c>
      <c r="BI36" s="8">
        <v>14842</v>
      </c>
      <c r="BJ36" s="8">
        <v>15164</v>
      </c>
      <c r="BK36" s="8">
        <v>15209</v>
      </c>
      <c r="BL36" s="8">
        <v>13634</v>
      </c>
      <c r="BM36" s="8">
        <v>11253</v>
      </c>
    </row>
    <row r="37" spans="1:65">
      <c r="A37" s="39" t="s">
        <v>176</v>
      </c>
      <c r="B37" s="155"/>
      <c r="C37"/>
      <c r="D37"/>
      <c r="E37"/>
      <c r="F37"/>
      <c r="G37"/>
      <c r="H37"/>
      <c r="I37"/>
      <c r="J37"/>
      <c r="K37"/>
      <c r="L37"/>
      <c r="M37"/>
      <c r="N37"/>
      <c r="O37"/>
      <c r="P37">
        <v>1886.528</v>
      </c>
      <c r="Q37">
        <v>2227.5100000000002</v>
      </c>
      <c r="R37">
        <v>2473.39</v>
      </c>
      <c r="S37">
        <v>3921.741</v>
      </c>
      <c r="T37">
        <v>4256.8620000000001</v>
      </c>
      <c r="U37">
        <v>4064.7710000000002</v>
      </c>
      <c r="V37">
        <v>5109.29</v>
      </c>
      <c r="W37">
        <v>5443.567</v>
      </c>
      <c r="X37">
        <v>4434.7740000000003</v>
      </c>
      <c r="Y37">
        <v>3664.7579999999998</v>
      </c>
      <c r="Z37">
        <v>3532.93</v>
      </c>
      <c r="AA37">
        <v>3311.9090000000001</v>
      </c>
      <c r="AB37">
        <v>2591.1509999999998</v>
      </c>
      <c r="AC37">
        <v>2458.8829999999998</v>
      </c>
      <c r="AD37">
        <v>3611.6959999999999</v>
      </c>
      <c r="AE37">
        <v>3169.3679999999999</v>
      </c>
      <c r="AF37" s="8">
        <v>2456.1030000000001</v>
      </c>
      <c r="AG37" s="8">
        <v>715.38800000000003</v>
      </c>
      <c r="AH37" s="155"/>
      <c r="AI37"/>
      <c r="AJ37"/>
      <c r="AK37"/>
      <c r="AL37"/>
      <c r="AM37"/>
      <c r="AN37"/>
      <c r="AO37"/>
      <c r="AP37"/>
      <c r="AQ37"/>
      <c r="AR37"/>
      <c r="AS37"/>
      <c r="AT37"/>
      <c r="AU37"/>
      <c r="AV37">
        <v>1067</v>
      </c>
      <c r="AW37">
        <v>1384</v>
      </c>
      <c r="AX37">
        <v>1604</v>
      </c>
      <c r="AY37">
        <v>2029</v>
      </c>
      <c r="AZ37">
        <v>1531</v>
      </c>
      <c r="BA37">
        <v>2476</v>
      </c>
      <c r="BB37">
        <v>2723</v>
      </c>
      <c r="BC37">
        <v>2847</v>
      </c>
      <c r="BD37">
        <v>2458</v>
      </c>
      <c r="BE37">
        <v>2549</v>
      </c>
      <c r="BF37">
        <v>2554</v>
      </c>
      <c r="BG37">
        <v>2444</v>
      </c>
      <c r="BH37" s="8">
        <v>1166</v>
      </c>
      <c r="BI37" s="8">
        <v>827</v>
      </c>
      <c r="BJ37" s="231">
        <v>1059</v>
      </c>
      <c r="BK37" s="231">
        <v>974</v>
      </c>
      <c r="BL37" s="8">
        <v>791</v>
      </c>
      <c r="BM37" s="231">
        <v>232</v>
      </c>
    </row>
    <row r="38" spans="1:65">
      <c r="A38" s="150" t="s">
        <v>218</v>
      </c>
      <c r="B38" s="107"/>
      <c r="C38" s="27"/>
      <c r="D38" s="27"/>
      <c r="E38" s="27"/>
      <c r="F38" s="27"/>
      <c r="G38" s="27"/>
      <c r="H38" s="27"/>
      <c r="I38" s="27"/>
      <c r="J38" s="27"/>
      <c r="K38" s="27"/>
      <c r="L38" s="27"/>
      <c r="M38" s="27"/>
      <c r="N38" s="27"/>
      <c r="O38" s="27"/>
      <c r="P38" s="27">
        <f t="shared" ref="P38:AA38" si="45">SUM(P40:P51)</f>
        <v>309690.16700000002</v>
      </c>
      <c r="Q38" s="27">
        <f t="shared" si="45"/>
        <v>329411.31400000001</v>
      </c>
      <c r="R38" s="27">
        <f t="shared" si="45"/>
        <v>345186.69699999999</v>
      </c>
      <c r="S38" s="27">
        <f t="shared" si="45"/>
        <v>369976.67100000003</v>
      </c>
      <c r="T38" s="27">
        <f t="shared" si="45"/>
        <v>446662.24299999996</v>
      </c>
      <c r="U38" s="27">
        <f t="shared" si="45"/>
        <v>492340.23700000002</v>
      </c>
      <c r="V38" s="27">
        <f t="shared" si="45"/>
        <v>494088.85399999999</v>
      </c>
      <c r="W38" s="27">
        <f t="shared" si="45"/>
        <v>467984.783</v>
      </c>
      <c r="X38" s="27">
        <f t="shared" si="45"/>
        <v>487021.56800000003</v>
      </c>
      <c r="Y38" s="27">
        <f t="shared" si="45"/>
        <v>407863.62200000003</v>
      </c>
      <c r="Z38" s="27">
        <f t="shared" si="45"/>
        <v>270764.16100000002</v>
      </c>
      <c r="AA38" s="27">
        <f t="shared" si="45"/>
        <v>233235.34000000003</v>
      </c>
      <c r="AB38" s="27">
        <f t="shared" ref="AB38:AC38" si="46">SUM(AB40:AB51)</f>
        <v>254155.935</v>
      </c>
      <c r="AC38" s="27">
        <f t="shared" si="46"/>
        <v>276766.37900000002</v>
      </c>
      <c r="AD38" s="27">
        <f t="shared" ref="AD38:AE38" si="47">SUM(AD40:AD51)</f>
        <v>296585.39</v>
      </c>
      <c r="AE38" s="27">
        <f t="shared" si="47"/>
        <v>341867.21899999992</v>
      </c>
      <c r="AF38" s="27">
        <f t="shared" ref="AF38:AG38" si="48">SUM(AF40:AF51)</f>
        <v>344511.25900000002</v>
      </c>
      <c r="AG38" s="27">
        <f t="shared" si="48"/>
        <v>318839.61299999995</v>
      </c>
      <c r="AH38" s="107"/>
      <c r="AI38" s="27"/>
      <c r="AJ38" s="27"/>
      <c r="AK38" s="27"/>
      <c r="AL38" s="27"/>
      <c r="AM38" s="27"/>
      <c r="AN38" s="27"/>
      <c r="AO38" s="27"/>
      <c r="AP38" s="27"/>
      <c r="AQ38" s="27"/>
      <c r="AR38" s="27"/>
      <c r="AS38" s="27"/>
      <c r="AT38" s="27"/>
      <c r="AU38" s="27"/>
      <c r="AV38" s="27">
        <f t="shared" ref="AV38:BG38" si="49">SUM(AV40:AV51)</f>
        <v>201058</v>
      </c>
      <c r="AW38" s="27">
        <f t="shared" si="49"/>
        <v>204479</v>
      </c>
      <c r="AX38" s="27">
        <f t="shared" si="49"/>
        <v>195959</v>
      </c>
      <c r="AY38" s="27">
        <f t="shared" si="49"/>
        <v>206480</v>
      </c>
      <c r="AZ38" s="27">
        <f t="shared" si="49"/>
        <v>238092</v>
      </c>
      <c r="BA38" s="27">
        <f t="shared" si="49"/>
        <v>238473</v>
      </c>
      <c r="BB38" s="27">
        <f t="shared" si="49"/>
        <v>237684</v>
      </c>
      <c r="BC38" s="27">
        <f t="shared" si="49"/>
        <v>232692</v>
      </c>
      <c r="BD38" s="27">
        <f t="shared" si="49"/>
        <v>232719</v>
      </c>
      <c r="BE38" s="27">
        <f t="shared" si="49"/>
        <v>210863</v>
      </c>
      <c r="BF38" s="27">
        <f t="shared" si="49"/>
        <v>152462</v>
      </c>
      <c r="BG38" s="27">
        <f t="shared" si="49"/>
        <v>148176</v>
      </c>
      <c r="BH38" s="27">
        <f t="shared" ref="BH38:BI38" si="50">SUM(BH40:BH51)</f>
        <v>162478</v>
      </c>
      <c r="BI38" s="27">
        <f t="shared" si="50"/>
        <v>164465</v>
      </c>
      <c r="BJ38" s="27">
        <f t="shared" ref="BJ38:BK38" si="51">SUM(BJ40:BJ51)</f>
        <v>170503</v>
      </c>
      <c r="BK38" s="27">
        <f t="shared" si="51"/>
        <v>177086</v>
      </c>
      <c r="BL38" s="27">
        <f t="shared" ref="BL38:BM38" si="52">SUM(BL40:BL51)</f>
        <v>181077</v>
      </c>
      <c r="BM38" s="27">
        <f t="shared" si="52"/>
        <v>144730</v>
      </c>
    </row>
    <row r="39" spans="1:65">
      <c r="A39" s="30" t="s">
        <v>215</v>
      </c>
      <c r="B39" s="108"/>
      <c r="C39" s="31"/>
      <c r="D39" s="31"/>
      <c r="E39" s="31"/>
      <c r="F39" s="31"/>
      <c r="G39" s="31"/>
      <c r="H39" s="31"/>
      <c r="I39" s="31"/>
      <c r="J39" s="31"/>
      <c r="K39" s="31"/>
      <c r="L39" s="31"/>
      <c r="M39" s="31"/>
      <c r="N39" s="31"/>
      <c r="O39" s="31"/>
      <c r="P39" s="31">
        <f t="shared" ref="P39:AA39" si="53">(P38/P4)*100</f>
        <v>29.071024293675691</v>
      </c>
      <c r="Q39" s="31">
        <f t="shared" si="53"/>
        <v>30.054399039027995</v>
      </c>
      <c r="R39" s="31">
        <f t="shared" si="53"/>
        <v>30.288556669699112</v>
      </c>
      <c r="S39" s="31">
        <f t="shared" si="53"/>
        <v>29.979870610307064</v>
      </c>
      <c r="T39" s="31">
        <f t="shared" si="53"/>
        <v>30.704858747274244</v>
      </c>
      <c r="U39" s="31">
        <f t="shared" si="53"/>
        <v>30.136353510546162</v>
      </c>
      <c r="V39" s="31">
        <f t="shared" si="53"/>
        <v>29.998288158642346</v>
      </c>
      <c r="W39" s="31">
        <f t="shared" si="53"/>
        <v>29.504430101202132</v>
      </c>
      <c r="X39" s="31">
        <f t="shared" si="53"/>
        <v>30.203641109090849</v>
      </c>
      <c r="Y39" s="31">
        <f t="shared" si="53"/>
        <v>29.550868656357586</v>
      </c>
      <c r="Z39" s="31">
        <f t="shared" si="53"/>
        <v>28.232114122703283</v>
      </c>
      <c r="AA39" s="31">
        <f t="shared" si="53"/>
        <v>28.559806470457026</v>
      </c>
      <c r="AB39" s="31">
        <f t="shared" ref="AB39:AC39" si="54">(AB38/AB4)*100</f>
        <v>29.681636409729329</v>
      </c>
      <c r="AC39" s="31">
        <f t="shared" si="54"/>
        <v>29.251054929312826</v>
      </c>
      <c r="AD39" s="31">
        <f t="shared" ref="AD39:AE39" si="55">(AD38/AD4)*100</f>
        <v>29.410009158813278</v>
      </c>
      <c r="AE39" s="31">
        <f t="shared" si="55"/>
        <v>29.226049919632917</v>
      </c>
      <c r="AF39" s="31">
        <f t="shared" ref="AF39:AG39" si="56">(AF38/AF4)*100</f>
        <v>29.715722399035389</v>
      </c>
      <c r="AG39" s="31">
        <f t="shared" si="56"/>
        <v>30.513613179260108</v>
      </c>
      <c r="AH39" s="108"/>
      <c r="AI39" s="31"/>
      <c r="AJ39" s="31"/>
      <c r="AK39" s="31"/>
      <c r="AL39" s="31"/>
      <c r="AM39" s="31"/>
      <c r="AN39" s="31"/>
      <c r="AO39" s="31"/>
      <c r="AP39" s="31"/>
      <c r="AQ39" s="31"/>
      <c r="AR39" s="31"/>
      <c r="AS39" s="31"/>
      <c r="AT39" s="31"/>
      <c r="AU39" s="31"/>
      <c r="AV39" s="31">
        <f t="shared" ref="AV39:BG39" si="57">(AV38/AV4)*100</f>
        <v>30.453136146835678</v>
      </c>
      <c r="AW39" s="31">
        <f t="shared" si="57"/>
        <v>31.589135311165627</v>
      </c>
      <c r="AX39" s="31">
        <f t="shared" si="57"/>
        <v>30.888141043323376</v>
      </c>
      <c r="AY39" s="31">
        <f t="shared" si="57"/>
        <v>31.479064775402176</v>
      </c>
      <c r="AZ39" s="31">
        <f t="shared" si="57"/>
        <v>32.900040487340455</v>
      </c>
      <c r="BA39" s="31">
        <f t="shared" si="57"/>
        <v>31.719638474890765</v>
      </c>
      <c r="BB39" s="31">
        <f t="shared" si="57"/>
        <v>31.890365965577018</v>
      </c>
      <c r="BC39" s="31">
        <f t="shared" si="57"/>
        <v>32.198394314511773</v>
      </c>
      <c r="BD39" s="31">
        <f t="shared" si="57"/>
        <v>32.234825451659326</v>
      </c>
      <c r="BE39" s="31">
        <f t="shared" si="57"/>
        <v>32.486742651839393</v>
      </c>
      <c r="BF39" s="31">
        <f t="shared" si="57"/>
        <v>31.307072644351308</v>
      </c>
      <c r="BG39" s="31">
        <f t="shared" si="57"/>
        <v>33.608687960152963</v>
      </c>
      <c r="BH39" s="31">
        <f t="shared" ref="BH39:BI39" si="58">(BH38/BH4)*100</f>
        <v>35.301198013305459</v>
      </c>
      <c r="BI39" s="31">
        <f t="shared" si="58"/>
        <v>34.07019331957806</v>
      </c>
      <c r="BJ39" s="31">
        <f t="shared" ref="BJ39:BK39" si="59">(BJ38/BJ4)*100</f>
        <v>34.233082027446216</v>
      </c>
      <c r="BK39" s="31">
        <f t="shared" si="59"/>
        <v>32.910597269561144</v>
      </c>
      <c r="BL39" s="31">
        <f t="shared" ref="BL39:BM39" si="60">(BL38/BL4)*100</f>
        <v>34.351357914146739</v>
      </c>
      <c r="BM39" s="31">
        <f t="shared" si="60"/>
        <v>34.343899348384248</v>
      </c>
    </row>
    <row r="40" spans="1:65">
      <c r="A40" s="39" t="s">
        <v>150</v>
      </c>
      <c r="B40" s="155"/>
      <c r="C40"/>
      <c r="D40"/>
      <c r="E40"/>
      <c r="F40"/>
      <c r="G40"/>
      <c r="H40"/>
      <c r="I40"/>
      <c r="J40"/>
      <c r="K40"/>
      <c r="L40"/>
      <c r="M40"/>
      <c r="N40"/>
      <c r="O40"/>
      <c r="P40">
        <v>47185.911999999997</v>
      </c>
      <c r="Q40">
        <v>59435.972000000002</v>
      </c>
      <c r="R40">
        <v>61565.851999999999</v>
      </c>
      <c r="S40">
        <v>67754.104000000007</v>
      </c>
      <c r="T40">
        <v>85150.941000000006</v>
      </c>
      <c r="U40">
        <v>95686.327000000005</v>
      </c>
      <c r="V40">
        <v>90303.701000000001</v>
      </c>
      <c r="W40">
        <v>93540.161999999997</v>
      </c>
      <c r="X40">
        <v>102348.004</v>
      </c>
      <c r="Y40">
        <v>86520.960000000006</v>
      </c>
      <c r="Z40">
        <v>49248.902000000002</v>
      </c>
      <c r="AA40">
        <v>46617.748</v>
      </c>
      <c r="AB40">
        <v>50078.087</v>
      </c>
      <c r="AC40">
        <v>54473.705000000002</v>
      </c>
      <c r="AD40">
        <v>56030.468999999997</v>
      </c>
      <c r="AE40">
        <v>65887.221000000005</v>
      </c>
      <c r="AF40" s="8">
        <v>66612.387000000002</v>
      </c>
      <c r="AG40" s="8">
        <v>58583.972999999998</v>
      </c>
      <c r="AH40" s="155"/>
      <c r="AI40"/>
      <c r="AJ40"/>
      <c r="AK40"/>
      <c r="AL40"/>
      <c r="AM40"/>
      <c r="AN40"/>
      <c r="AO40"/>
      <c r="AP40"/>
      <c r="AQ40"/>
      <c r="AR40"/>
      <c r="AS40"/>
      <c r="AT40"/>
      <c r="AU40"/>
      <c r="AV40">
        <v>27208</v>
      </c>
      <c r="AW40">
        <v>34822</v>
      </c>
      <c r="AX40">
        <v>30575</v>
      </c>
      <c r="AY40">
        <v>39247</v>
      </c>
      <c r="AZ40">
        <v>50682</v>
      </c>
      <c r="BA40">
        <v>40241</v>
      </c>
      <c r="BB40">
        <v>39323</v>
      </c>
      <c r="BC40">
        <v>46989</v>
      </c>
      <c r="BD40">
        <v>46664</v>
      </c>
      <c r="BE40">
        <v>44149</v>
      </c>
      <c r="BF40">
        <v>27929</v>
      </c>
      <c r="BG40">
        <v>32914</v>
      </c>
      <c r="BH40" s="8">
        <v>32103</v>
      </c>
      <c r="BI40" s="8">
        <v>29980</v>
      </c>
      <c r="BJ40" s="8">
        <v>32149</v>
      </c>
      <c r="BK40" s="8">
        <v>31026</v>
      </c>
      <c r="BL40" s="8">
        <v>39430</v>
      </c>
      <c r="BM40" s="8">
        <v>23961</v>
      </c>
    </row>
    <row r="41" spans="1:65">
      <c r="A41" s="39" t="s">
        <v>151</v>
      </c>
      <c r="B41" s="155"/>
      <c r="C41"/>
      <c r="D41"/>
      <c r="E41"/>
      <c r="F41"/>
      <c r="G41"/>
      <c r="H41"/>
      <c r="I41"/>
      <c r="J41"/>
      <c r="K41"/>
      <c r="L41"/>
      <c r="M41"/>
      <c r="N41"/>
      <c r="O41"/>
      <c r="P41">
        <v>30150.179</v>
      </c>
      <c r="Q41">
        <v>29403.725999999999</v>
      </c>
      <c r="R41">
        <v>33142.392</v>
      </c>
      <c r="S41">
        <v>33894.902999999998</v>
      </c>
      <c r="T41">
        <v>39043.904999999999</v>
      </c>
      <c r="U41">
        <v>43273.48</v>
      </c>
      <c r="V41">
        <v>46472.281000000003</v>
      </c>
      <c r="W41">
        <v>45873.506999999998</v>
      </c>
      <c r="X41">
        <v>45831.123</v>
      </c>
      <c r="Y41">
        <v>36183.616000000002</v>
      </c>
      <c r="Z41">
        <v>27344.357</v>
      </c>
      <c r="AA41">
        <v>23334.359</v>
      </c>
      <c r="AB41">
        <v>26269.267</v>
      </c>
      <c r="AC41">
        <v>26660.042000000001</v>
      </c>
      <c r="AD41">
        <v>29512.638999999999</v>
      </c>
      <c r="AE41">
        <v>34059.544999999998</v>
      </c>
      <c r="AF41" s="8">
        <v>32071.949000000001</v>
      </c>
      <c r="AG41" s="8">
        <v>30325.021000000001</v>
      </c>
      <c r="AH41" s="155"/>
      <c r="AI41"/>
      <c r="AJ41"/>
      <c r="AK41"/>
      <c r="AL41"/>
      <c r="AM41"/>
      <c r="AN41"/>
      <c r="AO41"/>
      <c r="AP41"/>
      <c r="AQ41"/>
      <c r="AR41"/>
      <c r="AS41"/>
      <c r="AT41"/>
      <c r="AU41"/>
      <c r="AV41">
        <v>19442</v>
      </c>
      <c r="AW41">
        <v>18697</v>
      </c>
      <c r="AX41">
        <v>19745</v>
      </c>
      <c r="AY41">
        <v>18994</v>
      </c>
      <c r="AZ41">
        <v>19853</v>
      </c>
      <c r="BA41">
        <v>21929</v>
      </c>
      <c r="BB41">
        <v>22616</v>
      </c>
      <c r="BC41">
        <v>23023</v>
      </c>
      <c r="BD41">
        <v>22773</v>
      </c>
      <c r="BE41">
        <v>17500</v>
      </c>
      <c r="BF41">
        <v>15161</v>
      </c>
      <c r="BG41">
        <v>13789</v>
      </c>
      <c r="BH41" s="8">
        <v>16251</v>
      </c>
      <c r="BI41" s="8">
        <v>16546</v>
      </c>
      <c r="BJ41" s="8">
        <v>17120</v>
      </c>
      <c r="BK41" s="8">
        <v>17292</v>
      </c>
      <c r="BL41" s="8">
        <v>16174</v>
      </c>
      <c r="BM41" s="8">
        <v>12433</v>
      </c>
    </row>
    <row r="42" spans="1:65">
      <c r="A42" s="39" t="s">
        <v>152</v>
      </c>
      <c r="B42" s="155"/>
      <c r="C42"/>
      <c r="D42"/>
      <c r="E42"/>
      <c r="F42"/>
      <c r="G42"/>
      <c r="H42"/>
      <c r="I42"/>
      <c r="J42"/>
      <c r="K42"/>
      <c r="L42"/>
      <c r="M42"/>
      <c r="N42"/>
      <c r="O42"/>
      <c r="P42">
        <v>21569.346000000001</v>
      </c>
      <c r="Q42">
        <v>22212.080000000002</v>
      </c>
      <c r="R42">
        <v>23718.507000000001</v>
      </c>
      <c r="S42">
        <v>24730.66</v>
      </c>
      <c r="T42">
        <v>31017.304</v>
      </c>
      <c r="U42">
        <v>29736.223999999998</v>
      </c>
      <c r="V42">
        <v>35393.891000000003</v>
      </c>
      <c r="W42">
        <v>33799.775999999998</v>
      </c>
      <c r="X42">
        <v>34094.404000000002</v>
      </c>
      <c r="Y42">
        <v>26847.362000000001</v>
      </c>
      <c r="Z42">
        <v>18364.204000000002</v>
      </c>
      <c r="AA42">
        <v>12979.370999999999</v>
      </c>
      <c r="AB42">
        <v>13679.589</v>
      </c>
      <c r="AC42">
        <v>16402.423999999999</v>
      </c>
      <c r="AD42">
        <v>19763.382000000001</v>
      </c>
      <c r="AE42">
        <v>21462.417000000001</v>
      </c>
      <c r="AF42" s="8">
        <v>22833.210999999999</v>
      </c>
      <c r="AG42" s="8">
        <v>23113.027999999998</v>
      </c>
      <c r="AH42" s="155"/>
      <c r="AI42"/>
      <c r="AJ42"/>
      <c r="AK42"/>
      <c r="AL42"/>
      <c r="AM42"/>
      <c r="AN42"/>
      <c r="AO42"/>
      <c r="AP42"/>
      <c r="AQ42"/>
      <c r="AR42"/>
      <c r="AS42"/>
      <c r="AT42"/>
      <c r="AU42"/>
      <c r="AV42">
        <v>14820</v>
      </c>
      <c r="AW42">
        <v>14412</v>
      </c>
      <c r="AX42">
        <v>14469</v>
      </c>
      <c r="AY42">
        <v>14505</v>
      </c>
      <c r="AZ42">
        <v>17793</v>
      </c>
      <c r="BA42">
        <v>16748</v>
      </c>
      <c r="BB42">
        <v>18719</v>
      </c>
      <c r="BC42">
        <v>17504</v>
      </c>
      <c r="BD42">
        <v>16565</v>
      </c>
      <c r="BE42">
        <v>15191</v>
      </c>
      <c r="BF42">
        <v>9608</v>
      </c>
      <c r="BG42">
        <v>7357</v>
      </c>
      <c r="BH42" s="8">
        <v>9471</v>
      </c>
      <c r="BI42" s="8">
        <v>11472</v>
      </c>
      <c r="BJ42" s="8">
        <v>11628</v>
      </c>
      <c r="BK42" s="8">
        <v>11958</v>
      </c>
      <c r="BL42" s="8">
        <v>12102</v>
      </c>
      <c r="BM42" s="8">
        <v>10851</v>
      </c>
    </row>
    <row r="43" spans="1:65">
      <c r="A43" s="39" t="s">
        <v>153</v>
      </c>
      <c r="B43" s="155"/>
      <c r="C43"/>
      <c r="D43"/>
      <c r="E43"/>
      <c r="F43"/>
      <c r="G43"/>
      <c r="H43"/>
      <c r="I43"/>
      <c r="J43"/>
      <c r="K43"/>
      <c r="L43"/>
      <c r="M43"/>
      <c r="N43"/>
      <c r="O43"/>
      <c r="P43">
        <v>14342.785</v>
      </c>
      <c r="Q43">
        <v>14811.784</v>
      </c>
      <c r="R43">
        <v>15520.262000000001</v>
      </c>
      <c r="S43">
        <v>16575.598999999998</v>
      </c>
      <c r="T43">
        <v>19247.121999999999</v>
      </c>
      <c r="U43">
        <v>20825.972000000002</v>
      </c>
      <c r="V43">
        <v>21684.762999999999</v>
      </c>
      <c r="W43">
        <v>19983.190999999999</v>
      </c>
      <c r="X43">
        <v>21645.492999999999</v>
      </c>
      <c r="Y43">
        <v>19884.316999999999</v>
      </c>
      <c r="Z43">
        <v>14628.986999999999</v>
      </c>
      <c r="AA43">
        <v>11072.232</v>
      </c>
      <c r="AB43">
        <v>12488.168</v>
      </c>
      <c r="AC43">
        <v>12827.456</v>
      </c>
      <c r="AD43">
        <v>13535.406000000001</v>
      </c>
      <c r="AE43">
        <v>14806.864</v>
      </c>
      <c r="AF43" s="8">
        <v>16916.843000000001</v>
      </c>
      <c r="AG43" s="8">
        <v>14406.664000000001</v>
      </c>
      <c r="AH43" s="155"/>
      <c r="AI43"/>
      <c r="AJ43"/>
      <c r="AK43"/>
      <c r="AL43"/>
      <c r="AM43"/>
      <c r="AN43"/>
      <c r="AO43"/>
      <c r="AP43"/>
      <c r="AQ43"/>
      <c r="AR43"/>
      <c r="AS43"/>
      <c r="AT43"/>
      <c r="AU43"/>
      <c r="AV43">
        <v>8360</v>
      </c>
      <c r="AW43">
        <v>8281</v>
      </c>
      <c r="AX43">
        <v>8643</v>
      </c>
      <c r="AY43">
        <v>8893</v>
      </c>
      <c r="AZ43">
        <v>10399</v>
      </c>
      <c r="BA43">
        <v>10844</v>
      </c>
      <c r="BB43">
        <v>10939</v>
      </c>
      <c r="BC43">
        <v>10034</v>
      </c>
      <c r="BD43">
        <v>9880</v>
      </c>
      <c r="BE43">
        <v>9350</v>
      </c>
      <c r="BF43">
        <v>7404</v>
      </c>
      <c r="BG43">
        <v>6167</v>
      </c>
      <c r="BH43" s="8">
        <v>6714</v>
      </c>
      <c r="BI43" s="8">
        <v>6621</v>
      </c>
      <c r="BJ43" s="8">
        <v>6997</v>
      </c>
      <c r="BK43" s="8">
        <v>7253</v>
      </c>
      <c r="BL43" s="8">
        <v>7819</v>
      </c>
      <c r="BM43" s="8">
        <v>6005</v>
      </c>
    </row>
    <row r="44" spans="1:65">
      <c r="A44" s="39" t="s">
        <v>156</v>
      </c>
      <c r="B44" s="155"/>
      <c r="C44"/>
      <c r="D44"/>
      <c r="E44"/>
      <c r="F44"/>
      <c r="G44"/>
      <c r="H44"/>
      <c r="I44"/>
      <c r="J44"/>
      <c r="K44"/>
      <c r="L44"/>
      <c r="M44"/>
      <c r="N44"/>
      <c r="O44"/>
      <c r="P44">
        <v>39155.561999999998</v>
      </c>
      <c r="Q44">
        <v>40563.985999999997</v>
      </c>
      <c r="R44">
        <v>43672.993000000002</v>
      </c>
      <c r="S44">
        <v>47976.161999999997</v>
      </c>
      <c r="T44">
        <v>62557.084000000003</v>
      </c>
      <c r="U44">
        <v>62104.023999999998</v>
      </c>
      <c r="V44">
        <v>64195.595999999998</v>
      </c>
      <c r="W44">
        <v>58693.266000000003</v>
      </c>
      <c r="X44">
        <v>61656.233999999997</v>
      </c>
      <c r="Y44">
        <v>45519.877999999997</v>
      </c>
      <c r="Z44">
        <v>33463.908000000003</v>
      </c>
      <c r="AA44">
        <v>24282.776999999998</v>
      </c>
      <c r="AB44">
        <v>29097.581999999999</v>
      </c>
      <c r="AC44">
        <v>34600.110999999997</v>
      </c>
      <c r="AD44">
        <v>35915.139000000003</v>
      </c>
      <c r="AE44">
        <v>40792.182999999997</v>
      </c>
      <c r="AF44" s="8">
        <v>46085.87</v>
      </c>
      <c r="AG44" s="8">
        <v>37093.906999999999</v>
      </c>
      <c r="AH44" s="155"/>
      <c r="AI44"/>
      <c r="AJ44"/>
      <c r="AK44"/>
      <c r="AL44"/>
      <c r="AM44"/>
      <c r="AN44"/>
      <c r="AO44"/>
      <c r="AP44"/>
      <c r="AQ44"/>
      <c r="AR44"/>
      <c r="AS44"/>
      <c r="AT44"/>
      <c r="AU44"/>
      <c r="AV44">
        <v>26806</v>
      </c>
      <c r="AW44">
        <v>28363</v>
      </c>
      <c r="AX44">
        <v>26841</v>
      </c>
      <c r="AY44">
        <v>27407</v>
      </c>
      <c r="AZ44">
        <v>30886</v>
      </c>
      <c r="BA44">
        <v>31567</v>
      </c>
      <c r="BB44">
        <v>30864</v>
      </c>
      <c r="BC44">
        <v>29620</v>
      </c>
      <c r="BD44">
        <v>28992</v>
      </c>
      <c r="BE44">
        <v>25457</v>
      </c>
      <c r="BF44">
        <v>21799</v>
      </c>
      <c r="BG44">
        <v>21793</v>
      </c>
      <c r="BH44" s="8">
        <v>27393</v>
      </c>
      <c r="BI44" s="8">
        <v>25966</v>
      </c>
      <c r="BJ44" s="8">
        <v>26020</v>
      </c>
      <c r="BK44" s="8">
        <v>26108</v>
      </c>
      <c r="BL44" s="8">
        <v>24678</v>
      </c>
      <c r="BM44" s="8">
        <v>19356</v>
      </c>
    </row>
    <row r="45" spans="1:65">
      <c r="A45" s="39" t="s">
        <v>157</v>
      </c>
      <c r="B45" s="155"/>
      <c r="C45"/>
      <c r="D45"/>
      <c r="E45"/>
      <c r="F45"/>
      <c r="G45"/>
      <c r="H45"/>
      <c r="I45"/>
      <c r="J45"/>
      <c r="K45"/>
      <c r="L45"/>
      <c r="M45"/>
      <c r="N45"/>
      <c r="O45"/>
      <c r="P45">
        <v>24961.147000000001</v>
      </c>
      <c r="Q45">
        <v>26323.202000000001</v>
      </c>
      <c r="R45">
        <v>27603.786</v>
      </c>
      <c r="S45">
        <v>28943.019</v>
      </c>
      <c r="T45">
        <v>35600.091</v>
      </c>
      <c r="U45">
        <v>40665.536</v>
      </c>
      <c r="V45">
        <v>38903.207999999999</v>
      </c>
      <c r="W45">
        <v>37715.131000000001</v>
      </c>
      <c r="X45">
        <v>33500.536999999997</v>
      </c>
      <c r="Y45">
        <v>28367.627</v>
      </c>
      <c r="Z45">
        <v>17528.938999999998</v>
      </c>
      <c r="AA45">
        <v>17720.223999999998</v>
      </c>
      <c r="AB45">
        <v>20490.310000000001</v>
      </c>
      <c r="AC45">
        <v>22961.763999999999</v>
      </c>
      <c r="AD45">
        <v>23409.072</v>
      </c>
      <c r="AE45">
        <v>25460.001</v>
      </c>
      <c r="AF45" s="8">
        <v>26205.855</v>
      </c>
      <c r="AG45" s="8">
        <v>24062.116999999998</v>
      </c>
      <c r="AH45" s="155"/>
      <c r="AI45"/>
      <c r="AJ45"/>
      <c r="AK45"/>
      <c r="AL45"/>
      <c r="AM45"/>
      <c r="AN45"/>
      <c r="AO45"/>
      <c r="AP45"/>
      <c r="AQ45"/>
      <c r="AR45"/>
      <c r="AS45"/>
      <c r="AT45"/>
      <c r="AU45"/>
      <c r="AV45">
        <v>14119</v>
      </c>
      <c r="AW45">
        <v>13970</v>
      </c>
      <c r="AX45">
        <v>14415</v>
      </c>
      <c r="AY45">
        <v>14502</v>
      </c>
      <c r="AZ45">
        <v>16144</v>
      </c>
      <c r="BA45">
        <v>17510</v>
      </c>
      <c r="BB45">
        <v>16557</v>
      </c>
      <c r="BC45">
        <v>15852</v>
      </c>
      <c r="BD45">
        <v>13854</v>
      </c>
      <c r="BE45">
        <v>12013</v>
      </c>
      <c r="BF45">
        <v>8464</v>
      </c>
      <c r="BG45">
        <v>8864</v>
      </c>
      <c r="BH45" s="8">
        <v>10637</v>
      </c>
      <c r="BI45" s="8">
        <v>11259</v>
      </c>
      <c r="BJ45" s="8">
        <v>11074</v>
      </c>
      <c r="BK45" s="8">
        <v>11433</v>
      </c>
      <c r="BL45" s="8">
        <v>11843</v>
      </c>
      <c r="BM45" s="8">
        <v>10209</v>
      </c>
    </row>
    <row r="46" spans="1:65">
      <c r="A46" s="39" t="s">
        <v>158</v>
      </c>
      <c r="B46" s="155"/>
      <c r="C46"/>
      <c r="D46"/>
      <c r="E46"/>
      <c r="F46"/>
      <c r="G46"/>
      <c r="H46"/>
      <c r="I46"/>
      <c r="J46"/>
      <c r="K46"/>
      <c r="L46"/>
      <c r="M46"/>
      <c r="N46"/>
      <c r="O46"/>
      <c r="P46">
        <v>25704.01</v>
      </c>
      <c r="Q46">
        <v>26457.005000000001</v>
      </c>
      <c r="R46">
        <v>26993.602999999999</v>
      </c>
      <c r="S46">
        <v>27531.028999999999</v>
      </c>
      <c r="T46">
        <v>32204.324000000001</v>
      </c>
      <c r="U46">
        <v>34930.462</v>
      </c>
      <c r="V46">
        <v>37016.006000000001</v>
      </c>
      <c r="W46">
        <v>32202.151000000002</v>
      </c>
      <c r="X46">
        <v>31540.464</v>
      </c>
      <c r="Y46">
        <v>28321.825000000001</v>
      </c>
      <c r="Z46">
        <v>24690.99</v>
      </c>
      <c r="AA46">
        <v>23132.026000000002</v>
      </c>
      <c r="AB46">
        <v>23032.153999999999</v>
      </c>
      <c r="AC46">
        <v>23609.054</v>
      </c>
      <c r="AD46">
        <v>24990.694</v>
      </c>
      <c r="AE46">
        <v>27591.361000000001</v>
      </c>
      <c r="AF46" s="8">
        <v>24905.797999999999</v>
      </c>
      <c r="AG46" s="8">
        <v>22710.437999999998</v>
      </c>
      <c r="AH46" s="155"/>
      <c r="AI46"/>
      <c r="AJ46"/>
      <c r="AK46"/>
      <c r="AL46"/>
      <c r="AM46"/>
      <c r="AN46"/>
      <c r="AO46"/>
      <c r="AP46"/>
      <c r="AQ46"/>
      <c r="AR46"/>
      <c r="AS46"/>
      <c r="AT46"/>
      <c r="AU46"/>
      <c r="AV46">
        <v>20624</v>
      </c>
      <c r="AW46">
        <v>15706</v>
      </c>
      <c r="AX46">
        <v>14898</v>
      </c>
      <c r="AY46">
        <v>14572</v>
      </c>
      <c r="AZ46">
        <v>16104</v>
      </c>
      <c r="BA46">
        <v>17331</v>
      </c>
      <c r="BB46">
        <v>18348</v>
      </c>
      <c r="BC46">
        <v>15970</v>
      </c>
      <c r="BD46">
        <v>15826</v>
      </c>
      <c r="BE46">
        <v>14251</v>
      </c>
      <c r="BF46">
        <v>12989</v>
      </c>
      <c r="BG46">
        <v>11405</v>
      </c>
      <c r="BH46" s="8">
        <v>11109</v>
      </c>
      <c r="BI46" s="8">
        <v>12048</v>
      </c>
      <c r="BJ46" s="8">
        <v>12111</v>
      </c>
      <c r="BK46" s="8">
        <v>12981</v>
      </c>
      <c r="BL46" s="8">
        <v>11739</v>
      </c>
      <c r="BM46" s="8">
        <v>9943</v>
      </c>
    </row>
    <row r="47" spans="1:65">
      <c r="A47" s="39" t="s">
        <v>160</v>
      </c>
      <c r="B47" s="155"/>
      <c r="C47"/>
      <c r="D47"/>
      <c r="E47"/>
      <c r="F47"/>
      <c r="G47"/>
      <c r="H47"/>
      <c r="I47"/>
      <c r="J47"/>
      <c r="K47"/>
      <c r="L47"/>
      <c r="M47"/>
      <c r="N47"/>
      <c r="O47"/>
      <c r="P47">
        <v>10420.367</v>
      </c>
      <c r="Q47">
        <v>11092.47</v>
      </c>
      <c r="R47">
        <v>11251.429</v>
      </c>
      <c r="S47">
        <v>11723.432000000001</v>
      </c>
      <c r="T47">
        <v>14175.944</v>
      </c>
      <c r="U47">
        <v>17308.038</v>
      </c>
      <c r="V47">
        <v>18263.741999999998</v>
      </c>
      <c r="W47">
        <v>15402.022000000001</v>
      </c>
      <c r="X47">
        <v>16923.947</v>
      </c>
      <c r="Y47">
        <v>13369.433000000001</v>
      </c>
      <c r="Z47">
        <v>9282.2829999999994</v>
      </c>
      <c r="AA47">
        <v>9838.2849999999999</v>
      </c>
      <c r="AB47">
        <v>8252.73</v>
      </c>
      <c r="AC47">
        <v>8579.4840000000004</v>
      </c>
      <c r="AD47">
        <v>8666.5859999999993</v>
      </c>
      <c r="AE47">
        <v>10406.009</v>
      </c>
      <c r="AF47" s="8">
        <v>10639.299000000001</v>
      </c>
      <c r="AG47" s="8">
        <v>11421.647000000001</v>
      </c>
      <c r="AH47" s="155"/>
      <c r="AI47"/>
      <c r="AJ47"/>
      <c r="AK47"/>
      <c r="AL47"/>
      <c r="AM47"/>
      <c r="AN47"/>
      <c r="AO47"/>
      <c r="AP47"/>
      <c r="AQ47"/>
      <c r="AR47"/>
      <c r="AS47"/>
      <c r="AT47"/>
      <c r="AU47"/>
      <c r="AV47">
        <v>6930</v>
      </c>
      <c r="AW47">
        <v>7399</v>
      </c>
      <c r="AX47">
        <v>7329</v>
      </c>
      <c r="AY47">
        <v>6793</v>
      </c>
      <c r="AZ47">
        <v>7826</v>
      </c>
      <c r="BA47">
        <v>8841</v>
      </c>
      <c r="BB47">
        <v>9345</v>
      </c>
      <c r="BC47">
        <v>7815</v>
      </c>
      <c r="BD47">
        <v>8361</v>
      </c>
      <c r="BE47">
        <v>7504</v>
      </c>
      <c r="BF47">
        <v>4922</v>
      </c>
      <c r="BG47">
        <v>4935</v>
      </c>
      <c r="BH47" s="8">
        <v>4505</v>
      </c>
      <c r="BI47" s="8">
        <v>4849</v>
      </c>
      <c r="BJ47" s="8">
        <v>5364</v>
      </c>
      <c r="BK47" s="8">
        <v>5823</v>
      </c>
      <c r="BL47" s="8">
        <v>6326</v>
      </c>
      <c r="BM47" s="8">
        <v>5412</v>
      </c>
    </row>
    <row r="48" spans="1:65">
      <c r="A48" s="39" t="s">
        <v>166</v>
      </c>
      <c r="B48" s="155"/>
      <c r="C48"/>
      <c r="D48"/>
      <c r="E48"/>
      <c r="F48"/>
      <c r="G48"/>
      <c r="H48"/>
      <c r="I48"/>
      <c r="J48"/>
      <c r="K48"/>
      <c r="L48"/>
      <c r="M48"/>
      <c r="N48"/>
      <c r="O48"/>
      <c r="P48">
        <v>6650.1670000000004</v>
      </c>
      <c r="Q48">
        <v>6491.6</v>
      </c>
      <c r="R48">
        <v>6556.6450000000004</v>
      </c>
      <c r="S48">
        <v>6932.7929999999997</v>
      </c>
      <c r="T48">
        <v>9360.49</v>
      </c>
      <c r="U48">
        <v>9154.6219999999994</v>
      </c>
      <c r="V48">
        <v>8430.1740000000009</v>
      </c>
      <c r="W48">
        <v>8365.4310000000005</v>
      </c>
      <c r="X48">
        <v>8322.5759999999991</v>
      </c>
      <c r="Y48">
        <v>7226.7449999999999</v>
      </c>
      <c r="Z48">
        <v>3927.6590000000001</v>
      </c>
      <c r="AA48">
        <v>5982.4129999999996</v>
      </c>
      <c r="AB48">
        <v>5147.8029999999999</v>
      </c>
      <c r="AC48">
        <v>4039.23</v>
      </c>
      <c r="AD48">
        <v>4308.4639999999999</v>
      </c>
      <c r="AE48">
        <v>5530.7560000000003</v>
      </c>
      <c r="AF48" s="8">
        <v>6006.9030000000002</v>
      </c>
      <c r="AG48" s="8">
        <v>5779.2430000000004</v>
      </c>
      <c r="AH48" s="155"/>
      <c r="AI48"/>
      <c r="AJ48"/>
      <c r="AK48"/>
      <c r="AL48"/>
      <c r="AM48"/>
      <c r="AN48"/>
      <c r="AO48"/>
      <c r="AP48"/>
      <c r="AQ48"/>
      <c r="AR48"/>
      <c r="AS48"/>
      <c r="AT48"/>
      <c r="AU48"/>
      <c r="AV48">
        <v>4393</v>
      </c>
      <c r="AW48">
        <v>4540</v>
      </c>
      <c r="AX48">
        <v>4513</v>
      </c>
      <c r="AY48">
        <v>4752</v>
      </c>
      <c r="AZ48">
        <v>5346</v>
      </c>
      <c r="BA48">
        <v>5601</v>
      </c>
      <c r="BB48">
        <v>5209</v>
      </c>
      <c r="BC48">
        <v>4772</v>
      </c>
      <c r="BD48">
        <v>4543</v>
      </c>
      <c r="BE48">
        <v>3909</v>
      </c>
      <c r="BF48">
        <v>2279</v>
      </c>
      <c r="BG48">
        <v>3476</v>
      </c>
      <c r="BH48" s="8">
        <v>2854</v>
      </c>
      <c r="BI48" s="8">
        <v>2482</v>
      </c>
      <c r="BJ48" s="8">
        <v>2521</v>
      </c>
      <c r="BK48" s="8">
        <v>2871</v>
      </c>
      <c r="BL48" s="8">
        <v>2967</v>
      </c>
      <c r="BM48" s="8">
        <v>3086</v>
      </c>
    </row>
    <row r="49" spans="1:65">
      <c r="A49" s="39" t="s">
        <v>167</v>
      </c>
      <c r="B49" s="155"/>
      <c r="C49"/>
      <c r="D49"/>
      <c r="E49"/>
      <c r="F49"/>
      <c r="G49"/>
      <c r="H49"/>
      <c r="I49"/>
      <c r="J49"/>
      <c r="K49"/>
      <c r="L49"/>
      <c r="M49"/>
      <c r="N49"/>
      <c r="O49"/>
      <c r="P49">
        <v>50109.525000000001</v>
      </c>
      <c r="Q49">
        <v>51897.953999999998</v>
      </c>
      <c r="R49">
        <v>48192.091999999997</v>
      </c>
      <c r="S49">
        <v>55416.038999999997</v>
      </c>
      <c r="T49">
        <v>62524.608999999997</v>
      </c>
      <c r="U49">
        <v>70919.317999999999</v>
      </c>
      <c r="V49">
        <v>68680.957999999999</v>
      </c>
      <c r="W49">
        <v>61448.625999999997</v>
      </c>
      <c r="X49">
        <v>69845.226999999999</v>
      </c>
      <c r="Y49">
        <v>64792.067999999999</v>
      </c>
      <c r="Z49">
        <v>41290.160000000003</v>
      </c>
      <c r="AA49">
        <v>28193.764999999999</v>
      </c>
      <c r="AB49">
        <v>30764.853999999999</v>
      </c>
      <c r="AC49">
        <v>37183.207999999999</v>
      </c>
      <c r="AD49">
        <v>37341.322999999997</v>
      </c>
      <c r="AE49">
        <v>47744.218000000001</v>
      </c>
      <c r="AF49" s="8">
        <v>49796.02</v>
      </c>
      <c r="AG49" s="8">
        <v>48236.819000000003</v>
      </c>
      <c r="AH49" s="155"/>
      <c r="AI49"/>
      <c r="AJ49"/>
      <c r="AK49"/>
      <c r="AL49"/>
      <c r="AM49"/>
      <c r="AN49"/>
      <c r="AO49"/>
      <c r="AP49"/>
      <c r="AQ49"/>
      <c r="AR49"/>
      <c r="AS49"/>
      <c r="AT49"/>
      <c r="AU49"/>
      <c r="AV49">
        <v>33788</v>
      </c>
      <c r="AW49">
        <v>32811</v>
      </c>
      <c r="AX49">
        <v>28693</v>
      </c>
      <c r="AY49">
        <v>30646</v>
      </c>
      <c r="AZ49">
        <v>34665</v>
      </c>
      <c r="BA49">
        <v>36844</v>
      </c>
      <c r="BB49">
        <v>36324</v>
      </c>
      <c r="BC49">
        <v>33009</v>
      </c>
      <c r="BD49">
        <v>37174</v>
      </c>
      <c r="BE49">
        <v>36422</v>
      </c>
      <c r="BF49">
        <v>24208</v>
      </c>
      <c r="BG49">
        <v>18491</v>
      </c>
      <c r="BH49" s="8">
        <v>19186</v>
      </c>
      <c r="BI49" s="8">
        <v>21058</v>
      </c>
      <c r="BJ49" s="8">
        <v>21847</v>
      </c>
      <c r="BK49" s="8">
        <v>25472</v>
      </c>
      <c r="BL49" s="8">
        <v>25740</v>
      </c>
      <c r="BM49" s="8">
        <v>23109</v>
      </c>
    </row>
    <row r="50" spans="1:65">
      <c r="A50" s="39" t="s">
        <v>171</v>
      </c>
      <c r="B50" s="155"/>
      <c r="C50"/>
      <c r="D50"/>
      <c r="E50"/>
      <c r="F50"/>
      <c r="G50"/>
      <c r="H50"/>
      <c r="I50"/>
      <c r="J50"/>
      <c r="K50"/>
      <c r="L50"/>
      <c r="M50"/>
      <c r="N50"/>
      <c r="O50"/>
      <c r="P50">
        <v>6459.3459999999995</v>
      </c>
      <c r="Q50">
        <v>6688.44</v>
      </c>
      <c r="R50">
        <v>7512.3149999999996</v>
      </c>
      <c r="S50">
        <v>7693.59</v>
      </c>
      <c r="T50">
        <v>8582.1929999999993</v>
      </c>
      <c r="U50">
        <v>8868.4629999999997</v>
      </c>
      <c r="V50">
        <v>9250.2479999999996</v>
      </c>
      <c r="W50">
        <v>8721.9269999999997</v>
      </c>
      <c r="X50">
        <v>9009.9390000000003</v>
      </c>
      <c r="Y50">
        <v>7713.3890000000001</v>
      </c>
      <c r="Z50">
        <v>4803.1540000000005</v>
      </c>
      <c r="AA50">
        <v>5761.0910000000003</v>
      </c>
      <c r="AB50">
        <v>5676.9780000000001</v>
      </c>
      <c r="AC50">
        <v>5358.2240000000002</v>
      </c>
      <c r="AD50">
        <v>5560.1469999999999</v>
      </c>
      <c r="AE50">
        <v>6941.6220000000003</v>
      </c>
      <c r="AF50" s="8">
        <v>5781.1850000000004</v>
      </c>
      <c r="AG50" s="8">
        <v>5964.8429999999998</v>
      </c>
      <c r="AH50" s="155"/>
      <c r="AI50"/>
      <c r="AJ50"/>
      <c r="AK50"/>
      <c r="AL50"/>
      <c r="AM50"/>
      <c r="AN50"/>
      <c r="AO50"/>
      <c r="AP50"/>
      <c r="AQ50"/>
      <c r="AR50"/>
      <c r="AS50"/>
      <c r="AT50"/>
      <c r="AU50"/>
      <c r="AV50">
        <v>4727</v>
      </c>
      <c r="AW50">
        <v>5019</v>
      </c>
      <c r="AX50">
        <v>5431</v>
      </c>
      <c r="AY50">
        <v>5404</v>
      </c>
      <c r="AZ50">
        <v>5499</v>
      </c>
      <c r="BA50">
        <v>5372</v>
      </c>
      <c r="BB50">
        <v>5481</v>
      </c>
      <c r="BC50">
        <v>5237</v>
      </c>
      <c r="BD50">
        <v>5571</v>
      </c>
      <c r="BE50">
        <v>4789</v>
      </c>
      <c r="BF50">
        <v>3198</v>
      </c>
      <c r="BG50">
        <v>4016</v>
      </c>
      <c r="BH50" s="8">
        <v>3838</v>
      </c>
      <c r="BI50" s="8">
        <v>3670</v>
      </c>
      <c r="BJ50" s="8">
        <v>3716</v>
      </c>
      <c r="BK50" s="8">
        <v>3983</v>
      </c>
      <c r="BL50" s="8">
        <v>3137</v>
      </c>
      <c r="BM50" s="8">
        <v>2888</v>
      </c>
    </row>
    <row r="51" spans="1:65">
      <c r="A51" s="39" t="s">
        <v>175</v>
      </c>
      <c r="B51" s="155"/>
      <c r="C51"/>
      <c r="D51"/>
      <c r="E51"/>
      <c r="F51"/>
      <c r="G51"/>
      <c r="H51"/>
      <c r="I51"/>
      <c r="J51"/>
      <c r="K51"/>
      <c r="L51"/>
      <c r="M51"/>
      <c r="N51"/>
      <c r="O51"/>
      <c r="P51">
        <v>32981.821000000004</v>
      </c>
      <c r="Q51">
        <v>34033.095000000001</v>
      </c>
      <c r="R51">
        <v>39456.821000000004</v>
      </c>
      <c r="S51">
        <v>40805.341</v>
      </c>
      <c r="T51">
        <v>47198.235999999997</v>
      </c>
      <c r="U51">
        <v>58867.771000000001</v>
      </c>
      <c r="V51">
        <v>55494.286</v>
      </c>
      <c r="W51">
        <v>52239.593000000001</v>
      </c>
      <c r="X51">
        <v>52303.62</v>
      </c>
      <c r="Y51">
        <v>43116.402000000002</v>
      </c>
      <c r="Z51">
        <v>26190.617999999999</v>
      </c>
      <c r="AA51">
        <v>24321.048999999999</v>
      </c>
      <c r="AB51">
        <v>29178.413</v>
      </c>
      <c r="AC51">
        <v>30071.677</v>
      </c>
      <c r="AD51">
        <v>37552.069000000003</v>
      </c>
      <c r="AE51">
        <v>41185.021999999997</v>
      </c>
      <c r="AF51" s="8">
        <v>36655.938999999998</v>
      </c>
      <c r="AG51" s="8">
        <v>37141.913</v>
      </c>
      <c r="AH51" s="155"/>
      <c r="AI51"/>
      <c r="AJ51"/>
      <c r="AK51"/>
      <c r="AL51"/>
      <c r="AM51"/>
      <c r="AN51"/>
      <c r="AO51"/>
      <c r="AP51"/>
      <c r="AQ51"/>
      <c r="AR51"/>
      <c r="AS51"/>
      <c r="AT51"/>
      <c r="AU51"/>
      <c r="AV51">
        <v>19841</v>
      </c>
      <c r="AW51">
        <v>20459</v>
      </c>
      <c r="AX51">
        <v>20407</v>
      </c>
      <c r="AY51">
        <v>20765</v>
      </c>
      <c r="AZ51">
        <v>22895</v>
      </c>
      <c r="BA51">
        <v>25645</v>
      </c>
      <c r="BB51">
        <v>23959</v>
      </c>
      <c r="BC51">
        <v>22867</v>
      </c>
      <c r="BD51">
        <v>22516</v>
      </c>
      <c r="BE51">
        <v>20328</v>
      </c>
      <c r="BF51">
        <v>14501</v>
      </c>
      <c r="BG51">
        <v>14969</v>
      </c>
      <c r="BH51" s="8">
        <v>18417</v>
      </c>
      <c r="BI51" s="8">
        <v>18514</v>
      </c>
      <c r="BJ51" s="231">
        <v>19956</v>
      </c>
      <c r="BK51" s="231">
        <v>20886</v>
      </c>
      <c r="BL51" s="8">
        <v>19122</v>
      </c>
      <c r="BM51" s="231">
        <v>17477</v>
      </c>
    </row>
    <row r="52" spans="1:65">
      <c r="A52" s="150" t="s">
        <v>219</v>
      </c>
      <c r="B52" s="107"/>
      <c r="C52" s="27"/>
      <c r="D52" s="27"/>
      <c r="E52" s="27"/>
      <c r="F52" s="27"/>
      <c r="G52" s="27"/>
      <c r="H52" s="27"/>
      <c r="I52" s="27"/>
      <c r="J52" s="27"/>
      <c r="K52" s="27"/>
      <c r="L52" s="27"/>
      <c r="M52" s="27"/>
      <c r="N52" s="27"/>
      <c r="O52" s="27"/>
      <c r="P52" s="27">
        <f t="shared" ref="P52:AA52" si="61">SUM(P54:P62)</f>
        <v>299524.8189999999</v>
      </c>
      <c r="Q52" s="27">
        <f t="shared" si="61"/>
        <v>305935.08199999999</v>
      </c>
      <c r="R52" s="27">
        <f t="shared" si="61"/>
        <v>316597.36199999996</v>
      </c>
      <c r="S52" s="27">
        <f t="shared" si="61"/>
        <v>340310.75100000005</v>
      </c>
      <c r="T52" s="27">
        <f t="shared" si="61"/>
        <v>394283.08799999999</v>
      </c>
      <c r="U52" s="27">
        <f t="shared" si="61"/>
        <v>450367.25900000002</v>
      </c>
      <c r="V52" s="27">
        <f t="shared" si="61"/>
        <v>453733.65100000007</v>
      </c>
      <c r="W52" s="27">
        <f t="shared" si="61"/>
        <v>438759.84599999996</v>
      </c>
      <c r="X52" s="27">
        <f t="shared" si="61"/>
        <v>452914.04100000003</v>
      </c>
      <c r="Y52" s="27">
        <f t="shared" si="61"/>
        <v>388491.71100000001</v>
      </c>
      <c r="Z52" s="27">
        <f t="shared" si="61"/>
        <v>291158.12900000002</v>
      </c>
      <c r="AA52" s="27">
        <f t="shared" si="61"/>
        <v>248577.73</v>
      </c>
      <c r="AB52" s="27">
        <f t="shared" ref="AB52:AC52" si="62">SUM(AB54:AB62)</f>
        <v>255712.61700000003</v>
      </c>
      <c r="AC52" s="27">
        <f t="shared" si="62"/>
        <v>283774.93400000001</v>
      </c>
      <c r="AD52" s="27">
        <f t="shared" ref="AD52:AE52" si="63">SUM(AD54:AD62)</f>
        <v>303682.80899999995</v>
      </c>
      <c r="AE52" s="27">
        <f t="shared" si="63"/>
        <v>337134.01100000006</v>
      </c>
      <c r="AF52" s="27">
        <f t="shared" ref="AF52:AG52" si="64">SUM(AF54:AF62)</f>
        <v>338567.75999999995</v>
      </c>
      <c r="AG52" s="27">
        <f t="shared" si="64"/>
        <v>307145.58199999994</v>
      </c>
      <c r="AH52" s="107"/>
      <c r="AI52" s="27"/>
      <c r="AJ52" s="27"/>
      <c r="AK52" s="27"/>
      <c r="AL52" s="27"/>
      <c r="AM52" s="27"/>
      <c r="AN52" s="27"/>
      <c r="AO52" s="27"/>
      <c r="AP52" s="27"/>
      <c r="AQ52" s="27"/>
      <c r="AR52" s="27"/>
      <c r="AS52" s="27"/>
      <c r="AT52" s="27"/>
      <c r="AU52" s="27"/>
      <c r="AV52" s="27">
        <f t="shared" ref="AV52:BG52" si="65">SUM(AV54:AV62)</f>
        <v>196287</v>
      </c>
      <c r="AW52" s="27">
        <f t="shared" si="65"/>
        <v>191300</v>
      </c>
      <c r="AX52" s="27">
        <f t="shared" si="65"/>
        <v>191004</v>
      </c>
      <c r="AY52" s="27">
        <f t="shared" si="65"/>
        <v>193633</v>
      </c>
      <c r="AZ52" s="27">
        <f t="shared" si="65"/>
        <v>208080</v>
      </c>
      <c r="BA52" s="27">
        <f t="shared" si="65"/>
        <v>218097</v>
      </c>
      <c r="BB52" s="27">
        <f t="shared" si="65"/>
        <v>218651</v>
      </c>
      <c r="BC52" s="27">
        <f t="shared" si="65"/>
        <v>208784</v>
      </c>
      <c r="BD52" s="27">
        <f t="shared" si="65"/>
        <v>212861</v>
      </c>
      <c r="BE52" s="27">
        <f t="shared" si="65"/>
        <v>190982</v>
      </c>
      <c r="BF52" s="27">
        <f t="shared" si="65"/>
        <v>153230</v>
      </c>
      <c r="BG52" s="27">
        <f t="shared" si="65"/>
        <v>132793</v>
      </c>
      <c r="BH52" s="27">
        <f t="shared" ref="BH52:BI52" si="66">SUM(BH54:BH62)</f>
        <v>133996</v>
      </c>
      <c r="BI52" s="27">
        <f t="shared" si="66"/>
        <v>142562</v>
      </c>
      <c r="BJ52" s="27">
        <f t="shared" ref="BJ52:BK52" si="67">SUM(BJ54:BJ62)</f>
        <v>150747</v>
      </c>
      <c r="BK52" s="27">
        <f t="shared" si="67"/>
        <v>159895</v>
      </c>
      <c r="BL52" s="27">
        <f t="shared" ref="BL52:BM52" si="68">SUM(BL54:BL62)</f>
        <v>154230</v>
      </c>
      <c r="BM52" s="27">
        <f t="shared" si="68"/>
        <v>126869</v>
      </c>
    </row>
    <row r="53" spans="1:65">
      <c r="A53" s="30" t="s">
        <v>215</v>
      </c>
      <c r="B53" s="108"/>
      <c r="C53" s="31"/>
      <c r="D53" s="31"/>
      <c r="E53" s="31"/>
      <c r="F53" s="31"/>
      <c r="G53" s="31"/>
      <c r="H53" s="31"/>
      <c r="I53" s="31"/>
      <c r="J53" s="31"/>
      <c r="K53" s="31"/>
      <c r="L53" s="31"/>
      <c r="M53" s="31"/>
      <c r="N53" s="31"/>
      <c r="O53" s="31"/>
      <c r="P53" s="31">
        <f t="shared" ref="P53:AA53" si="69">(P52/P4)*100</f>
        <v>28.116789674203023</v>
      </c>
      <c r="Q53" s="31">
        <f t="shared" si="69"/>
        <v>27.912505259202337</v>
      </c>
      <c r="R53" s="31">
        <f t="shared" si="69"/>
        <v>27.779973051551991</v>
      </c>
      <c r="S53" s="31">
        <f t="shared" si="69"/>
        <v>27.5759881148734</v>
      </c>
      <c r="T53" s="31">
        <f t="shared" si="69"/>
        <v>27.104163634173805</v>
      </c>
      <c r="U53" s="31">
        <f t="shared" si="69"/>
        <v>27.567169828534045</v>
      </c>
      <c r="V53" s="31">
        <f t="shared" si="69"/>
        <v>27.548147868097551</v>
      </c>
      <c r="W53" s="31">
        <f t="shared" si="69"/>
        <v>27.661923373951268</v>
      </c>
      <c r="X53" s="31">
        <f t="shared" si="69"/>
        <v>28.088392889474783</v>
      </c>
      <c r="Y53" s="31">
        <f t="shared" si="69"/>
        <v>28.147319119930316</v>
      </c>
      <c r="Z53" s="31">
        <f t="shared" si="69"/>
        <v>30.358558146403887</v>
      </c>
      <c r="AA53" s="31">
        <f t="shared" si="69"/>
        <v>30.438491275230927</v>
      </c>
      <c r="AB53" s="31">
        <f t="shared" ref="AB53:AC53" si="70">(AB52/AB4)*100</f>
        <v>29.863433734783225</v>
      </c>
      <c r="AC53" s="31">
        <f t="shared" si="70"/>
        <v>29.991779391658412</v>
      </c>
      <c r="AD53" s="31">
        <f t="shared" ref="AD53:AE53" si="71">(AD52/AD4)*100</f>
        <v>30.113803630260211</v>
      </c>
      <c r="AE53" s="31">
        <f t="shared" si="71"/>
        <v>28.821410440911794</v>
      </c>
      <c r="AF53" s="31">
        <f t="shared" ref="AF53:AG53" si="72">(AF52/AF4)*100</f>
        <v>29.20306755322396</v>
      </c>
      <c r="AG53" s="31">
        <f t="shared" si="72"/>
        <v>29.394470124597461</v>
      </c>
      <c r="AH53" s="108"/>
      <c r="AI53" s="31"/>
      <c r="AJ53" s="31"/>
      <c r="AK53" s="31"/>
      <c r="AL53" s="31"/>
      <c r="AM53" s="31"/>
      <c r="AN53" s="31"/>
      <c r="AO53" s="31"/>
      <c r="AP53" s="31"/>
      <c r="AQ53" s="31"/>
      <c r="AR53" s="31"/>
      <c r="AS53" s="31"/>
      <c r="AT53" s="31"/>
      <c r="AU53" s="31"/>
      <c r="AV53" s="31">
        <f t="shared" ref="AV53:BG53" si="73">(AV52/AV4)*100</f>
        <v>29.73049933279917</v>
      </c>
      <c r="AW53" s="31">
        <f t="shared" si="73"/>
        <v>29.553164799446325</v>
      </c>
      <c r="AX53" s="31">
        <f t="shared" si="73"/>
        <v>30.107106546976347</v>
      </c>
      <c r="AY53" s="31">
        <f t="shared" si="73"/>
        <v>29.52046566086522</v>
      </c>
      <c r="AZ53" s="31">
        <f t="shared" si="73"/>
        <v>28.752920823067559</v>
      </c>
      <c r="BA53" s="31">
        <f t="shared" si="73"/>
        <v>29.009397258634106</v>
      </c>
      <c r="BB53" s="31">
        <f t="shared" si="73"/>
        <v>29.336684037374749</v>
      </c>
      <c r="BC53" s="31">
        <f t="shared" si="73"/>
        <v>28.890161924608609</v>
      </c>
      <c r="BD53" s="31">
        <f t="shared" si="73"/>
        <v>29.484215644041338</v>
      </c>
      <c r="BE53" s="31">
        <f t="shared" si="73"/>
        <v>29.423763700286869</v>
      </c>
      <c r="BF53" s="31">
        <f t="shared" si="73"/>
        <v>31.464776411787536</v>
      </c>
      <c r="BG53" s="31">
        <f t="shared" si="73"/>
        <v>30.119577396424475</v>
      </c>
      <c r="BH53" s="31">
        <f t="shared" ref="BH53:BI53" si="74">(BH52/BH4)*100</f>
        <v>29.112983474629665</v>
      </c>
      <c r="BI53" s="31">
        <f t="shared" si="74"/>
        <v>29.532817924942616</v>
      </c>
      <c r="BJ53" s="31">
        <f t="shared" ref="BJ53:BK53" si="75">(BJ52/BJ4)*100</f>
        <v>30.266531476815274</v>
      </c>
      <c r="BK53" s="31">
        <f t="shared" si="75"/>
        <v>29.715731059578282</v>
      </c>
      <c r="BL53" s="31">
        <f t="shared" ref="BL53:BM53" si="76">(BL52/BL4)*100</f>
        <v>29.25832618774804</v>
      </c>
      <c r="BM53" s="31">
        <f t="shared" si="76"/>
        <v>30.105549412216963</v>
      </c>
    </row>
    <row r="54" spans="1:65">
      <c r="A54" s="39" t="s">
        <v>146</v>
      </c>
      <c r="B54" s="155"/>
      <c r="C54"/>
      <c r="D54"/>
      <c r="E54"/>
      <c r="F54"/>
      <c r="G54"/>
      <c r="H54"/>
      <c r="I54"/>
      <c r="J54"/>
      <c r="K54"/>
      <c r="L54"/>
      <c r="M54"/>
      <c r="N54"/>
      <c r="O54"/>
      <c r="P54">
        <v>15204.896000000001</v>
      </c>
      <c r="Q54">
        <v>13161.781999999999</v>
      </c>
      <c r="R54">
        <v>13445.584999999999</v>
      </c>
      <c r="S54">
        <v>15601.316000000001</v>
      </c>
      <c r="T54">
        <v>17275.370999999999</v>
      </c>
      <c r="U54">
        <v>19470.928</v>
      </c>
      <c r="V54">
        <v>18547.797999999999</v>
      </c>
      <c r="W54">
        <v>19290.225999999999</v>
      </c>
      <c r="X54">
        <v>19258.751</v>
      </c>
      <c r="Y54">
        <v>14316.178</v>
      </c>
      <c r="Z54">
        <v>11837.061</v>
      </c>
      <c r="AA54">
        <v>9643.107</v>
      </c>
      <c r="AB54">
        <v>11843.554</v>
      </c>
      <c r="AC54">
        <v>12035.453</v>
      </c>
      <c r="AD54">
        <v>13045.909</v>
      </c>
      <c r="AE54">
        <v>13797.789000000001</v>
      </c>
      <c r="AF54" s="8">
        <v>13795.227999999999</v>
      </c>
      <c r="AG54" s="8">
        <v>12743.398999999999</v>
      </c>
      <c r="AH54" s="155"/>
      <c r="AI54"/>
      <c r="AJ54"/>
      <c r="AK54"/>
      <c r="AL54"/>
      <c r="AM54"/>
      <c r="AN54"/>
      <c r="AO54"/>
      <c r="AP54"/>
      <c r="AQ54"/>
      <c r="AR54"/>
      <c r="AS54"/>
      <c r="AT54"/>
      <c r="AU54"/>
      <c r="AV54">
        <v>8307</v>
      </c>
      <c r="AW54">
        <v>7625</v>
      </c>
      <c r="AX54">
        <v>9736</v>
      </c>
      <c r="AY54">
        <v>7858</v>
      </c>
      <c r="AZ54">
        <v>8406</v>
      </c>
      <c r="BA54">
        <v>8583</v>
      </c>
      <c r="BB54">
        <v>7769</v>
      </c>
      <c r="BC54">
        <v>8713</v>
      </c>
      <c r="BD54">
        <v>8248</v>
      </c>
      <c r="BE54">
        <v>6557</v>
      </c>
      <c r="BF54">
        <v>6010</v>
      </c>
      <c r="BG54">
        <v>4995</v>
      </c>
      <c r="BH54" s="8">
        <v>5635</v>
      </c>
      <c r="BI54" s="8">
        <v>4959</v>
      </c>
      <c r="BJ54" s="8">
        <v>5528</v>
      </c>
      <c r="BK54" s="8">
        <v>6119</v>
      </c>
      <c r="BL54" s="8">
        <v>5226</v>
      </c>
      <c r="BM54" s="8">
        <v>3934</v>
      </c>
    </row>
    <row r="55" spans="1:65">
      <c r="A55" s="39" t="s">
        <v>154</v>
      </c>
      <c r="B55" s="155"/>
      <c r="C55"/>
      <c r="D55"/>
      <c r="E55"/>
      <c r="F55"/>
      <c r="G55"/>
      <c r="H55"/>
      <c r="I55"/>
      <c r="J55"/>
      <c r="K55"/>
      <c r="L55"/>
      <c r="M55"/>
      <c r="N55"/>
      <c r="O55"/>
      <c r="P55">
        <v>8829.5149999999994</v>
      </c>
      <c r="Q55">
        <v>9630.2659999999996</v>
      </c>
      <c r="R55">
        <v>11922.12</v>
      </c>
      <c r="S55">
        <v>11544.295</v>
      </c>
      <c r="T55">
        <v>12949.924000000001</v>
      </c>
      <c r="U55">
        <v>15272.662</v>
      </c>
      <c r="V55">
        <v>15588.261</v>
      </c>
      <c r="W55">
        <v>14152.797</v>
      </c>
      <c r="X55">
        <v>14916.795</v>
      </c>
      <c r="Y55">
        <v>14055.307000000001</v>
      </c>
      <c r="Z55">
        <v>5934.924</v>
      </c>
      <c r="AA55">
        <v>5620.2560000000003</v>
      </c>
      <c r="AB55">
        <v>8865.4179999999997</v>
      </c>
      <c r="AC55">
        <v>8231.7479999999996</v>
      </c>
      <c r="AD55">
        <v>9217.6450000000004</v>
      </c>
      <c r="AE55" s="12">
        <v>9239.4959999999992</v>
      </c>
      <c r="AF55" s="8">
        <v>8915.9079999999994</v>
      </c>
      <c r="AG55" s="8">
        <v>8593.9830000000002</v>
      </c>
      <c r="AH55" s="155"/>
      <c r="AI55"/>
      <c r="AJ55"/>
      <c r="AK55"/>
      <c r="AL55"/>
      <c r="AM55"/>
      <c r="AN55"/>
      <c r="AO55"/>
      <c r="AP55"/>
      <c r="AQ55"/>
      <c r="AR55"/>
      <c r="AS55"/>
      <c r="AT55"/>
      <c r="AU55"/>
      <c r="AV55">
        <v>6488</v>
      </c>
      <c r="AW55">
        <v>6709</v>
      </c>
      <c r="AX55">
        <v>7190</v>
      </c>
      <c r="AY55">
        <v>7571</v>
      </c>
      <c r="AZ55">
        <v>7712</v>
      </c>
      <c r="BA55">
        <v>8440</v>
      </c>
      <c r="BB55">
        <v>8133</v>
      </c>
      <c r="BC55">
        <v>7252</v>
      </c>
      <c r="BD55">
        <v>7388</v>
      </c>
      <c r="BE55">
        <v>7005</v>
      </c>
      <c r="BF55">
        <v>3342</v>
      </c>
      <c r="BG55">
        <v>2832</v>
      </c>
      <c r="BH55" s="8">
        <v>5155</v>
      </c>
      <c r="BI55" s="8">
        <v>5445</v>
      </c>
      <c r="BJ55" s="8">
        <v>5645</v>
      </c>
      <c r="BK55" s="8">
        <v>5089</v>
      </c>
      <c r="BL55" s="8">
        <v>4792</v>
      </c>
      <c r="BM55" s="8">
        <v>4465</v>
      </c>
    </row>
    <row r="56" spans="1:65">
      <c r="A56" s="39" t="s">
        <v>155</v>
      </c>
      <c r="B56" s="155"/>
      <c r="C56" s="12"/>
      <c r="D56" s="12"/>
      <c r="E56" s="12"/>
      <c r="F56" s="12"/>
      <c r="G56" s="12"/>
      <c r="H56" s="12"/>
      <c r="I56" s="12"/>
      <c r="J56" s="12"/>
      <c r="K56" s="12"/>
      <c r="L56" s="12"/>
      <c r="M56" s="12"/>
      <c r="N56" s="12"/>
      <c r="O56" s="12"/>
      <c r="P56" s="12">
        <v>58480.837</v>
      </c>
      <c r="Q56" s="12">
        <v>59772.675000000003</v>
      </c>
      <c r="R56" s="12">
        <v>61499.317000000003</v>
      </c>
      <c r="S56" s="12">
        <v>70476.312000000005</v>
      </c>
      <c r="T56" s="12">
        <v>84518.713000000003</v>
      </c>
      <c r="U56" s="12">
        <v>96191.597999999998</v>
      </c>
      <c r="V56" s="12">
        <v>91236.354000000007</v>
      </c>
      <c r="W56" s="12">
        <v>87180.03</v>
      </c>
      <c r="X56" s="12">
        <v>88779.941999999995</v>
      </c>
      <c r="Y56" s="12">
        <v>73382.623999999996</v>
      </c>
      <c r="Z56" s="12">
        <v>62256.218000000001</v>
      </c>
      <c r="AA56" s="12">
        <v>54820.300999999999</v>
      </c>
      <c r="AB56" s="12">
        <v>55394.241999999998</v>
      </c>
      <c r="AC56" s="12">
        <v>59403.64</v>
      </c>
      <c r="AD56" s="12">
        <v>61300.553999999996</v>
      </c>
      <c r="AE56">
        <v>66487.183999999994</v>
      </c>
      <c r="AF56" s="8">
        <v>65153.012000000002</v>
      </c>
      <c r="AG56" s="8">
        <v>59291.472000000002</v>
      </c>
      <c r="AH56" s="155"/>
      <c r="AI56" s="12"/>
      <c r="AJ56" s="12"/>
      <c r="AK56" s="12"/>
      <c r="AL56" s="12"/>
      <c r="AM56" s="12"/>
      <c r="AN56" s="12"/>
      <c r="AO56" s="12"/>
      <c r="AP56" s="12"/>
      <c r="AQ56" s="12"/>
      <c r="AR56" s="12"/>
      <c r="AS56" s="12"/>
      <c r="AT56" s="12"/>
      <c r="AU56" s="12"/>
      <c r="AV56" s="12">
        <v>36507</v>
      </c>
      <c r="AW56" s="12">
        <v>33989</v>
      </c>
      <c r="AX56" s="12">
        <v>31595</v>
      </c>
      <c r="AY56" s="12">
        <v>34309</v>
      </c>
      <c r="AZ56" s="12">
        <v>38208</v>
      </c>
      <c r="BA56" s="12">
        <v>40629</v>
      </c>
      <c r="BB56" s="12">
        <v>39510</v>
      </c>
      <c r="BC56" s="12">
        <v>36652</v>
      </c>
      <c r="BD56" s="12">
        <v>37572</v>
      </c>
      <c r="BE56" s="12">
        <v>32477</v>
      </c>
      <c r="BF56" s="12">
        <v>24582</v>
      </c>
      <c r="BG56" s="12">
        <v>22925</v>
      </c>
      <c r="BH56" s="8">
        <v>22735</v>
      </c>
      <c r="BI56" s="8">
        <v>24291</v>
      </c>
      <c r="BJ56" s="8">
        <v>24562</v>
      </c>
      <c r="BK56" s="8">
        <v>25698</v>
      </c>
      <c r="BL56" s="8">
        <v>24347</v>
      </c>
      <c r="BM56" s="8">
        <v>20318</v>
      </c>
    </row>
    <row r="57" spans="1:65">
      <c r="A57" s="39" t="s">
        <v>162</v>
      </c>
      <c r="B57" s="155"/>
      <c r="C57" s="12"/>
      <c r="D57" s="12"/>
      <c r="E57" s="12"/>
      <c r="F57" s="12"/>
      <c r="G57" s="12"/>
      <c r="H57" s="12"/>
      <c r="I57" s="12"/>
      <c r="J57" s="12"/>
      <c r="K57" s="12"/>
      <c r="L57" s="12"/>
      <c r="M57" s="12"/>
      <c r="N57" s="12"/>
      <c r="O57" s="12"/>
      <c r="P57" s="12">
        <v>9928.7219999999998</v>
      </c>
      <c r="Q57" s="12">
        <v>10392.915999999999</v>
      </c>
      <c r="R57" s="12">
        <v>10615.066999999999</v>
      </c>
      <c r="S57" s="12">
        <v>11083.764999999999</v>
      </c>
      <c r="T57" s="12">
        <v>13265.3</v>
      </c>
      <c r="U57" s="12">
        <v>16786.187000000002</v>
      </c>
      <c r="V57" s="12">
        <v>13343.92</v>
      </c>
      <c r="W57" s="12">
        <v>13192.019</v>
      </c>
      <c r="X57" s="12">
        <v>13856.107</v>
      </c>
      <c r="Y57" s="12">
        <v>10886.459000000001</v>
      </c>
      <c r="Z57" s="12">
        <v>9344.5319999999992</v>
      </c>
      <c r="AA57" s="12">
        <v>11697.985000000001</v>
      </c>
      <c r="AB57" s="12">
        <v>10168.915999999999</v>
      </c>
      <c r="AC57" s="12">
        <v>9508.3729999999996</v>
      </c>
      <c r="AD57" s="12">
        <v>9868.3119999999999</v>
      </c>
      <c r="AE57" s="12">
        <v>11024.395</v>
      </c>
      <c r="AF57" s="8">
        <v>10322.329</v>
      </c>
      <c r="AG57" s="8">
        <v>9130.4290000000001</v>
      </c>
      <c r="AH57" s="155"/>
      <c r="AI57" s="12"/>
      <c r="AJ57" s="12"/>
      <c r="AK57" s="12"/>
      <c r="AL57" s="12"/>
      <c r="AM57" s="12"/>
      <c r="AN57" s="12"/>
      <c r="AO57" s="12"/>
      <c r="AP57" s="12"/>
      <c r="AQ57" s="12"/>
      <c r="AR57" s="12"/>
      <c r="AS57" s="12"/>
      <c r="AT57" s="12"/>
      <c r="AU57" s="12"/>
      <c r="AV57" s="12">
        <v>5986</v>
      </c>
      <c r="AW57" s="12">
        <v>5780</v>
      </c>
      <c r="AX57" s="12">
        <v>5894</v>
      </c>
      <c r="AY57" s="12">
        <v>6313</v>
      </c>
      <c r="AZ57" s="12">
        <v>7291</v>
      </c>
      <c r="BA57" s="12">
        <v>8065</v>
      </c>
      <c r="BB57" s="12">
        <v>6786</v>
      </c>
      <c r="BC57" s="12">
        <v>6558</v>
      </c>
      <c r="BD57" s="12">
        <v>6681</v>
      </c>
      <c r="BE57" s="12">
        <v>5249</v>
      </c>
      <c r="BF57" s="12">
        <v>4707</v>
      </c>
      <c r="BG57" s="12">
        <v>5675</v>
      </c>
      <c r="BH57" s="8">
        <v>5330</v>
      </c>
      <c r="BI57" s="8">
        <v>5211</v>
      </c>
      <c r="BJ57" s="8">
        <v>5187</v>
      </c>
      <c r="BK57" s="8">
        <v>5312</v>
      </c>
      <c r="BL57" s="8">
        <v>4802</v>
      </c>
      <c r="BM57" s="8">
        <v>4106</v>
      </c>
    </row>
    <row r="58" spans="1:65">
      <c r="A58" s="39" t="s">
        <v>163</v>
      </c>
      <c r="B58" s="155"/>
      <c r="C58" s="12"/>
      <c r="D58" s="12"/>
      <c r="E58" s="12"/>
      <c r="F58" s="12"/>
      <c r="G58" s="12"/>
      <c r="H58" s="12"/>
      <c r="I58" s="12"/>
      <c r="J58" s="12"/>
      <c r="K58" s="12"/>
      <c r="L58" s="12"/>
      <c r="M58" s="12"/>
      <c r="N58" s="12"/>
      <c r="O58" s="12"/>
      <c r="P58" s="12">
        <v>20588.850999999999</v>
      </c>
      <c r="Q58" s="12">
        <v>19942.411</v>
      </c>
      <c r="R58" s="12">
        <v>21901.135999999999</v>
      </c>
      <c r="S58" s="12">
        <v>20772.34</v>
      </c>
      <c r="T58" s="12">
        <v>25038.595000000001</v>
      </c>
      <c r="U58" s="12">
        <v>28028.050999999999</v>
      </c>
      <c r="V58" s="12">
        <v>24684.423999999999</v>
      </c>
      <c r="W58" s="12">
        <v>25704.067999999999</v>
      </c>
      <c r="X58" s="12">
        <v>27313.749</v>
      </c>
      <c r="Y58" s="12">
        <v>20073.248</v>
      </c>
      <c r="Z58" s="12">
        <v>17020.385999999999</v>
      </c>
      <c r="AA58" s="12">
        <v>13820.263999999999</v>
      </c>
      <c r="AB58" s="12">
        <v>15052.07</v>
      </c>
      <c r="AC58" s="12">
        <v>17310.913</v>
      </c>
      <c r="AD58" s="12">
        <v>16147.117</v>
      </c>
      <c r="AE58" s="12">
        <v>16792.395</v>
      </c>
      <c r="AF58" s="8">
        <v>17934.975999999999</v>
      </c>
      <c r="AG58" s="8">
        <v>16618.998</v>
      </c>
      <c r="AH58" s="155"/>
      <c r="AI58" s="12"/>
      <c r="AJ58" s="12"/>
      <c r="AK58" s="12"/>
      <c r="AL58" s="12"/>
      <c r="AM58" s="12"/>
      <c r="AN58" s="12"/>
      <c r="AO58" s="12"/>
      <c r="AP58" s="12"/>
      <c r="AQ58" s="12"/>
      <c r="AR58" s="12"/>
      <c r="AS58" s="12"/>
      <c r="AT58" s="12"/>
      <c r="AU58" s="12"/>
      <c r="AV58" s="12">
        <v>13307</v>
      </c>
      <c r="AW58" s="12">
        <v>12361</v>
      </c>
      <c r="AX58" s="12">
        <v>12972</v>
      </c>
      <c r="AY58" s="12">
        <v>12371</v>
      </c>
      <c r="AZ58" s="12">
        <v>13754</v>
      </c>
      <c r="BA58" s="12">
        <v>14299</v>
      </c>
      <c r="BB58" s="12">
        <v>13081</v>
      </c>
      <c r="BC58" s="12">
        <v>12976</v>
      </c>
      <c r="BD58" s="12">
        <v>13435</v>
      </c>
      <c r="BE58" s="12">
        <v>10688</v>
      </c>
      <c r="BF58" s="12">
        <v>10092</v>
      </c>
      <c r="BG58" s="12">
        <v>8192</v>
      </c>
      <c r="BH58" s="8">
        <v>8823</v>
      </c>
      <c r="BI58" s="8">
        <v>10090</v>
      </c>
      <c r="BJ58" s="8">
        <v>9755</v>
      </c>
      <c r="BK58" s="8">
        <v>10366</v>
      </c>
      <c r="BL58" s="8">
        <v>10727</v>
      </c>
      <c r="BM58" s="8">
        <v>7572</v>
      </c>
    </row>
    <row r="59" spans="1:65">
      <c r="A59" s="39" t="s">
        <v>165</v>
      </c>
      <c r="B59" s="155"/>
      <c r="C59" s="12"/>
      <c r="D59" s="12"/>
      <c r="E59" s="12"/>
      <c r="F59" s="12"/>
      <c r="G59" s="12"/>
      <c r="H59" s="12"/>
      <c r="I59" s="12"/>
      <c r="J59" s="12"/>
      <c r="K59" s="12"/>
      <c r="L59" s="12"/>
      <c r="M59" s="12"/>
      <c r="N59" s="12"/>
      <c r="O59" s="12"/>
      <c r="P59" s="12">
        <v>102816.264</v>
      </c>
      <c r="Q59" s="12">
        <v>103720.89</v>
      </c>
      <c r="R59" s="12">
        <v>105275.11599999999</v>
      </c>
      <c r="S59" s="12">
        <v>115393.399</v>
      </c>
      <c r="T59" s="12">
        <v>127753.35799999999</v>
      </c>
      <c r="U59" s="12">
        <v>144791.111</v>
      </c>
      <c r="V59" s="12">
        <v>156285.12599999999</v>
      </c>
      <c r="W59" s="12">
        <v>151322.57699999999</v>
      </c>
      <c r="X59" s="12">
        <v>158000.522</v>
      </c>
      <c r="Y59" s="12">
        <v>139712.94500000001</v>
      </c>
      <c r="Z59" s="12">
        <v>98670.745999999999</v>
      </c>
      <c r="AA59" s="12">
        <v>83633.565000000002</v>
      </c>
      <c r="AB59" s="12">
        <v>83152.784</v>
      </c>
      <c r="AC59" s="12">
        <v>97985.353000000003</v>
      </c>
      <c r="AD59" s="12">
        <v>105359.75599999999</v>
      </c>
      <c r="AE59" s="12">
        <v>124215.52099999999</v>
      </c>
      <c r="AF59" s="8">
        <v>123655.83199999999</v>
      </c>
      <c r="AG59" s="8">
        <v>110463.912</v>
      </c>
      <c r="AH59" s="155"/>
      <c r="AI59" s="12"/>
      <c r="AJ59" s="12"/>
      <c r="AK59" s="12"/>
      <c r="AL59" s="12"/>
      <c r="AM59" s="12"/>
      <c r="AN59" s="12"/>
      <c r="AO59" s="12"/>
      <c r="AP59" s="12"/>
      <c r="AQ59" s="12"/>
      <c r="AR59" s="12"/>
      <c r="AS59" s="12"/>
      <c r="AT59" s="12"/>
      <c r="AU59" s="12"/>
      <c r="AV59" s="12">
        <v>65633</v>
      </c>
      <c r="AW59" s="12">
        <v>63644</v>
      </c>
      <c r="AX59" s="12">
        <v>62227</v>
      </c>
      <c r="AY59" s="12">
        <v>64596</v>
      </c>
      <c r="AZ59" s="12">
        <v>66881</v>
      </c>
      <c r="BA59" s="12">
        <v>71427</v>
      </c>
      <c r="BB59" s="12">
        <v>71954</v>
      </c>
      <c r="BC59" s="12">
        <v>70818</v>
      </c>
      <c r="BD59" s="12">
        <v>71692</v>
      </c>
      <c r="BE59" s="12">
        <v>65155</v>
      </c>
      <c r="BF59" s="12">
        <v>51042</v>
      </c>
      <c r="BG59" s="12">
        <v>44766</v>
      </c>
      <c r="BH59" s="8">
        <v>42590</v>
      </c>
      <c r="BI59" s="8">
        <v>46704</v>
      </c>
      <c r="BJ59" s="8">
        <v>49765</v>
      </c>
      <c r="BK59" s="8">
        <v>55958</v>
      </c>
      <c r="BL59" s="8">
        <v>53348</v>
      </c>
      <c r="BM59" s="8">
        <v>44827</v>
      </c>
    </row>
    <row r="60" spans="1:65">
      <c r="A60" s="39" t="s">
        <v>169</v>
      </c>
      <c r="B60" s="155"/>
      <c r="C60" s="12"/>
      <c r="D60" s="12"/>
      <c r="E60" s="12"/>
      <c r="F60" s="12"/>
      <c r="G60" s="12"/>
      <c r="H60" s="12"/>
      <c r="I60" s="12"/>
      <c r="J60" s="12"/>
      <c r="K60" s="12"/>
      <c r="L60" s="12"/>
      <c r="M60" s="12"/>
      <c r="N60" s="12"/>
      <c r="O60" s="12"/>
      <c r="P60" s="12">
        <v>62700.040999999997</v>
      </c>
      <c r="Q60" s="12">
        <v>67617.490999999995</v>
      </c>
      <c r="R60" s="12">
        <v>69280.548999999999</v>
      </c>
      <c r="S60" s="12">
        <v>70751.551999999996</v>
      </c>
      <c r="T60" s="12">
        <v>84750.842999999993</v>
      </c>
      <c r="U60" s="12">
        <v>95593.61</v>
      </c>
      <c r="V60" s="12">
        <v>100643.79700000001</v>
      </c>
      <c r="W60" s="12">
        <v>95749.574999999997</v>
      </c>
      <c r="X60" s="12">
        <v>99511.514999999999</v>
      </c>
      <c r="Y60" s="12">
        <v>88104.394</v>
      </c>
      <c r="Z60" s="12">
        <v>60047.758000000002</v>
      </c>
      <c r="AA60" s="12">
        <v>44541.286999999997</v>
      </c>
      <c r="AB60" s="12">
        <v>49135.868000000002</v>
      </c>
      <c r="AC60" s="12">
        <v>56321.678</v>
      </c>
      <c r="AD60" s="12">
        <v>64226.328000000001</v>
      </c>
      <c r="AE60" s="12">
        <v>69944.706000000006</v>
      </c>
      <c r="AF60" s="8">
        <v>73241.849000000002</v>
      </c>
      <c r="AG60" s="8">
        <v>67051.073000000004</v>
      </c>
      <c r="AH60" s="155"/>
      <c r="AI60" s="12"/>
      <c r="AJ60" s="12"/>
      <c r="AK60" s="12"/>
      <c r="AL60" s="12"/>
      <c r="AM60" s="12"/>
      <c r="AN60" s="12"/>
      <c r="AO60" s="12"/>
      <c r="AP60" s="12"/>
      <c r="AQ60" s="12"/>
      <c r="AR60" s="12"/>
      <c r="AS60" s="12"/>
      <c r="AT60" s="12"/>
      <c r="AU60" s="12"/>
      <c r="AV60" s="12">
        <v>45171</v>
      </c>
      <c r="AW60" s="12">
        <v>45795</v>
      </c>
      <c r="AX60" s="12">
        <v>46089</v>
      </c>
      <c r="AY60" s="12">
        <v>45265</v>
      </c>
      <c r="AZ60" s="12">
        <v>49576</v>
      </c>
      <c r="BA60" s="12">
        <v>49659</v>
      </c>
      <c r="BB60" s="12">
        <v>54688</v>
      </c>
      <c r="BC60" s="12">
        <v>50119</v>
      </c>
      <c r="BD60" s="12">
        <v>51872</v>
      </c>
      <c r="BE60" s="12">
        <v>48952</v>
      </c>
      <c r="BF60" s="12">
        <v>39716</v>
      </c>
      <c r="BG60" s="12">
        <v>29463</v>
      </c>
      <c r="BH60" s="8">
        <v>30847</v>
      </c>
      <c r="BI60" s="8">
        <v>32545</v>
      </c>
      <c r="BJ60" s="8">
        <v>36852</v>
      </c>
      <c r="BK60" s="8">
        <v>37743</v>
      </c>
      <c r="BL60" s="8">
        <v>37482</v>
      </c>
      <c r="BM60" s="8">
        <v>30608</v>
      </c>
    </row>
    <row r="61" spans="1:65">
      <c r="A61" s="39" t="s">
        <v>170</v>
      </c>
      <c r="B61" s="155"/>
      <c r="C61" s="12"/>
      <c r="D61" s="12"/>
      <c r="E61" s="12"/>
      <c r="F61" s="12"/>
      <c r="G61" s="12"/>
      <c r="H61" s="12"/>
      <c r="I61" s="12"/>
      <c r="J61" s="12"/>
      <c r="K61" s="12"/>
      <c r="L61" s="12"/>
      <c r="M61" s="12"/>
      <c r="N61" s="12"/>
      <c r="O61" s="12"/>
      <c r="P61" s="12">
        <v>13429.502</v>
      </c>
      <c r="Q61" s="12">
        <v>13419.338</v>
      </c>
      <c r="R61" s="12">
        <v>14783.121999999999</v>
      </c>
      <c r="S61" s="12">
        <v>17047.456999999999</v>
      </c>
      <c r="T61" s="12">
        <v>19703.021000000001</v>
      </c>
      <c r="U61" s="12">
        <v>23205.155999999999</v>
      </c>
      <c r="V61" s="12">
        <v>22524.047999999999</v>
      </c>
      <c r="W61" s="12">
        <v>22668.575000000001</v>
      </c>
      <c r="X61" s="12">
        <v>21785.277999999998</v>
      </c>
      <c r="Y61" s="12">
        <v>20095.437000000002</v>
      </c>
      <c r="Z61" s="12">
        <v>18486.760999999999</v>
      </c>
      <c r="AA61" s="12">
        <v>17048.776999999998</v>
      </c>
      <c r="AB61" s="12">
        <v>15748.412</v>
      </c>
      <c r="AC61" s="12">
        <v>16470.197</v>
      </c>
      <c r="AD61" s="12">
        <v>17446.452000000001</v>
      </c>
      <c r="AE61" s="12">
        <v>18118.239000000001</v>
      </c>
      <c r="AF61" s="8">
        <v>17495.875</v>
      </c>
      <c r="AG61" s="8">
        <v>14942.569</v>
      </c>
      <c r="AH61" s="155"/>
      <c r="AI61" s="12"/>
      <c r="AJ61" s="12"/>
      <c r="AK61" s="12"/>
      <c r="AL61" s="12"/>
      <c r="AM61" s="12"/>
      <c r="AN61" s="12"/>
      <c r="AO61" s="12"/>
      <c r="AP61" s="12"/>
      <c r="AQ61" s="12"/>
      <c r="AR61" s="12"/>
      <c r="AS61" s="12"/>
      <c r="AT61" s="12"/>
      <c r="AU61" s="12"/>
      <c r="AV61" s="12">
        <v>8858</v>
      </c>
      <c r="AW61" s="12">
        <v>8844</v>
      </c>
      <c r="AX61" s="12">
        <v>9032</v>
      </c>
      <c r="AY61" s="12">
        <v>9423</v>
      </c>
      <c r="AZ61" s="12">
        <v>9877</v>
      </c>
      <c r="BA61" s="12">
        <v>10899</v>
      </c>
      <c r="BB61" s="12">
        <v>10745</v>
      </c>
      <c r="BC61" s="12">
        <v>10032</v>
      </c>
      <c r="BD61" s="12">
        <v>10101</v>
      </c>
      <c r="BE61" s="12">
        <v>9788</v>
      </c>
      <c r="BF61" s="12">
        <v>8598</v>
      </c>
      <c r="BG61" s="12">
        <v>7997</v>
      </c>
      <c r="BH61" s="8">
        <v>9036</v>
      </c>
      <c r="BI61" s="8">
        <v>9231</v>
      </c>
      <c r="BJ61" s="8">
        <v>9267</v>
      </c>
      <c r="BK61" s="8">
        <v>9328</v>
      </c>
      <c r="BL61" s="8">
        <v>9456</v>
      </c>
      <c r="BM61" s="8">
        <v>7451</v>
      </c>
    </row>
    <row r="62" spans="1:65">
      <c r="A62" s="39" t="s">
        <v>173</v>
      </c>
      <c r="B62" s="155"/>
      <c r="C62" s="12"/>
      <c r="D62" s="12"/>
      <c r="E62" s="12"/>
      <c r="F62" s="12"/>
      <c r="G62" s="12"/>
      <c r="H62" s="12"/>
      <c r="I62" s="12"/>
      <c r="J62" s="12"/>
      <c r="K62" s="12"/>
      <c r="L62" s="12"/>
      <c r="M62" s="12"/>
      <c r="N62" s="12"/>
      <c r="O62" s="12"/>
      <c r="P62" s="12">
        <v>7546.1909999999998</v>
      </c>
      <c r="Q62" s="12">
        <v>8277.3130000000001</v>
      </c>
      <c r="R62" s="12">
        <v>7875.35</v>
      </c>
      <c r="S62" s="12">
        <v>7640.3149999999996</v>
      </c>
      <c r="T62" s="12">
        <v>9027.9629999999997</v>
      </c>
      <c r="U62" s="12">
        <v>11027.956</v>
      </c>
      <c r="V62" s="12">
        <v>10879.923000000001</v>
      </c>
      <c r="W62" s="12">
        <v>9499.9789999999994</v>
      </c>
      <c r="X62" s="12">
        <v>9491.3819999999996</v>
      </c>
      <c r="Y62" s="12">
        <v>7865.1189999999997</v>
      </c>
      <c r="Z62" s="12">
        <v>7559.7430000000004</v>
      </c>
      <c r="AA62" s="12">
        <v>7752.1880000000001</v>
      </c>
      <c r="AB62" s="12">
        <v>6351.3530000000001</v>
      </c>
      <c r="AC62" s="12">
        <v>6507.5789999999997</v>
      </c>
      <c r="AD62" s="12">
        <v>7070.7359999999999</v>
      </c>
      <c r="AE62" s="12">
        <v>7514.2860000000001</v>
      </c>
      <c r="AF62" s="231">
        <v>8052.7510000000002</v>
      </c>
      <c r="AG62" s="8">
        <v>8309.7469999999994</v>
      </c>
      <c r="AH62" s="155"/>
      <c r="AI62" s="12"/>
      <c r="AJ62" s="12"/>
      <c r="AK62" s="12"/>
      <c r="AL62" s="12"/>
      <c r="AM62" s="12"/>
      <c r="AN62" s="12"/>
      <c r="AO62" s="12"/>
      <c r="AP62" s="12"/>
      <c r="AQ62" s="12"/>
      <c r="AR62" s="12"/>
      <c r="AS62" s="12"/>
      <c r="AT62" s="12"/>
      <c r="AU62" s="12"/>
      <c r="AV62" s="12">
        <v>6030</v>
      </c>
      <c r="AW62" s="12">
        <v>6553</v>
      </c>
      <c r="AX62" s="12">
        <v>6269</v>
      </c>
      <c r="AY62" s="12">
        <v>5927</v>
      </c>
      <c r="AZ62" s="12">
        <v>6375</v>
      </c>
      <c r="BA62" s="12">
        <v>6096</v>
      </c>
      <c r="BB62" s="12">
        <v>5985</v>
      </c>
      <c r="BC62" s="12">
        <v>5664</v>
      </c>
      <c r="BD62" s="12">
        <v>5872</v>
      </c>
      <c r="BE62" s="12">
        <v>5111</v>
      </c>
      <c r="BF62" s="12">
        <v>5141</v>
      </c>
      <c r="BG62" s="12">
        <v>5948</v>
      </c>
      <c r="BH62" s="8">
        <v>3845</v>
      </c>
      <c r="BI62" s="8">
        <v>4086</v>
      </c>
      <c r="BJ62" s="231">
        <v>4186</v>
      </c>
      <c r="BK62" s="231">
        <v>4282</v>
      </c>
      <c r="BL62" s="231">
        <v>4050</v>
      </c>
      <c r="BM62" s="231">
        <v>3588</v>
      </c>
    </row>
    <row r="63" spans="1:65">
      <c r="A63" s="46" t="s">
        <v>147</v>
      </c>
      <c r="B63" s="112"/>
      <c r="C63" s="47"/>
      <c r="D63" s="47"/>
      <c r="E63" s="47"/>
      <c r="F63" s="47"/>
      <c r="G63" s="47"/>
      <c r="H63" s="47"/>
      <c r="I63" s="47"/>
      <c r="J63" s="47"/>
      <c r="K63" s="47"/>
      <c r="L63" s="47"/>
      <c r="M63" s="47"/>
      <c r="N63" s="47"/>
      <c r="O63" s="47"/>
      <c r="P63" s="47">
        <v>9654.8269999999993</v>
      </c>
      <c r="Q63" s="47">
        <v>10415.066999999999</v>
      </c>
      <c r="R63" s="47">
        <v>11346.781000000001</v>
      </c>
      <c r="S63" s="47">
        <v>11393.253000000001</v>
      </c>
      <c r="T63" s="47">
        <v>16139.241</v>
      </c>
      <c r="U63" s="47">
        <v>19816.136999999999</v>
      </c>
      <c r="V63" s="47">
        <v>15368.299000000001</v>
      </c>
      <c r="W63" s="47">
        <v>17003.565999999999</v>
      </c>
      <c r="X63" s="47">
        <v>14457.314</v>
      </c>
      <c r="Y63" s="47">
        <v>13840.094999999999</v>
      </c>
      <c r="Z63" s="47">
        <v>9489.3739999999998</v>
      </c>
      <c r="AA63" s="47">
        <v>8071.9440000000004</v>
      </c>
      <c r="AB63" s="47">
        <v>9717.3140000000003</v>
      </c>
      <c r="AC63" s="47">
        <v>13403.817999999999</v>
      </c>
      <c r="AD63" s="47">
        <v>12538.154</v>
      </c>
      <c r="AE63" s="47">
        <v>16032.967000000001</v>
      </c>
      <c r="AF63" s="231">
        <v>16450.933000000001</v>
      </c>
      <c r="AG63" s="231">
        <v>13534.134</v>
      </c>
      <c r="AH63" s="112"/>
      <c r="AI63" s="47"/>
      <c r="AJ63" s="47"/>
      <c r="AK63" s="47"/>
      <c r="AL63" s="47"/>
      <c r="AM63" s="47"/>
      <c r="AN63" s="47"/>
      <c r="AO63" s="47"/>
      <c r="AP63" s="47"/>
      <c r="AQ63" s="47"/>
      <c r="AR63" s="47"/>
      <c r="AS63" s="47"/>
      <c r="AT63" s="47"/>
      <c r="AU63" s="47"/>
      <c r="AV63" s="47">
        <v>5083</v>
      </c>
      <c r="AW63" s="47">
        <v>4966</v>
      </c>
      <c r="AX63" s="47">
        <v>4842</v>
      </c>
      <c r="AY63" s="47">
        <v>5081</v>
      </c>
      <c r="AZ63" s="47">
        <v>5676</v>
      </c>
      <c r="BA63" s="47">
        <v>6146</v>
      </c>
      <c r="BB63" s="47">
        <v>5477</v>
      </c>
      <c r="BC63" s="47">
        <v>6137</v>
      </c>
      <c r="BD63" s="47">
        <v>5442</v>
      </c>
      <c r="BE63" s="47">
        <v>4995</v>
      </c>
      <c r="BF63" s="47">
        <v>3805</v>
      </c>
      <c r="BG63" s="47">
        <v>2305</v>
      </c>
      <c r="BH63" s="47">
        <v>3542</v>
      </c>
      <c r="BI63" s="47">
        <v>4509</v>
      </c>
      <c r="BJ63" s="231">
        <v>4720</v>
      </c>
      <c r="BK63" s="231">
        <v>4784</v>
      </c>
      <c r="BL63" s="231">
        <v>4781</v>
      </c>
      <c r="BM63" s="231">
        <v>4456</v>
      </c>
    </row>
    <row r="64" spans="1:65">
      <c r="B64" s="70"/>
      <c r="C64" s="83"/>
      <c r="D64" s="70"/>
      <c r="E64" s="70"/>
      <c r="F64" s="70"/>
      <c r="G64" s="70"/>
      <c r="H64" s="70"/>
      <c r="I64" s="70"/>
      <c r="J64" s="70"/>
      <c r="K64" s="70"/>
      <c r="L64" s="70"/>
      <c r="M64" s="74"/>
      <c r="N64" s="70"/>
      <c r="O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4"/>
      <c r="AT64" s="70"/>
      <c r="AU64" s="70"/>
    </row>
    <row r="65" spans="1:49" s="62" customFormat="1">
      <c r="A65" s="83" t="s">
        <v>33</v>
      </c>
      <c r="B65" s="83" t="s">
        <v>36</v>
      </c>
      <c r="C65" s="83" t="s">
        <v>36</v>
      </c>
      <c r="D65" s="83" t="s">
        <v>36</v>
      </c>
      <c r="E65" s="83" t="s">
        <v>34</v>
      </c>
      <c r="F65" s="83" t="s">
        <v>34</v>
      </c>
      <c r="G65" s="83" t="s">
        <v>34</v>
      </c>
      <c r="H65" s="83" t="s">
        <v>34</v>
      </c>
      <c r="I65" s="83" t="s">
        <v>34</v>
      </c>
      <c r="J65" s="83" t="s">
        <v>34</v>
      </c>
      <c r="K65" s="83" t="s">
        <v>34</v>
      </c>
      <c r="L65" s="83" t="s">
        <v>34</v>
      </c>
      <c r="M65" s="156" t="s">
        <v>184</v>
      </c>
      <c r="N65" s="83"/>
      <c r="O65" s="83" t="s">
        <v>36</v>
      </c>
      <c r="P65" s="83" t="s">
        <v>36</v>
      </c>
      <c r="Q65" s="83" t="s">
        <v>36</v>
      </c>
      <c r="R65" s="83" t="s">
        <v>36</v>
      </c>
      <c r="S65" s="83" t="s">
        <v>194</v>
      </c>
      <c r="T65" s="83" t="s">
        <v>194</v>
      </c>
      <c r="U65" s="83" t="s">
        <v>194</v>
      </c>
      <c r="V65" s="83" t="s">
        <v>194</v>
      </c>
      <c r="W65" s="83" t="s">
        <v>194</v>
      </c>
      <c r="X65" s="83" t="s">
        <v>194</v>
      </c>
      <c r="Y65" s="83" t="s">
        <v>194</v>
      </c>
      <c r="Z65" s="83" t="s">
        <v>194</v>
      </c>
      <c r="AA65" s="83" t="s">
        <v>194</v>
      </c>
      <c r="AB65" s="83" t="s">
        <v>194</v>
      </c>
      <c r="AC65" s="83" t="s">
        <v>194</v>
      </c>
      <c r="AD65" s="83" t="s">
        <v>194</v>
      </c>
      <c r="AE65" s="83" t="s">
        <v>194</v>
      </c>
      <c r="AF65" s="83"/>
      <c r="AG65" s="83"/>
      <c r="AH65" s="83"/>
      <c r="AI65" s="83"/>
      <c r="AJ65" s="83"/>
      <c r="AK65" s="83"/>
      <c r="AL65" s="83"/>
      <c r="AM65" s="83"/>
      <c r="AN65" s="83"/>
      <c r="AO65" s="83"/>
      <c r="AP65" s="83"/>
      <c r="AQ65" s="83"/>
      <c r="AR65" s="83"/>
      <c r="AS65" s="156"/>
      <c r="AT65" s="83"/>
      <c r="AU65" s="83"/>
      <c r="AV65" s="83"/>
      <c r="AW65" s="83"/>
    </row>
    <row r="66" spans="1:49">
      <c r="A66" s="70" t="s">
        <v>37</v>
      </c>
      <c r="B66" s="70" t="s">
        <v>121</v>
      </c>
      <c r="C66" s="70" t="s">
        <v>121</v>
      </c>
      <c r="D66" s="70" t="s">
        <v>38</v>
      </c>
      <c r="E66" s="70" t="s">
        <v>38</v>
      </c>
      <c r="F66" s="70" t="s">
        <v>38</v>
      </c>
      <c r="G66" s="70" t="s">
        <v>38</v>
      </c>
      <c r="H66" s="70" t="s">
        <v>38</v>
      </c>
      <c r="I66" s="70" t="s">
        <v>38</v>
      </c>
      <c r="J66" s="70" t="s">
        <v>38</v>
      </c>
      <c r="K66" s="70" t="s">
        <v>38</v>
      </c>
      <c r="L66" s="70" t="s">
        <v>38</v>
      </c>
      <c r="M66" s="74" t="s">
        <v>185</v>
      </c>
      <c r="N66" s="70"/>
      <c r="O66" s="70" t="s">
        <v>121</v>
      </c>
      <c r="P66" s="70" t="s">
        <v>121</v>
      </c>
      <c r="Q66" s="70" t="s">
        <v>121</v>
      </c>
      <c r="R66" s="70" t="s">
        <v>121</v>
      </c>
      <c r="S66" s="70" t="s">
        <v>195</v>
      </c>
      <c r="T66" s="70" t="s">
        <v>195</v>
      </c>
      <c r="U66" s="70" t="s">
        <v>195</v>
      </c>
      <c r="V66" s="70" t="s">
        <v>195</v>
      </c>
      <c r="W66" s="70" t="s">
        <v>195</v>
      </c>
      <c r="X66" s="70" t="s">
        <v>195</v>
      </c>
      <c r="Y66" s="70" t="s">
        <v>195</v>
      </c>
      <c r="Z66" s="70" t="s">
        <v>195</v>
      </c>
      <c r="AA66" s="70" t="s">
        <v>195</v>
      </c>
      <c r="AB66" s="70" t="s">
        <v>195</v>
      </c>
      <c r="AC66" s="70" t="s">
        <v>195</v>
      </c>
      <c r="AD66" s="70" t="s">
        <v>195</v>
      </c>
      <c r="AE66" s="70" t="s">
        <v>195</v>
      </c>
      <c r="AF66" s="70"/>
      <c r="AG66" s="70"/>
      <c r="AH66" s="83"/>
      <c r="AI66" s="83"/>
      <c r="AJ66" s="83"/>
      <c r="AK66" s="83"/>
      <c r="AL66" s="83"/>
      <c r="AM66" s="83"/>
      <c r="AN66" s="83"/>
      <c r="AO66" s="83"/>
      <c r="AP66" s="83"/>
      <c r="AQ66" s="83"/>
      <c r="AR66" s="83"/>
      <c r="AS66" s="156"/>
      <c r="AT66" s="83"/>
      <c r="AU66" s="83"/>
      <c r="AV66" s="83"/>
      <c r="AW66" s="83"/>
    </row>
    <row r="67" spans="1:49">
      <c r="A67" s="70" t="s">
        <v>40</v>
      </c>
      <c r="B67" s="70" t="s">
        <v>44</v>
      </c>
      <c r="C67" s="70" t="s">
        <v>44</v>
      </c>
      <c r="D67" s="70" t="s">
        <v>41</v>
      </c>
      <c r="E67" s="70" t="s">
        <v>41</v>
      </c>
      <c r="F67" s="70" t="s">
        <v>41</v>
      </c>
      <c r="G67" s="70" t="s">
        <v>41</v>
      </c>
      <c r="H67" s="70" t="s">
        <v>41</v>
      </c>
      <c r="I67" s="70" t="s">
        <v>41</v>
      </c>
      <c r="J67" s="70" t="s">
        <v>41</v>
      </c>
      <c r="K67" s="70" t="s">
        <v>41</v>
      </c>
      <c r="L67" s="70" t="s">
        <v>41</v>
      </c>
      <c r="M67" s="74" t="s">
        <v>186</v>
      </c>
      <c r="N67" s="70"/>
      <c r="O67" s="70" t="s">
        <v>44</v>
      </c>
      <c r="P67" s="70" t="s">
        <v>44</v>
      </c>
      <c r="Q67" s="70" t="s">
        <v>44</v>
      </c>
      <c r="R67" s="70" t="s">
        <v>44</v>
      </c>
      <c r="S67" s="70" t="s">
        <v>199</v>
      </c>
      <c r="T67" s="70" t="s">
        <v>199</v>
      </c>
      <c r="U67" s="70" t="s">
        <v>199</v>
      </c>
      <c r="V67" s="70" t="s">
        <v>199</v>
      </c>
      <c r="W67" s="70" t="s">
        <v>199</v>
      </c>
      <c r="X67" s="70" t="s">
        <v>199</v>
      </c>
      <c r="Y67" s="70" t="s">
        <v>199</v>
      </c>
      <c r="Z67" s="70" t="s">
        <v>199</v>
      </c>
      <c r="AA67" s="70" t="s">
        <v>199</v>
      </c>
      <c r="AB67" s="70" t="s">
        <v>199</v>
      </c>
      <c r="AC67" s="70" t="s">
        <v>199</v>
      </c>
      <c r="AD67" s="70" t="s">
        <v>199</v>
      </c>
      <c r="AE67" s="70" t="s">
        <v>199</v>
      </c>
      <c r="AF67" s="70"/>
      <c r="AG67" s="70"/>
      <c r="AH67" s="83"/>
      <c r="AI67" s="83"/>
      <c r="AJ67" s="83"/>
      <c r="AK67" s="83"/>
      <c r="AL67" s="83"/>
      <c r="AM67" s="83"/>
      <c r="AN67" s="83"/>
      <c r="AO67" s="83"/>
      <c r="AP67" s="83"/>
      <c r="AQ67" s="83"/>
      <c r="AR67" s="83"/>
      <c r="AS67" s="156"/>
      <c r="AT67" s="83"/>
      <c r="AU67" s="83"/>
      <c r="AV67" s="83"/>
      <c r="AW67" s="83"/>
    </row>
    <row r="68" spans="1:49">
      <c r="A68" s="70" t="s">
        <v>43</v>
      </c>
      <c r="B68" s="70" t="s">
        <v>119</v>
      </c>
      <c r="C68" s="70" t="s">
        <v>119</v>
      </c>
      <c r="D68" s="70" t="s">
        <v>44</v>
      </c>
      <c r="E68" s="70" t="s">
        <v>44</v>
      </c>
      <c r="F68" s="70" t="s">
        <v>44</v>
      </c>
      <c r="G68" s="70" t="s">
        <v>44</v>
      </c>
      <c r="H68" s="70" t="s">
        <v>44</v>
      </c>
      <c r="I68" s="70" t="s">
        <v>44</v>
      </c>
      <c r="J68" s="70" t="s">
        <v>44</v>
      </c>
      <c r="K68" s="70" t="s">
        <v>44</v>
      </c>
      <c r="L68" s="70" t="s">
        <v>44</v>
      </c>
      <c r="M68" s="74" t="s">
        <v>187</v>
      </c>
      <c r="N68" s="70"/>
      <c r="O68" s="70" t="s">
        <v>119</v>
      </c>
      <c r="P68" s="70" t="s">
        <v>119</v>
      </c>
      <c r="Q68" s="70" t="s">
        <v>119</v>
      </c>
      <c r="R68" s="70" t="s">
        <v>119</v>
      </c>
      <c r="S68" s="70" t="s">
        <v>200</v>
      </c>
      <c r="T68" s="70" t="s">
        <v>200</v>
      </c>
      <c r="U68" s="70" t="s">
        <v>200</v>
      </c>
      <c r="V68" s="70" t="s">
        <v>200</v>
      </c>
      <c r="W68" s="70" t="s">
        <v>200</v>
      </c>
      <c r="X68" s="70" t="s">
        <v>200</v>
      </c>
      <c r="Y68" s="70" t="s">
        <v>200</v>
      </c>
      <c r="Z68" s="70" t="s">
        <v>200</v>
      </c>
      <c r="AA68" s="70" t="s">
        <v>200</v>
      </c>
      <c r="AB68" s="70" t="s">
        <v>200</v>
      </c>
      <c r="AC68" s="70" t="s">
        <v>200</v>
      </c>
      <c r="AD68" s="70" t="s">
        <v>200</v>
      </c>
      <c r="AE68" s="70" t="s">
        <v>200</v>
      </c>
      <c r="AF68" s="70"/>
      <c r="AG68" s="70"/>
      <c r="AH68" s="83"/>
      <c r="AI68" s="83"/>
      <c r="AJ68" s="83"/>
      <c r="AK68" s="83"/>
      <c r="AL68" s="83"/>
      <c r="AM68" s="83"/>
      <c r="AN68" s="83"/>
      <c r="AO68" s="83"/>
      <c r="AP68" s="83"/>
      <c r="AQ68" s="83"/>
      <c r="AR68" s="83"/>
      <c r="AS68" s="156"/>
      <c r="AT68" s="83"/>
      <c r="AU68" s="83"/>
      <c r="AV68" s="83"/>
      <c r="AW68" s="83"/>
    </row>
    <row r="69" spans="1:49">
      <c r="A69" s="70" t="s">
        <v>46</v>
      </c>
      <c r="B69" s="70" t="s">
        <v>120</v>
      </c>
      <c r="C69" s="70" t="s">
        <v>120</v>
      </c>
      <c r="D69" s="70" t="s">
        <v>1</v>
      </c>
      <c r="E69" s="70" t="s">
        <v>1</v>
      </c>
      <c r="F69" s="70" t="s">
        <v>1</v>
      </c>
      <c r="G69" s="70" t="s">
        <v>1</v>
      </c>
      <c r="H69" s="70" t="s">
        <v>1</v>
      </c>
      <c r="I69" s="70" t="s">
        <v>1</v>
      </c>
      <c r="J69" s="70" t="s">
        <v>1</v>
      </c>
      <c r="K69" s="70" t="s">
        <v>1</v>
      </c>
      <c r="L69" s="70" t="s">
        <v>1</v>
      </c>
      <c r="M69" s="74" t="s">
        <v>188</v>
      </c>
      <c r="N69" s="70"/>
      <c r="O69" s="70" t="s">
        <v>120</v>
      </c>
      <c r="P69" s="70" t="s">
        <v>120</v>
      </c>
      <c r="Q69" s="70" t="s">
        <v>120</v>
      </c>
      <c r="R69" s="70" t="s">
        <v>120</v>
      </c>
      <c r="S69" s="83" t="s">
        <v>201</v>
      </c>
      <c r="T69" s="83" t="s">
        <v>201</v>
      </c>
      <c r="U69" s="83" t="s">
        <v>201</v>
      </c>
      <c r="V69" s="83" t="s">
        <v>201</v>
      </c>
      <c r="W69" s="83" t="s">
        <v>201</v>
      </c>
      <c r="X69" s="83" t="s">
        <v>201</v>
      </c>
      <c r="Y69" s="83" t="s">
        <v>201</v>
      </c>
      <c r="Z69" s="83" t="s">
        <v>201</v>
      </c>
      <c r="AA69" s="83" t="s">
        <v>201</v>
      </c>
      <c r="AB69" s="83" t="s">
        <v>201</v>
      </c>
      <c r="AC69" s="83" t="s">
        <v>201</v>
      </c>
      <c r="AD69" s="83" t="s">
        <v>201</v>
      </c>
      <c r="AE69" s="83" t="s">
        <v>201</v>
      </c>
      <c r="AF69" s="83"/>
      <c r="AG69" s="83"/>
      <c r="AH69" s="83"/>
      <c r="AI69" s="83"/>
      <c r="AJ69" s="83"/>
      <c r="AK69" s="83"/>
      <c r="AL69" s="83"/>
      <c r="AM69" s="83"/>
      <c r="AN69" s="83"/>
      <c r="AO69" s="83"/>
      <c r="AP69" s="83"/>
      <c r="AQ69" s="83"/>
      <c r="AR69" s="83"/>
      <c r="AS69" s="156"/>
      <c r="AT69" s="83"/>
      <c r="AU69" s="83"/>
      <c r="AV69" s="83"/>
      <c r="AW69" s="83"/>
    </row>
    <row r="70" spans="1:49">
      <c r="A70" s="70" t="s">
        <v>47</v>
      </c>
      <c r="B70" s="70" t="s">
        <v>122</v>
      </c>
      <c r="C70" s="70" t="s">
        <v>133</v>
      </c>
      <c r="D70" s="70" t="s">
        <v>51</v>
      </c>
      <c r="E70" s="70" t="s">
        <v>51</v>
      </c>
      <c r="F70" s="70" t="s">
        <v>51</v>
      </c>
      <c r="G70" s="70" t="s">
        <v>51</v>
      </c>
      <c r="H70" s="70" t="s">
        <v>51</v>
      </c>
      <c r="I70" s="70" t="s">
        <v>51</v>
      </c>
      <c r="J70" s="70" t="s">
        <v>51</v>
      </c>
      <c r="K70" s="70" t="s">
        <v>48</v>
      </c>
      <c r="L70" s="70" t="s">
        <v>48</v>
      </c>
      <c r="M70" s="74"/>
      <c r="N70" s="70"/>
      <c r="O70" s="70" t="s">
        <v>122</v>
      </c>
      <c r="P70" s="70" t="s">
        <v>133</v>
      </c>
      <c r="Q70" s="70" t="s">
        <v>182</v>
      </c>
      <c r="R70" s="70" t="s">
        <v>181</v>
      </c>
      <c r="S70" s="84" t="s">
        <v>0</v>
      </c>
      <c r="T70" s="84" t="s">
        <v>0</v>
      </c>
      <c r="U70" s="84" t="s">
        <v>0</v>
      </c>
      <c r="V70" s="84" t="s">
        <v>0</v>
      </c>
      <c r="W70" s="84" t="s">
        <v>0</v>
      </c>
      <c r="X70" s="84" t="s">
        <v>0</v>
      </c>
      <c r="Y70" s="84" t="s">
        <v>0</v>
      </c>
      <c r="Z70" s="84" t="s">
        <v>0</v>
      </c>
      <c r="AA70" s="84" t="s">
        <v>227</v>
      </c>
      <c r="AB70" s="84" t="s">
        <v>0</v>
      </c>
      <c r="AC70" s="84" t="s">
        <v>228</v>
      </c>
      <c r="AD70" s="84" t="s">
        <v>242</v>
      </c>
      <c r="AE70" s="84" t="s">
        <v>242</v>
      </c>
      <c r="AF70" s="84"/>
      <c r="AG70" s="84"/>
      <c r="AH70" s="83"/>
      <c r="AI70" s="83"/>
      <c r="AJ70" s="83"/>
      <c r="AK70" s="83"/>
      <c r="AL70" s="83"/>
      <c r="AM70" s="83"/>
      <c r="AN70" s="83"/>
      <c r="AO70" s="83"/>
      <c r="AP70" s="83"/>
      <c r="AQ70" s="83"/>
      <c r="AR70" s="83"/>
      <c r="AS70" s="156"/>
      <c r="AT70" s="83"/>
      <c r="AU70" s="83"/>
      <c r="AV70" s="83"/>
      <c r="AW70" s="83"/>
    </row>
    <row r="71" spans="1:49">
      <c r="A71" s="70" t="s">
        <v>50</v>
      </c>
      <c r="B71" s="157" t="s">
        <v>221</v>
      </c>
      <c r="C71" s="157" t="s">
        <v>222</v>
      </c>
      <c r="D71" s="70" t="s">
        <v>56</v>
      </c>
      <c r="E71" s="70" t="s">
        <v>57</v>
      </c>
      <c r="F71" s="70" t="s">
        <v>58</v>
      </c>
      <c r="G71" s="70" t="s">
        <v>59</v>
      </c>
      <c r="H71" s="70" t="s">
        <v>60</v>
      </c>
      <c r="I71" s="70" t="s">
        <v>61</v>
      </c>
      <c r="J71" s="70" t="s">
        <v>62</v>
      </c>
      <c r="K71" s="70" t="s">
        <v>51</v>
      </c>
      <c r="L71" s="70" t="s">
        <v>51</v>
      </c>
      <c r="M71" s="74"/>
      <c r="N71" s="70"/>
      <c r="O71" s="157" t="s">
        <v>221</v>
      </c>
      <c r="P71" s="157" t="s">
        <v>222</v>
      </c>
      <c r="Q71" s="157" t="s">
        <v>223</v>
      </c>
      <c r="R71" s="157" t="s">
        <v>224</v>
      </c>
      <c r="S71" s="84" t="s">
        <v>196</v>
      </c>
      <c r="T71" s="84" t="s">
        <v>196</v>
      </c>
      <c r="U71" s="84" t="s">
        <v>196</v>
      </c>
      <c r="V71" s="84" t="s">
        <v>196</v>
      </c>
      <c r="W71" s="84" t="s">
        <v>196</v>
      </c>
      <c r="X71" s="84" t="s">
        <v>196</v>
      </c>
      <c r="Y71" s="84" t="s">
        <v>196</v>
      </c>
      <c r="Z71" s="84" t="s">
        <v>196</v>
      </c>
      <c r="AA71" s="84" t="s">
        <v>228</v>
      </c>
      <c r="AB71" s="84" t="s">
        <v>196</v>
      </c>
      <c r="AC71" s="84" t="s">
        <v>229</v>
      </c>
      <c r="AD71" s="84" t="s">
        <v>229</v>
      </c>
      <c r="AE71" s="84" t="s">
        <v>229</v>
      </c>
      <c r="AF71" s="84"/>
      <c r="AG71" s="84"/>
      <c r="AH71" s="83"/>
      <c r="AI71" s="83"/>
      <c r="AJ71" s="83"/>
      <c r="AK71" s="83"/>
      <c r="AL71" s="83"/>
      <c r="AM71" s="83"/>
      <c r="AN71" s="83"/>
      <c r="AO71" s="83"/>
      <c r="AP71" s="83"/>
      <c r="AQ71" s="83"/>
      <c r="AR71" s="83"/>
      <c r="AS71" s="156"/>
      <c r="AT71" s="83"/>
      <c r="AU71" s="158"/>
      <c r="AV71" s="158"/>
      <c r="AW71" s="158"/>
    </row>
    <row r="72" spans="1:49">
      <c r="A72" s="70" t="s">
        <v>53</v>
      </c>
      <c r="B72" s="159" t="s">
        <v>123</v>
      </c>
      <c r="C72" s="159" t="s">
        <v>134</v>
      </c>
      <c r="D72" s="70" t="s">
        <v>64</v>
      </c>
      <c r="E72" s="70" t="s">
        <v>64</v>
      </c>
      <c r="F72" s="70" t="s">
        <v>64</v>
      </c>
      <c r="G72" s="70" t="s">
        <v>64</v>
      </c>
      <c r="H72" s="70" t="s">
        <v>64</v>
      </c>
      <c r="I72" s="70" t="s">
        <v>66</v>
      </c>
      <c r="J72" s="70" t="s">
        <v>66</v>
      </c>
      <c r="K72" s="160" t="s">
        <v>16</v>
      </c>
      <c r="L72" s="160" t="s">
        <v>17</v>
      </c>
      <c r="M72" s="74"/>
      <c r="N72" s="70"/>
      <c r="O72" s="159" t="s">
        <v>123</v>
      </c>
      <c r="P72" s="159" t="s">
        <v>134</v>
      </c>
      <c r="Q72" s="159" t="s">
        <v>179</v>
      </c>
      <c r="R72" s="159" t="s">
        <v>180</v>
      </c>
      <c r="S72" s="84" t="s">
        <v>120</v>
      </c>
      <c r="T72" s="84" t="s">
        <v>120</v>
      </c>
      <c r="U72" s="84" t="s">
        <v>120</v>
      </c>
      <c r="V72" s="84" t="s">
        <v>120</v>
      </c>
      <c r="W72" s="84" t="s">
        <v>120</v>
      </c>
      <c r="X72" s="84" t="s">
        <v>120</v>
      </c>
      <c r="Y72" s="84" t="s">
        <v>120</v>
      </c>
      <c r="Z72" s="84" t="s">
        <v>120</v>
      </c>
      <c r="AA72" s="84" t="s">
        <v>229</v>
      </c>
      <c r="AB72" s="84" t="s">
        <v>120</v>
      </c>
      <c r="AC72" s="84" t="s">
        <v>230</v>
      </c>
      <c r="AD72" s="87" t="s">
        <v>241</v>
      </c>
      <c r="AE72" s="87" t="s">
        <v>246</v>
      </c>
      <c r="AF72" s="87"/>
      <c r="AG72" s="87"/>
      <c r="AH72" s="83"/>
      <c r="AI72" s="83"/>
      <c r="AJ72" s="83"/>
      <c r="AK72" s="83"/>
      <c r="AL72" s="83"/>
      <c r="AM72" s="83"/>
      <c r="AN72" s="83"/>
      <c r="AO72" s="83"/>
      <c r="AP72" s="83"/>
      <c r="AQ72" s="161"/>
      <c r="AR72" s="161"/>
      <c r="AS72" s="156"/>
      <c r="AT72" s="83"/>
      <c r="AU72" s="162"/>
      <c r="AV72" s="162"/>
      <c r="AW72" s="162"/>
    </row>
    <row r="73" spans="1:49">
      <c r="A73" s="70" t="s">
        <v>63</v>
      </c>
      <c r="B73" s="70" t="s">
        <v>124</v>
      </c>
      <c r="C73" s="70" t="s">
        <v>124</v>
      </c>
      <c r="D73" s="70" t="s">
        <v>68</v>
      </c>
      <c r="E73" s="70" t="s">
        <v>68</v>
      </c>
      <c r="F73" s="70" t="s">
        <v>68</v>
      </c>
      <c r="G73" s="70" t="s">
        <v>68</v>
      </c>
      <c r="H73" s="70" t="s">
        <v>68</v>
      </c>
      <c r="I73" s="70" t="s">
        <v>71</v>
      </c>
      <c r="J73" s="70" t="s">
        <v>71</v>
      </c>
      <c r="K73" s="70" t="s">
        <v>66</v>
      </c>
      <c r="L73" s="70" t="s">
        <v>66</v>
      </c>
      <c r="M73" s="74"/>
      <c r="N73" s="70"/>
      <c r="O73" s="70" t="s">
        <v>124</v>
      </c>
      <c r="P73" s="70" t="s">
        <v>124</v>
      </c>
      <c r="Q73" s="70" t="s">
        <v>124</v>
      </c>
      <c r="R73" s="70" t="s">
        <v>124</v>
      </c>
      <c r="S73" s="84" t="s">
        <v>197</v>
      </c>
      <c r="T73" s="84" t="s">
        <v>197</v>
      </c>
      <c r="U73" s="84" t="s">
        <v>197</v>
      </c>
      <c r="V73" s="84" t="s">
        <v>197</v>
      </c>
      <c r="W73" s="84" t="s">
        <v>197</v>
      </c>
      <c r="X73" s="84" t="s">
        <v>197</v>
      </c>
      <c r="Y73" s="84" t="s">
        <v>197</v>
      </c>
      <c r="Z73" s="84" t="s">
        <v>197</v>
      </c>
      <c r="AA73" s="84" t="s">
        <v>230</v>
      </c>
      <c r="AB73" s="84" t="s">
        <v>197</v>
      </c>
      <c r="AC73" s="87" t="s">
        <v>235</v>
      </c>
      <c r="AD73" s="8" t="s">
        <v>243</v>
      </c>
      <c r="AE73" s="8" t="s">
        <v>243</v>
      </c>
      <c r="AH73" s="83"/>
      <c r="AI73" s="83"/>
      <c r="AJ73" s="83"/>
      <c r="AK73" s="83"/>
      <c r="AL73" s="83"/>
      <c r="AM73" s="83"/>
      <c r="AN73" s="83"/>
      <c r="AO73" s="83"/>
      <c r="AP73" s="83"/>
      <c r="AQ73" s="83"/>
      <c r="AR73" s="83"/>
      <c r="AS73" s="156"/>
      <c r="AT73" s="83"/>
      <c r="AU73" s="83"/>
      <c r="AV73" s="83"/>
      <c r="AW73" s="83"/>
    </row>
    <row r="74" spans="1:49">
      <c r="A74" s="70" t="s">
        <v>67</v>
      </c>
      <c r="B74" s="70" t="s">
        <v>125</v>
      </c>
      <c r="C74" s="70" t="s">
        <v>125</v>
      </c>
      <c r="D74" s="70" t="s">
        <v>37</v>
      </c>
      <c r="E74" s="70" t="s">
        <v>37</v>
      </c>
      <c r="F74" s="70" t="s">
        <v>37</v>
      </c>
      <c r="G74" s="70" t="s">
        <v>37</v>
      </c>
      <c r="H74" s="70" t="s">
        <v>37</v>
      </c>
      <c r="I74" s="70" t="s">
        <v>73</v>
      </c>
      <c r="J74" s="70" t="s">
        <v>73</v>
      </c>
      <c r="K74" s="70" t="s">
        <v>71</v>
      </c>
      <c r="L74" s="70" t="s">
        <v>71</v>
      </c>
      <c r="M74" s="74"/>
      <c r="N74" s="70"/>
      <c r="O74" s="70" t="s">
        <v>125</v>
      </c>
      <c r="P74" s="70" t="s">
        <v>125</v>
      </c>
      <c r="Q74" s="70" t="s">
        <v>125</v>
      </c>
      <c r="R74" s="70" t="s">
        <v>125</v>
      </c>
      <c r="S74" s="87" t="s">
        <v>198</v>
      </c>
      <c r="T74" s="87" t="s">
        <v>198</v>
      </c>
      <c r="U74" s="87" t="s">
        <v>198</v>
      </c>
      <c r="V74" s="87" t="s">
        <v>198</v>
      </c>
      <c r="W74" s="87" t="s">
        <v>198</v>
      </c>
      <c r="X74" s="87" t="s">
        <v>198</v>
      </c>
      <c r="Y74" s="87" t="s">
        <v>198</v>
      </c>
      <c r="Z74" s="87" t="s">
        <v>198</v>
      </c>
      <c r="AA74" s="87" t="s">
        <v>232</v>
      </c>
      <c r="AB74" s="87" t="s">
        <v>198</v>
      </c>
      <c r="AC74" s="224" t="s">
        <v>234</v>
      </c>
      <c r="AD74" s="224" t="s">
        <v>234</v>
      </c>
      <c r="AE74" s="224" t="s">
        <v>234</v>
      </c>
      <c r="AF74" s="224"/>
      <c r="AG74" s="224"/>
      <c r="AH74" s="83"/>
      <c r="AI74" s="83"/>
      <c r="AJ74" s="83"/>
      <c r="AK74" s="83"/>
      <c r="AL74" s="83"/>
      <c r="AM74" s="83"/>
      <c r="AN74" s="83"/>
      <c r="AO74" s="83"/>
      <c r="AP74" s="83"/>
      <c r="AQ74" s="83"/>
      <c r="AR74" s="83"/>
      <c r="AS74" s="156"/>
      <c r="AT74" s="83"/>
      <c r="AU74" s="83"/>
      <c r="AV74" s="83"/>
      <c r="AW74" s="83"/>
    </row>
    <row r="75" spans="1:49">
      <c r="A75" s="70" t="s">
        <v>44</v>
      </c>
      <c r="B75" s="70" t="s">
        <v>126</v>
      </c>
      <c r="C75" s="70" t="s">
        <v>126</v>
      </c>
      <c r="D75" s="70" t="s">
        <v>45</v>
      </c>
      <c r="E75" s="70" t="s">
        <v>66</v>
      </c>
      <c r="F75" s="70" t="s">
        <v>66</v>
      </c>
      <c r="G75" s="70" t="s">
        <v>66</v>
      </c>
      <c r="H75" s="70" t="s">
        <v>66</v>
      </c>
      <c r="I75" s="70" t="s">
        <v>76</v>
      </c>
      <c r="J75" s="70" t="s">
        <v>76</v>
      </c>
      <c r="K75" s="70" t="s">
        <v>73</v>
      </c>
      <c r="L75" s="70" t="s">
        <v>73</v>
      </c>
      <c r="M75" s="74"/>
      <c r="N75" s="70"/>
      <c r="O75" s="70" t="s">
        <v>126</v>
      </c>
      <c r="P75" s="70" t="s">
        <v>126</v>
      </c>
      <c r="Q75" s="70" t="s">
        <v>126</v>
      </c>
      <c r="R75" s="70" t="s">
        <v>126</v>
      </c>
      <c r="S75" s="88">
        <v>2003</v>
      </c>
      <c r="T75" s="88">
        <v>2004</v>
      </c>
      <c r="U75" s="88">
        <v>2005</v>
      </c>
      <c r="V75" s="88">
        <v>2006</v>
      </c>
      <c r="W75" s="88">
        <v>2007</v>
      </c>
      <c r="X75" s="88">
        <v>2008</v>
      </c>
      <c r="Y75" s="88">
        <v>2009</v>
      </c>
      <c r="Z75" s="88">
        <v>2010</v>
      </c>
      <c r="AA75" s="88" t="s">
        <v>231</v>
      </c>
      <c r="AB75" s="88">
        <v>2012</v>
      </c>
      <c r="AC75" s="88"/>
      <c r="AD75" s="88"/>
      <c r="AE75" s="88"/>
      <c r="AF75" s="88"/>
      <c r="AG75" s="88"/>
      <c r="AH75" s="83"/>
      <c r="AI75" s="83"/>
      <c r="AJ75" s="83"/>
      <c r="AK75" s="83"/>
      <c r="AL75" s="83"/>
      <c r="AM75" s="83"/>
      <c r="AN75" s="83"/>
      <c r="AO75" s="83"/>
      <c r="AP75" s="83"/>
      <c r="AQ75" s="83"/>
      <c r="AR75" s="83"/>
      <c r="AS75" s="156"/>
      <c r="AT75" s="83"/>
      <c r="AU75" s="83"/>
      <c r="AV75" s="83"/>
      <c r="AW75" s="83"/>
    </row>
    <row r="76" spans="1:49">
      <c r="A76" s="70" t="s">
        <v>74</v>
      </c>
      <c r="B76" s="70" t="s">
        <v>127</v>
      </c>
      <c r="C76" s="70" t="s">
        <v>127</v>
      </c>
      <c r="D76" s="70" t="s">
        <v>38</v>
      </c>
      <c r="E76" s="70" t="s">
        <v>70</v>
      </c>
      <c r="F76" s="70" t="s">
        <v>70</v>
      </c>
      <c r="G76" s="70" t="s">
        <v>70</v>
      </c>
      <c r="H76" s="70" t="s">
        <v>70</v>
      </c>
      <c r="I76" s="70" t="s">
        <v>79</v>
      </c>
      <c r="J76" s="70" t="s">
        <v>79</v>
      </c>
      <c r="K76" s="70" t="s">
        <v>76</v>
      </c>
      <c r="L76" s="70" t="s">
        <v>76</v>
      </c>
      <c r="M76" s="74"/>
      <c r="N76" s="70"/>
      <c r="O76" s="70" t="s">
        <v>127</v>
      </c>
      <c r="P76" s="70" t="s">
        <v>127</v>
      </c>
      <c r="Q76" s="70" t="s">
        <v>127</v>
      </c>
      <c r="R76" s="70" t="s">
        <v>127</v>
      </c>
      <c r="S76" s="70"/>
      <c r="T76" s="70"/>
      <c r="U76" s="70"/>
      <c r="V76" s="70" t="s">
        <v>206</v>
      </c>
      <c r="W76" s="70" t="s">
        <v>206</v>
      </c>
      <c r="X76" s="70" t="s">
        <v>206</v>
      </c>
      <c r="Y76" s="70" t="s">
        <v>206</v>
      </c>
      <c r="Z76" s="70" t="s">
        <v>206</v>
      </c>
      <c r="AB76" s="70" t="s">
        <v>206</v>
      </c>
      <c r="AC76" s="70"/>
      <c r="AD76" s="70"/>
      <c r="AE76" s="70"/>
      <c r="AF76" s="70"/>
      <c r="AG76" s="70"/>
      <c r="AH76" s="83"/>
      <c r="AI76" s="83"/>
      <c r="AJ76" s="83"/>
      <c r="AK76" s="83"/>
      <c r="AL76" s="83"/>
      <c r="AM76" s="83"/>
      <c r="AN76" s="83"/>
      <c r="AO76" s="83"/>
      <c r="AP76" s="83"/>
      <c r="AQ76" s="83"/>
      <c r="AR76" s="83"/>
      <c r="AS76" s="156"/>
      <c r="AT76" s="83"/>
      <c r="AU76" s="83"/>
      <c r="AV76" s="83"/>
      <c r="AW76" s="83"/>
    </row>
    <row r="77" spans="1:49">
      <c r="A77" s="70" t="s">
        <v>43</v>
      </c>
      <c r="B77" s="70" t="s">
        <v>128</v>
      </c>
      <c r="C77" s="70" t="s">
        <v>128</v>
      </c>
      <c r="D77" s="70" t="s">
        <v>49</v>
      </c>
      <c r="E77" s="70" t="s">
        <v>73</v>
      </c>
      <c r="F77" s="70" t="s">
        <v>73</v>
      </c>
      <c r="G77" s="70" t="s">
        <v>73</v>
      </c>
      <c r="H77" s="70" t="s">
        <v>73</v>
      </c>
      <c r="I77" s="70" t="s">
        <v>82</v>
      </c>
      <c r="J77" s="70" t="s">
        <v>82</v>
      </c>
      <c r="K77" s="70" t="s">
        <v>79</v>
      </c>
      <c r="L77" s="70" t="s">
        <v>79</v>
      </c>
      <c r="M77" s="74"/>
      <c r="N77" s="70"/>
      <c r="O77" s="70" t="s">
        <v>128</v>
      </c>
      <c r="P77" s="70" t="s">
        <v>128</v>
      </c>
      <c r="Q77" s="70" t="s">
        <v>128</v>
      </c>
      <c r="R77" s="70" t="s">
        <v>128</v>
      </c>
      <c r="S77" s="70"/>
      <c r="T77" s="70"/>
      <c r="U77" s="70"/>
      <c r="V77" s="70"/>
      <c r="W77" s="70"/>
      <c r="X77" s="70"/>
      <c r="Y77" s="70"/>
      <c r="Z77" s="70"/>
      <c r="AH77" s="83"/>
      <c r="AI77" s="83"/>
      <c r="AJ77" s="83"/>
      <c r="AK77" s="83"/>
      <c r="AL77" s="83"/>
      <c r="AM77" s="83"/>
      <c r="AN77" s="83"/>
      <c r="AO77" s="83"/>
      <c r="AP77" s="83"/>
      <c r="AQ77" s="83"/>
      <c r="AR77" s="83"/>
      <c r="AS77" s="156"/>
      <c r="AT77" s="83"/>
      <c r="AU77" s="83"/>
      <c r="AV77" s="83"/>
      <c r="AW77" s="83"/>
    </row>
    <row r="78" spans="1:49">
      <c r="A78" s="70" t="s">
        <v>80</v>
      </c>
      <c r="B78" s="70" t="s">
        <v>42</v>
      </c>
      <c r="C78" s="70" t="s">
        <v>42</v>
      </c>
      <c r="D78" s="70" t="s">
        <v>52</v>
      </c>
      <c r="E78" s="70" t="s">
        <v>75</v>
      </c>
      <c r="F78" s="70" t="s">
        <v>75</v>
      </c>
      <c r="G78" s="70" t="s">
        <v>75</v>
      </c>
      <c r="H78" s="70" t="s">
        <v>75</v>
      </c>
      <c r="I78" s="70" t="s">
        <v>38</v>
      </c>
      <c r="J78" s="70" t="s">
        <v>38</v>
      </c>
      <c r="K78" s="70" t="s">
        <v>82</v>
      </c>
      <c r="L78" s="70" t="s">
        <v>82</v>
      </c>
      <c r="M78" s="74"/>
      <c r="N78" s="70"/>
      <c r="O78" s="70" t="s">
        <v>42</v>
      </c>
      <c r="P78" s="70" t="s">
        <v>42</v>
      </c>
      <c r="Q78" s="70" t="s">
        <v>42</v>
      </c>
      <c r="R78" s="70" t="s">
        <v>42</v>
      </c>
      <c r="S78" s="70"/>
      <c r="T78" s="70"/>
      <c r="U78" s="70"/>
      <c r="V78" s="70"/>
      <c r="W78" s="70"/>
      <c r="X78" s="70"/>
      <c r="Y78" s="70"/>
      <c r="Z78" s="70"/>
      <c r="AH78" s="83"/>
      <c r="AI78" s="83"/>
      <c r="AJ78" s="83"/>
      <c r="AK78" s="83"/>
      <c r="AL78" s="83"/>
      <c r="AM78" s="83"/>
      <c r="AN78" s="83"/>
      <c r="AO78" s="83"/>
      <c r="AP78" s="83"/>
      <c r="AQ78" s="83"/>
      <c r="AR78" s="83"/>
      <c r="AS78" s="156"/>
      <c r="AT78" s="83"/>
      <c r="AU78" s="83"/>
      <c r="AV78" s="83"/>
      <c r="AW78" s="83"/>
    </row>
    <row r="79" spans="1:49">
      <c r="A79" s="70" t="s">
        <v>83</v>
      </c>
      <c r="B79" s="70" t="s">
        <v>129</v>
      </c>
      <c r="C79" s="70" t="s">
        <v>135</v>
      </c>
      <c r="D79" s="70" t="s">
        <v>55</v>
      </c>
      <c r="E79" s="70" t="s">
        <v>78</v>
      </c>
      <c r="F79" s="70" t="s">
        <v>78</v>
      </c>
      <c r="G79" s="70" t="s">
        <v>78</v>
      </c>
      <c r="H79" s="70" t="s">
        <v>78</v>
      </c>
      <c r="I79" s="70" t="s">
        <v>42</v>
      </c>
      <c r="J79" s="70" t="s">
        <v>42</v>
      </c>
      <c r="K79" s="70" t="s">
        <v>38</v>
      </c>
      <c r="L79" s="70" t="s">
        <v>38</v>
      </c>
      <c r="M79" s="74"/>
      <c r="N79" s="70"/>
      <c r="O79" s="70" t="s">
        <v>129</v>
      </c>
      <c r="P79" s="70" t="s">
        <v>183</v>
      </c>
      <c r="Q79" s="70" t="s">
        <v>183</v>
      </c>
      <c r="R79" s="70" t="s">
        <v>183</v>
      </c>
      <c r="S79" s="70"/>
      <c r="T79" s="70"/>
      <c r="U79" s="70"/>
      <c r="V79" s="70"/>
      <c r="W79" s="70"/>
      <c r="X79" s="70"/>
      <c r="Y79" s="70"/>
      <c r="Z79" s="70"/>
      <c r="AH79" s="83"/>
      <c r="AI79" s="83"/>
      <c r="AJ79" s="83"/>
      <c r="AK79" s="83"/>
      <c r="AL79" s="83"/>
      <c r="AM79" s="83"/>
      <c r="AN79" s="83"/>
      <c r="AO79" s="83"/>
      <c r="AP79" s="83"/>
      <c r="AQ79" s="83"/>
      <c r="AR79" s="83"/>
      <c r="AS79" s="156"/>
      <c r="AT79" s="83"/>
      <c r="AU79" s="83"/>
      <c r="AV79" s="83"/>
      <c r="AW79" s="83"/>
    </row>
    <row r="80" spans="1:49">
      <c r="A80" s="70" t="s">
        <v>85</v>
      </c>
      <c r="B80" s="90">
        <v>2000</v>
      </c>
      <c r="C80" s="90">
        <v>2000</v>
      </c>
      <c r="D80" s="70" t="s">
        <v>79</v>
      </c>
      <c r="E80" s="70" t="s">
        <v>79</v>
      </c>
      <c r="F80" s="70" t="s">
        <v>79</v>
      </c>
      <c r="G80" s="70" t="s">
        <v>79</v>
      </c>
      <c r="H80" s="70" t="s">
        <v>79</v>
      </c>
      <c r="I80" s="70" t="s">
        <v>89</v>
      </c>
      <c r="J80" s="70" t="s">
        <v>90</v>
      </c>
      <c r="K80" s="70" t="s">
        <v>42</v>
      </c>
      <c r="L80" s="70" t="s">
        <v>42</v>
      </c>
      <c r="M80" s="74"/>
      <c r="N80" s="70"/>
      <c r="O80" s="90">
        <v>2000</v>
      </c>
      <c r="P80" s="90">
        <v>2001</v>
      </c>
      <c r="Q80" s="90">
        <v>2001</v>
      </c>
      <c r="R80" s="90">
        <v>2001</v>
      </c>
      <c r="S80" s="90"/>
      <c r="T80" s="90"/>
      <c r="U80" s="90"/>
      <c r="V80" s="90"/>
      <c r="W80" s="90"/>
      <c r="X80" s="90"/>
      <c r="Y80" s="90"/>
      <c r="Z80" s="90"/>
      <c r="AC80" s="83"/>
      <c r="AD80" s="83"/>
      <c r="AE80" s="83"/>
      <c r="AF80" s="83"/>
      <c r="AG80" s="83"/>
      <c r="AH80" s="83"/>
      <c r="AI80" s="83"/>
      <c r="AJ80" s="83"/>
      <c r="AK80" s="83"/>
      <c r="AL80" s="83"/>
      <c r="AM80" s="83"/>
      <c r="AN80" s="83"/>
      <c r="AO80" s="83"/>
      <c r="AP80" s="83"/>
      <c r="AQ80" s="83"/>
      <c r="AR80" s="83"/>
      <c r="AS80" s="156"/>
      <c r="AT80" s="83"/>
      <c r="AU80" s="163"/>
      <c r="AV80" s="163"/>
      <c r="AW80" s="163"/>
    </row>
    <row r="81" spans="1:49">
      <c r="A81" s="70" t="s">
        <v>211</v>
      </c>
      <c r="B81" s="164" t="s">
        <v>131</v>
      </c>
      <c r="C81" s="164" t="s">
        <v>131</v>
      </c>
      <c r="D81" s="70" t="s">
        <v>82</v>
      </c>
      <c r="E81" s="70" t="s">
        <v>82</v>
      </c>
      <c r="F81" s="70" t="s">
        <v>82</v>
      </c>
      <c r="G81" s="70" t="s">
        <v>82</v>
      </c>
      <c r="H81" s="70" t="s">
        <v>82</v>
      </c>
      <c r="I81" s="70" t="s">
        <v>92</v>
      </c>
      <c r="J81" s="70" t="s">
        <v>93</v>
      </c>
      <c r="K81" s="70" t="s">
        <v>110</v>
      </c>
      <c r="L81" s="70" t="s">
        <v>89</v>
      </c>
      <c r="M81" s="74"/>
      <c r="N81" s="70"/>
      <c r="O81" s="164" t="s">
        <v>130</v>
      </c>
      <c r="P81" s="164"/>
      <c r="Q81" s="70"/>
      <c r="AC81" s="70"/>
      <c r="AD81" s="70"/>
      <c r="AE81" s="70"/>
      <c r="AF81" s="70"/>
      <c r="AG81" s="70"/>
      <c r="AH81" s="83"/>
      <c r="AI81" s="83"/>
      <c r="AJ81" s="83"/>
      <c r="AK81" s="83"/>
      <c r="AL81" s="83"/>
      <c r="AM81" s="83"/>
      <c r="AN81" s="83"/>
      <c r="AO81" s="83"/>
      <c r="AP81" s="83"/>
      <c r="AQ81" s="83"/>
      <c r="AR81" s="83"/>
      <c r="AS81" s="156"/>
      <c r="AT81" s="83"/>
      <c r="AU81" s="165"/>
      <c r="AV81" s="165"/>
      <c r="AW81" s="83"/>
    </row>
    <row r="82" spans="1:49">
      <c r="D82" s="70" t="s">
        <v>38</v>
      </c>
      <c r="E82" s="70" t="s">
        <v>38</v>
      </c>
      <c r="F82" s="70" t="s">
        <v>38</v>
      </c>
      <c r="G82" s="70" t="s">
        <v>38</v>
      </c>
      <c r="H82" s="70" t="s">
        <v>38</v>
      </c>
      <c r="I82" s="70"/>
      <c r="J82" s="70"/>
      <c r="K82" s="164" t="s">
        <v>112</v>
      </c>
      <c r="L82" s="164" t="s">
        <v>111</v>
      </c>
      <c r="M82" s="166"/>
      <c r="N82" s="164"/>
      <c r="O82" s="164"/>
      <c r="P82" s="164"/>
      <c r="Q82" s="70"/>
      <c r="R82" s="92"/>
      <c r="S82" s="92"/>
      <c r="T82" s="92"/>
      <c r="U82" s="92"/>
      <c r="V82" s="92"/>
      <c r="W82" s="92"/>
      <c r="X82" s="92"/>
      <c r="Y82" s="92"/>
      <c r="Z82" s="92"/>
      <c r="AC82" s="70"/>
      <c r="AD82" s="70"/>
      <c r="AE82" s="70"/>
      <c r="AF82" s="70"/>
      <c r="AG82" s="70"/>
      <c r="AH82" s="83"/>
      <c r="AI82" s="83"/>
      <c r="AJ82" s="83"/>
      <c r="AK82" s="83"/>
      <c r="AL82" s="83"/>
      <c r="AM82" s="83"/>
      <c r="AN82" s="83"/>
      <c r="AO82" s="83"/>
      <c r="AP82" s="83"/>
      <c r="AQ82" s="165"/>
      <c r="AR82" s="165"/>
      <c r="AS82" s="156"/>
      <c r="AT82" s="83"/>
      <c r="AU82" s="83"/>
      <c r="AV82" s="165"/>
      <c r="AW82" s="83"/>
    </row>
    <row r="83" spans="1:49">
      <c r="D83" s="70" t="s">
        <v>42</v>
      </c>
      <c r="E83" s="70" t="s">
        <v>42</v>
      </c>
      <c r="F83" s="70" t="s">
        <v>42</v>
      </c>
      <c r="G83" s="70" t="s">
        <v>42</v>
      </c>
      <c r="H83" s="70" t="s">
        <v>42</v>
      </c>
      <c r="I83" s="70"/>
      <c r="J83" s="70"/>
      <c r="K83" s="70"/>
      <c r="M83" s="167"/>
      <c r="N83" s="70"/>
      <c r="O83" s="70"/>
      <c r="P83" s="70"/>
      <c r="Q83" s="70"/>
      <c r="R83" s="70"/>
      <c r="S83" s="70"/>
      <c r="T83" s="70"/>
      <c r="U83" s="70"/>
      <c r="V83" s="70"/>
      <c r="W83" s="70"/>
      <c r="X83" s="70"/>
      <c r="Y83" s="70"/>
      <c r="Z83" s="70"/>
      <c r="AC83" s="70"/>
      <c r="AD83" s="70"/>
      <c r="AE83" s="70"/>
      <c r="AF83" s="70"/>
      <c r="AG83" s="70"/>
      <c r="AH83" s="83"/>
      <c r="AI83" s="83"/>
      <c r="AJ83" s="83"/>
      <c r="AK83" s="83"/>
      <c r="AL83" s="83"/>
      <c r="AM83" s="83"/>
      <c r="AN83" s="83"/>
      <c r="AO83" s="83"/>
      <c r="AP83" s="83"/>
      <c r="AQ83" s="83"/>
      <c r="AR83" s="83"/>
      <c r="AS83" s="156"/>
      <c r="AT83" s="83"/>
      <c r="AU83" s="83"/>
      <c r="AV83" s="83"/>
      <c r="AW83" s="62"/>
    </row>
    <row r="84" spans="1:49">
      <c r="D84" s="70" t="s">
        <v>97</v>
      </c>
      <c r="E84" s="70" t="s">
        <v>98</v>
      </c>
      <c r="F84" s="70" t="s">
        <v>98</v>
      </c>
      <c r="G84" s="70" t="s">
        <v>89</v>
      </c>
      <c r="H84" s="70" t="s">
        <v>90</v>
      </c>
      <c r="I84" s="70"/>
      <c r="J84" s="70"/>
      <c r="K84" s="70"/>
      <c r="L84" s="70"/>
      <c r="M84" s="74"/>
      <c r="N84" s="70"/>
      <c r="O84" s="70"/>
      <c r="AC84" s="83"/>
      <c r="AD84" s="83"/>
      <c r="AE84" s="83"/>
      <c r="AF84" s="83"/>
      <c r="AG84" s="83"/>
      <c r="AH84" s="83"/>
      <c r="AI84" s="83"/>
      <c r="AJ84" s="83"/>
      <c r="AK84" s="83"/>
      <c r="AL84" s="83"/>
      <c r="AM84" s="83"/>
      <c r="AN84" s="83"/>
      <c r="AO84" s="83"/>
      <c r="AP84" s="83"/>
      <c r="AQ84" s="83"/>
      <c r="AR84" s="83"/>
      <c r="AS84" s="156"/>
      <c r="AT84" s="83"/>
      <c r="AU84" s="83"/>
      <c r="AV84" s="62"/>
      <c r="AW84" s="62"/>
    </row>
    <row r="85" spans="1:49">
      <c r="B85" s="70" t="s">
        <v>36</v>
      </c>
      <c r="C85" s="168" t="s">
        <v>35</v>
      </c>
      <c r="D85" s="70" t="s">
        <v>100</v>
      </c>
      <c r="E85" s="70" t="s">
        <v>101</v>
      </c>
      <c r="F85" s="70" t="s">
        <v>101</v>
      </c>
      <c r="G85" s="70" t="s">
        <v>102</v>
      </c>
      <c r="H85" s="70" t="s">
        <v>95</v>
      </c>
      <c r="I85" s="70"/>
      <c r="J85" s="70"/>
      <c r="K85" s="70"/>
      <c r="L85" s="70"/>
      <c r="M85" s="74"/>
      <c r="N85" s="70"/>
      <c r="O85" s="70"/>
      <c r="AC85" s="84"/>
      <c r="AD85" s="84"/>
      <c r="AE85" s="84"/>
      <c r="AF85" s="84"/>
      <c r="AG85" s="84"/>
      <c r="AH85" s="83"/>
      <c r="AI85" s="83"/>
      <c r="AJ85" s="83"/>
      <c r="AK85" s="83"/>
      <c r="AL85" s="83"/>
      <c r="AM85" s="83"/>
      <c r="AN85" s="83"/>
      <c r="AO85" s="83"/>
      <c r="AP85" s="83"/>
      <c r="AQ85" s="83"/>
      <c r="AR85" s="83"/>
      <c r="AS85" s="156"/>
      <c r="AT85" s="83"/>
      <c r="AU85" s="83"/>
      <c r="AV85" s="62"/>
      <c r="AW85" s="62"/>
    </row>
    <row r="86" spans="1:49">
      <c r="B86" s="70" t="s">
        <v>38</v>
      </c>
      <c r="C86" s="168" t="s">
        <v>39</v>
      </c>
      <c r="D86" s="70"/>
      <c r="E86" s="70"/>
      <c r="F86" s="70"/>
      <c r="G86" s="70"/>
      <c r="H86" s="70"/>
      <c r="I86" s="70"/>
      <c r="J86" s="70"/>
      <c r="K86" s="70"/>
      <c r="L86" s="70"/>
      <c r="M86" s="74"/>
      <c r="N86" s="70"/>
      <c r="O86" s="70"/>
      <c r="AC86" s="84"/>
      <c r="AD86" s="84"/>
      <c r="AE86" s="84"/>
      <c r="AF86" s="84"/>
      <c r="AG86" s="84"/>
      <c r="AH86" s="62"/>
      <c r="AJ86" s="62"/>
      <c r="AK86" s="62"/>
      <c r="AL86" s="62"/>
      <c r="AM86" s="62"/>
      <c r="AN86" s="62"/>
      <c r="AO86" s="62"/>
      <c r="AP86" s="62"/>
      <c r="AQ86" s="62"/>
      <c r="AR86" s="62"/>
      <c r="AS86" s="169"/>
      <c r="AT86" s="62"/>
      <c r="AU86" s="62"/>
      <c r="AV86" s="62"/>
      <c r="AW86" s="62"/>
    </row>
    <row r="87" spans="1:49">
      <c r="B87" s="70" t="s">
        <v>41</v>
      </c>
      <c r="C87" s="168" t="s">
        <v>42</v>
      </c>
      <c r="D87" s="70"/>
      <c r="E87" s="70"/>
      <c r="F87" s="70"/>
      <c r="G87" s="70"/>
      <c r="H87" s="70"/>
      <c r="I87" s="70"/>
      <c r="J87" s="70"/>
      <c r="K87" s="70"/>
      <c r="L87" s="70"/>
      <c r="M87" s="74"/>
      <c r="N87" s="70"/>
      <c r="O87" s="70"/>
      <c r="AC87" s="84"/>
      <c r="AD87" s="84"/>
      <c r="AE87" s="84"/>
      <c r="AF87" s="84"/>
      <c r="AG87" s="84"/>
      <c r="AH87" s="62"/>
      <c r="AJ87" s="62"/>
      <c r="AK87" s="62"/>
      <c r="AL87" s="62"/>
      <c r="AM87" s="62"/>
      <c r="AN87" s="62"/>
      <c r="AO87" s="62"/>
      <c r="AP87" s="62"/>
      <c r="AQ87" s="62"/>
      <c r="AR87" s="62"/>
      <c r="AS87" s="169"/>
      <c r="AT87" s="62"/>
      <c r="AU87" s="62"/>
      <c r="AV87" s="62"/>
      <c r="AW87" s="62"/>
    </row>
    <row r="88" spans="1:49">
      <c r="B88" s="70" t="s">
        <v>44</v>
      </c>
      <c r="C88" s="168" t="s">
        <v>45</v>
      </c>
      <c r="D88" s="70"/>
      <c r="E88" s="70"/>
      <c r="F88" s="70"/>
      <c r="G88" s="70"/>
      <c r="H88" s="70"/>
      <c r="I88" s="70"/>
      <c r="J88" s="70"/>
      <c r="K88" s="70"/>
      <c r="L88" s="70"/>
      <c r="M88" s="74"/>
      <c r="N88" s="70"/>
      <c r="O88" s="70"/>
      <c r="AC88" s="87"/>
      <c r="AD88" s="87"/>
      <c r="AE88" s="87"/>
      <c r="AF88" s="87"/>
      <c r="AG88" s="87"/>
      <c r="AH88" s="62"/>
      <c r="AJ88" s="62"/>
      <c r="AK88" s="62"/>
      <c r="AL88" s="62"/>
      <c r="AM88" s="62"/>
      <c r="AN88" s="62"/>
      <c r="AO88" s="62"/>
      <c r="AP88" s="62"/>
      <c r="AQ88" s="62"/>
      <c r="AR88" s="62"/>
      <c r="AS88" s="169"/>
      <c r="AT88" s="62"/>
      <c r="AU88" s="62"/>
      <c r="AV88" s="62"/>
      <c r="AW88" s="62"/>
    </row>
    <row r="89" spans="1:49">
      <c r="B89" s="70" t="s">
        <v>1</v>
      </c>
      <c r="C89" s="168" t="s">
        <v>38</v>
      </c>
      <c r="D89" s="70"/>
      <c r="E89" s="70"/>
      <c r="F89" s="70"/>
      <c r="G89" s="70"/>
      <c r="H89" s="70"/>
      <c r="I89" s="70"/>
      <c r="J89" s="70"/>
      <c r="K89" s="70"/>
      <c r="L89" s="70"/>
      <c r="M89" s="74"/>
      <c r="N89" s="70"/>
      <c r="O89" s="70"/>
      <c r="AC89" s="224"/>
      <c r="AD89" s="224"/>
      <c r="AE89" s="224"/>
      <c r="AF89" s="224"/>
      <c r="AG89" s="224"/>
      <c r="AH89" s="62"/>
      <c r="AJ89" s="62"/>
      <c r="AK89" s="62"/>
      <c r="AL89" s="62"/>
      <c r="AM89" s="62"/>
      <c r="AN89" s="62"/>
      <c r="AO89" s="62"/>
      <c r="AP89" s="62"/>
      <c r="AQ89" s="62"/>
      <c r="AR89" s="62"/>
      <c r="AS89" s="169"/>
      <c r="AT89" s="62"/>
      <c r="AU89" s="62"/>
      <c r="AV89" s="62"/>
      <c r="AW89" s="62"/>
    </row>
    <row r="90" spans="1:49">
      <c r="B90" s="70" t="s">
        <v>51</v>
      </c>
      <c r="C90" s="168" t="s">
        <v>52</v>
      </c>
      <c r="AH90" s="62"/>
      <c r="AJ90" s="62"/>
      <c r="AK90" s="62"/>
      <c r="AL90" s="62"/>
      <c r="AM90" s="62"/>
      <c r="AN90" s="62"/>
      <c r="AO90" s="62"/>
      <c r="AP90" s="62"/>
      <c r="AQ90" s="62"/>
      <c r="AR90" s="62"/>
      <c r="AS90" s="169"/>
      <c r="AT90" s="62"/>
      <c r="AU90" s="62"/>
      <c r="AV90" s="62"/>
      <c r="AW90" s="62"/>
    </row>
    <row r="91" spans="1:49">
      <c r="B91" s="70" t="s">
        <v>54</v>
      </c>
      <c r="C91" s="168" t="s">
        <v>55</v>
      </c>
      <c r="AH91" s="62"/>
      <c r="AJ91" s="62"/>
      <c r="AK91" s="62"/>
      <c r="AL91" s="62"/>
      <c r="AM91" s="62"/>
      <c r="AN91" s="62"/>
      <c r="AO91" s="62"/>
      <c r="AP91" s="62"/>
      <c r="AQ91" s="62"/>
      <c r="AR91" s="62"/>
      <c r="AS91" s="169"/>
      <c r="AT91" s="62"/>
      <c r="AU91" s="62"/>
      <c r="AV91" s="62"/>
      <c r="AW91" s="62"/>
    </row>
    <row r="92" spans="1:49">
      <c r="B92" s="70" t="s">
        <v>64</v>
      </c>
      <c r="C92" s="168" t="s">
        <v>65</v>
      </c>
      <c r="AH92" s="62"/>
      <c r="AJ92" s="62"/>
      <c r="AK92" s="62"/>
      <c r="AL92" s="62"/>
      <c r="AM92" s="62"/>
      <c r="AN92" s="62"/>
      <c r="AO92" s="62"/>
      <c r="AP92" s="62"/>
      <c r="AQ92" s="62"/>
      <c r="AR92" s="62"/>
      <c r="AS92" s="169"/>
      <c r="AT92" s="62"/>
      <c r="AU92" s="62"/>
      <c r="AV92" s="62"/>
      <c r="AW92" s="62"/>
    </row>
    <row r="93" spans="1:49">
      <c r="B93" s="70" t="s">
        <v>68</v>
      </c>
      <c r="C93" s="168" t="s">
        <v>69</v>
      </c>
      <c r="AH93" s="62"/>
      <c r="AJ93" s="62"/>
      <c r="AK93" s="62"/>
      <c r="AL93" s="62"/>
      <c r="AM93" s="62"/>
      <c r="AN93" s="62"/>
      <c r="AO93" s="62"/>
      <c r="AP93" s="62"/>
      <c r="AQ93" s="62"/>
      <c r="AR93" s="62"/>
      <c r="AS93" s="169"/>
      <c r="AT93" s="62"/>
      <c r="AU93" s="62"/>
      <c r="AV93" s="62"/>
      <c r="AW93" s="62"/>
    </row>
    <row r="94" spans="1:49">
      <c r="B94" s="70" t="s">
        <v>37</v>
      </c>
      <c r="C94" s="168" t="s">
        <v>72</v>
      </c>
      <c r="AH94" s="62"/>
      <c r="AJ94" s="62"/>
      <c r="AK94" s="62"/>
      <c r="AL94" s="62"/>
      <c r="AM94" s="62"/>
      <c r="AN94" s="62"/>
      <c r="AO94" s="62"/>
      <c r="AP94" s="62"/>
      <c r="AQ94" s="62"/>
      <c r="AR94" s="62"/>
      <c r="AS94" s="169"/>
      <c r="AT94" s="62"/>
      <c r="AU94" s="62"/>
      <c r="AV94" s="62"/>
      <c r="AW94" s="62"/>
    </row>
    <row r="95" spans="1:49">
      <c r="B95" s="70" t="s">
        <v>45</v>
      </c>
      <c r="C95" s="168" t="s">
        <v>38</v>
      </c>
      <c r="AH95" s="62"/>
      <c r="AJ95" s="62"/>
      <c r="AK95" s="62"/>
      <c r="AL95" s="62"/>
      <c r="AM95" s="62"/>
      <c r="AN95" s="62"/>
      <c r="AO95" s="62"/>
      <c r="AP95" s="62"/>
      <c r="AQ95" s="62"/>
      <c r="AR95" s="62"/>
      <c r="AS95" s="169"/>
      <c r="AT95" s="62"/>
      <c r="AU95" s="62"/>
      <c r="AV95" s="62"/>
      <c r="AW95" s="62"/>
    </row>
    <row r="96" spans="1:49">
      <c r="B96" s="70" t="s">
        <v>38</v>
      </c>
      <c r="C96" s="168" t="s">
        <v>77</v>
      </c>
      <c r="AH96" s="62"/>
      <c r="AJ96" s="62"/>
      <c r="AK96" s="62"/>
      <c r="AL96" s="62"/>
      <c r="AM96" s="62"/>
      <c r="AN96" s="62"/>
      <c r="AO96" s="62"/>
      <c r="AP96" s="62"/>
      <c r="AQ96" s="62"/>
      <c r="AR96" s="62"/>
      <c r="AS96" s="169"/>
      <c r="AT96" s="62"/>
      <c r="AU96" s="62"/>
      <c r="AV96" s="62"/>
      <c r="AW96" s="62"/>
    </row>
    <row r="97" spans="2:49">
      <c r="B97" s="70" t="s">
        <v>49</v>
      </c>
      <c r="C97" s="168" t="s">
        <v>81</v>
      </c>
      <c r="AH97" s="62"/>
      <c r="AJ97" s="62"/>
      <c r="AK97" s="62"/>
      <c r="AL97" s="62"/>
      <c r="AM97" s="62"/>
      <c r="AN97" s="62"/>
      <c r="AO97" s="62"/>
      <c r="AP97" s="62"/>
      <c r="AQ97" s="62"/>
      <c r="AR97" s="62"/>
      <c r="AS97" s="169"/>
      <c r="AT97" s="62"/>
      <c r="AU97" s="62"/>
      <c r="AV97" s="62"/>
      <c r="AW97" s="62"/>
    </row>
    <row r="98" spans="2:49">
      <c r="B98" s="70" t="s">
        <v>52</v>
      </c>
      <c r="C98" s="168" t="s">
        <v>84</v>
      </c>
      <c r="AH98" s="62"/>
      <c r="AJ98" s="62"/>
      <c r="AK98" s="62"/>
      <c r="AL98" s="62"/>
      <c r="AM98" s="62"/>
      <c r="AN98" s="62"/>
      <c r="AO98" s="62"/>
      <c r="AP98" s="62"/>
      <c r="AQ98" s="62"/>
      <c r="AR98" s="62"/>
      <c r="AS98" s="169"/>
      <c r="AT98" s="62"/>
      <c r="AU98" s="62"/>
      <c r="AV98" s="62"/>
      <c r="AW98" s="62"/>
    </row>
    <row r="99" spans="2:49">
      <c r="B99" s="70" t="s">
        <v>55</v>
      </c>
      <c r="C99" s="168" t="s">
        <v>86</v>
      </c>
      <c r="AH99" s="62"/>
      <c r="AJ99" s="62"/>
      <c r="AK99" s="62"/>
      <c r="AL99" s="62"/>
      <c r="AM99" s="62"/>
      <c r="AN99" s="62"/>
      <c r="AO99" s="62"/>
      <c r="AP99" s="62"/>
      <c r="AQ99" s="62"/>
      <c r="AR99" s="62"/>
      <c r="AS99" s="169"/>
      <c r="AT99" s="62"/>
      <c r="AU99" s="62"/>
      <c r="AV99" s="62"/>
      <c r="AW99" s="62"/>
    </row>
    <row r="100" spans="2:49">
      <c r="B100" s="70" t="s">
        <v>79</v>
      </c>
      <c r="C100" s="168" t="s">
        <v>88</v>
      </c>
      <c r="AH100" s="62"/>
      <c r="AJ100" s="62"/>
      <c r="AK100" s="62"/>
      <c r="AL100" s="62"/>
      <c r="AM100" s="62"/>
      <c r="AN100" s="62"/>
      <c r="AO100" s="62"/>
      <c r="AP100" s="62"/>
      <c r="AQ100" s="62"/>
      <c r="AR100" s="62"/>
      <c r="AS100" s="169"/>
      <c r="AT100" s="62"/>
      <c r="AU100" s="62"/>
      <c r="AV100" s="62"/>
      <c r="AW100" s="62"/>
    </row>
    <row r="101" spans="2:49">
      <c r="B101" s="70" t="s">
        <v>82</v>
      </c>
      <c r="C101" s="168"/>
      <c r="AH101" s="62"/>
      <c r="AJ101" s="62"/>
      <c r="AK101" s="62"/>
      <c r="AL101" s="62"/>
      <c r="AM101" s="62"/>
      <c r="AN101" s="62"/>
      <c r="AO101" s="62"/>
      <c r="AP101" s="62"/>
      <c r="AQ101" s="62"/>
      <c r="AR101" s="62"/>
      <c r="AS101" s="169"/>
      <c r="AT101" s="62"/>
      <c r="AU101" s="62"/>
      <c r="AV101" s="62"/>
      <c r="AW101" s="62"/>
    </row>
    <row r="102" spans="2:49">
      <c r="B102" s="70" t="s">
        <v>38</v>
      </c>
      <c r="C102" s="168"/>
      <c r="AH102" s="62"/>
      <c r="AJ102" s="62"/>
      <c r="AK102" s="62"/>
      <c r="AL102" s="62"/>
      <c r="AM102" s="62"/>
      <c r="AN102" s="62"/>
      <c r="AO102" s="62"/>
      <c r="AP102" s="62"/>
      <c r="AQ102" s="62"/>
      <c r="AR102" s="62"/>
      <c r="AS102" s="169"/>
      <c r="AT102" s="62"/>
      <c r="AU102" s="62"/>
      <c r="AV102" s="62"/>
      <c r="AW102" s="62"/>
    </row>
    <row r="103" spans="2:49">
      <c r="B103" s="70" t="s">
        <v>42</v>
      </c>
      <c r="C103" s="168"/>
      <c r="AH103" s="62"/>
      <c r="AJ103" s="62"/>
      <c r="AK103" s="62"/>
      <c r="AL103" s="62"/>
      <c r="AM103" s="62"/>
      <c r="AN103" s="62"/>
      <c r="AO103" s="62"/>
      <c r="AP103" s="62"/>
      <c r="AQ103" s="62"/>
      <c r="AR103" s="62"/>
      <c r="AS103" s="169"/>
      <c r="AT103" s="62"/>
      <c r="AU103" s="62"/>
      <c r="AV103" s="62"/>
      <c r="AW103" s="62"/>
    </row>
    <row r="104" spans="2:49">
      <c r="B104" s="70" t="s">
        <v>97</v>
      </c>
      <c r="C104" s="70"/>
      <c r="AH104" s="62"/>
      <c r="AJ104" s="62"/>
      <c r="AK104" s="62"/>
      <c r="AL104" s="62"/>
      <c r="AM104" s="62"/>
      <c r="AN104" s="62"/>
      <c r="AO104" s="62"/>
      <c r="AP104" s="62"/>
      <c r="AQ104" s="62"/>
      <c r="AR104" s="62"/>
      <c r="AS104" s="169"/>
      <c r="AT104" s="62"/>
      <c r="AU104" s="62"/>
      <c r="AV104" s="62"/>
      <c r="AW104" s="62"/>
    </row>
    <row r="105" spans="2:49">
      <c r="B105" s="70" t="s">
        <v>100</v>
      </c>
      <c r="C105" s="70"/>
      <c r="AH105" s="62"/>
      <c r="AJ105" s="62"/>
      <c r="AK105" s="62"/>
      <c r="AL105" s="62"/>
      <c r="AM105" s="62"/>
      <c r="AN105" s="62"/>
      <c r="AO105" s="62"/>
      <c r="AP105" s="62"/>
      <c r="AQ105" s="62"/>
      <c r="AR105" s="62"/>
      <c r="AS105" s="169"/>
      <c r="AT105" s="62"/>
      <c r="AU105" s="62"/>
      <c r="AV105" s="62"/>
      <c r="AW105" s="62"/>
    </row>
    <row r="106" spans="2:49">
      <c r="B106" s="70"/>
      <c r="C106" s="70"/>
      <c r="AH106" s="62"/>
      <c r="AJ106" s="62"/>
      <c r="AK106" s="62"/>
      <c r="AL106" s="62"/>
      <c r="AM106" s="62"/>
      <c r="AN106" s="62"/>
      <c r="AO106" s="62"/>
      <c r="AP106" s="62"/>
      <c r="AQ106" s="62"/>
      <c r="AR106" s="62"/>
      <c r="AS106" s="169"/>
      <c r="AT106" s="62"/>
      <c r="AU106" s="62"/>
      <c r="AV106" s="62"/>
      <c r="AW106" s="62"/>
    </row>
    <row r="107" spans="2:49">
      <c r="B107" s="70"/>
      <c r="C107" s="70"/>
      <c r="AH107" s="62"/>
      <c r="AJ107" s="62"/>
      <c r="AK107" s="62"/>
      <c r="AL107" s="62"/>
      <c r="AM107" s="62"/>
      <c r="AN107" s="62"/>
      <c r="AO107" s="62"/>
      <c r="AP107" s="62"/>
      <c r="AQ107" s="62"/>
      <c r="AR107" s="62"/>
      <c r="AS107" s="169"/>
      <c r="AT107" s="62"/>
      <c r="AU107" s="62"/>
      <c r="AV107" s="62"/>
      <c r="AW107" s="62"/>
    </row>
    <row r="108" spans="2:49">
      <c r="B108" s="70"/>
      <c r="C108" s="70"/>
      <c r="AH108" s="62"/>
      <c r="AJ108" s="62"/>
      <c r="AK108" s="62"/>
      <c r="AL108" s="62"/>
      <c r="AM108" s="62"/>
      <c r="AN108" s="62"/>
      <c r="AO108" s="62"/>
      <c r="AP108" s="62"/>
      <c r="AQ108" s="62"/>
      <c r="AR108" s="62"/>
      <c r="AS108" s="169"/>
      <c r="AT108" s="62"/>
      <c r="AU108" s="62"/>
      <c r="AV108" s="62"/>
      <c r="AW108" s="62"/>
    </row>
    <row r="109" spans="2:49">
      <c r="B109" s="70"/>
      <c r="C109" s="70"/>
      <c r="AH109" s="62"/>
      <c r="AJ109" s="62"/>
      <c r="AK109" s="62"/>
      <c r="AL109" s="62"/>
      <c r="AM109" s="62"/>
      <c r="AN109" s="62"/>
      <c r="AO109" s="62"/>
      <c r="AP109" s="62"/>
      <c r="AQ109" s="62"/>
      <c r="AR109" s="62"/>
      <c r="AS109" s="169"/>
      <c r="AT109" s="62"/>
      <c r="AU109" s="62"/>
      <c r="AV109" s="62"/>
      <c r="AW109" s="62"/>
    </row>
    <row r="110" spans="2:49">
      <c r="B110" s="70"/>
      <c r="C110" s="70"/>
      <c r="D110" s="70"/>
      <c r="E110" s="70"/>
      <c r="F110" s="70"/>
      <c r="G110" s="70"/>
      <c r="H110" s="70"/>
      <c r="I110" s="70"/>
      <c r="J110" s="70"/>
      <c r="K110" s="70"/>
      <c r="L110" s="70"/>
      <c r="M110" s="74"/>
      <c r="N110" s="70"/>
      <c r="O110" s="70"/>
      <c r="AH110" s="62"/>
      <c r="AJ110" s="62"/>
      <c r="AK110" s="62"/>
      <c r="AL110" s="62"/>
      <c r="AM110" s="62"/>
      <c r="AN110" s="62"/>
      <c r="AO110" s="62"/>
      <c r="AP110" s="62"/>
      <c r="AQ110" s="62"/>
      <c r="AR110" s="62"/>
      <c r="AS110" s="169"/>
      <c r="AT110" s="62"/>
      <c r="AU110" s="62"/>
      <c r="AV110" s="62"/>
      <c r="AW110" s="62"/>
    </row>
    <row r="111" spans="2:49">
      <c r="B111" s="70"/>
      <c r="C111" s="70"/>
      <c r="D111" s="70"/>
      <c r="E111" s="70"/>
      <c r="F111" s="70"/>
      <c r="G111" s="70"/>
      <c r="H111" s="70"/>
      <c r="I111" s="70"/>
      <c r="J111" s="70"/>
      <c r="K111" s="70"/>
      <c r="L111" s="70"/>
      <c r="M111" s="74"/>
      <c r="N111" s="70"/>
      <c r="O111" s="70"/>
      <c r="AH111" s="62"/>
      <c r="AJ111" s="62"/>
      <c r="AK111" s="62"/>
      <c r="AL111" s="62"/>
      <c r="AM111" s="62"/>
      <c r="AN111" s="62"/>
      <c r="AO111" s="62"/>
      <c r="AP111" s="62"/>
      <c r="AQ111" s="62"/>
      <c r="AR111" s="62"/>
      <c r="AS111" s="169"/>
      <c r="AT111" s="62"/>
      <c r="AU111" s="62"/>
      <c r="AV111" s="62"/>
      <c r="AW111" s="62"/>
    </row>
    <row r="112" spans="2:49">
      <c r="B112" s="70"/>
      <c r="C112" s="70"/>
      <c r="D112" s="70"/>
      <c r="E112" s="70"/>
      <c r="F112" s="70"/>
      <c r="G112" s="70"/>
      <c r="H112" s="70"/>
      <c r="I112" s="70"/>
      <c r="J112" s="70"/>
      <c r="K112" s="70"/>
      <c r="L112" s="70"/>
      <c r="M112" s="74"/>
      <c r="N112" s="70"/>
      <c r="O112" s="70"/>
      <c r="AH112" s="62"/>
      <c r="AJ112" s="62"/>
      <c r="AK112" s="62"/>
      <c r="AL112" s="62"/>
      <c r="AM112" s="62"/>
      <c r="AN112" s="62"/>
      <c r="AO112" s="62"/>
      <c r="AP112" s="62"/>
      <c r="AQ112" s="62"/>
      <c r="AR112" s="62"/>
      <c r="AS112" s="169"/>
      <c r="AT112" s="62"/>
      <c r="AU112" s="62"/>
      <c r="AV112" s="62"/>
      <c r="AW112" s="62"/>
    </row>
    <row r="113" spans="2:49">
      <c r="B113" s="70"/>
      <c r="C113" s="70"/>
      <c r="D113" s="70"/>
      <c r="E113" s="70"/>
      <c r="F113" s="70"/>
      <c r="G113" s="70"/>
      <c r="H113" s="70"/>
      <c r="I113" s="70"/>
      <c r="J113" s="70"/>
      <c r="K113" s="70"/>
      <c r="L113" s="70"/>
      <c r="M113" s="74"/>
      <c r="N113" s="70"/>
      <c r="O113" s="70"/>
      <c r="AH113" s="62"/>
      <c r="AJ113" s="62"/>
      <c r="AK113" s="62"/>
      <c r="AL113" s="62"/>
      <c r="AM113" s="62"/>
      <c r="AN113" s="62"/>
      <c r="AO113" s="62"/>
      <c r="AP113" s="62"/>
      <c r="AQ113" s="62"/>
      <c r="AR113" s="62"/>
      <c r="AS113" s="169"/>
      <c r="AT113" s="62"/>
      <c r="AU113" s="62"/>
      <c r="AV113" s="62"/>
      <c r="AW113" s="62"/>
    </row>
    <row r="114" spans="2:49">
      <c r="B114" s="70"/>
      <c r="C114" s="70"/>
      <c r="D114" s="70"/>
      <c r="E114" s="70"/>
      <c r="F114" s="70"/>
      <c r="G114" s="70"/>
      <c r="H114" s="70"/>
      <c r="I114" s="70"/>
      <c r="J114" s="70"/>
      <c r="K114" s="70"/>
      <c r="L114" s="70"/>
      <c r="M114" s="74"/>
      <c r="N114" s="70"/>
      <c r="O114" s="70"/>
      <c r="AH114" s="62"/>
      <c r="AJ114" s="62"/>
      <c r="AK114" s="62"/>
      <c r="AL114" s="62"/>
      <c r="AM114" s="62"/>
      <c r="AN114" s="62"/>
      <c r="AO114" s="62"/>
      <c r="AP114" s="62"/>
      <c r="AQ114" s="62"/>
      <c r="AR114" s="62"/>
      <c r="AS114" s="169"/>
      <c r="AT114" s="62"/>
      <c r="AU114" s="62"/>
      <c r="AV114" s="62"/>
      <c r="AW114" s="62"/>
    </row>
    <row r="115" spans="2:49">
      <c r="B115" s="70"/>
      <c r="C115" s="70"/>
      <c r="D115" s="70"/>
      <c r="E115" s="70"/>
      <c r="F115" s="70"/>
      <c r="G115" s="70"/>
      <c r="H115" s="70"/>
      <c r="I115" s="70"/>
      <c r="J115" s="70"/>
      <c r="K115" s="70"/>
      <c r="L115" s="70"/>
      <c r="M115" s="74"/>
      <c r="N115" s="70"/>
      <c r="O115" s="70"/>
      <c r="AH115" s="62"/>
      <c r="AJ115" s="62"/>
      <c r="AK115" s="62"/>
      <c r="AL115" s="62"/>
      <c r="AM115" s="62"/>
      <c r="AN115" s="62"/>
      <c r="AO115" s="62"/>
      <c r="AP115" s="62"/>
      <c r="AQ115" s="62"/>
      <c r="AR115" s="62"/>
      <c r="AS115" s="169"/>
      <c r="AT115" s="62"/>
      <c r="AU115" s="62"/>
      <c r="AV115" s="62"/>
      <c r="AW115" s="62"/>
    </row>
    <row r="116" spans="2:49">
      <c r="B116" s="70"/>
      <c r="C116" s="70"/>
      <c r="D116" s="70"/>
      <c r="E116" s="70"/>
      <c r="F116" s="70"/>
      <c r="G116" s="70"/>
      <c r="H116" s="70"/>
      <c r="I116" s="70"/>
      <c r="J116" s="70"/>
      <c r="K116" s="70"/>
      <c r="L116" s="70"/>
      <c r="M116" s="74"/>
      <c r="N116" s="70"/>
      <c r="O116" s="70"/>
      <c r="AH116" s="62"/>
      <c r="AJ116" s="62"/>
      <c r="AK116" s="62"/>
      <c r="AL116" s="62"/>
      <c r="AM116" s="62"/>
      <c r="AN116" s="62"/>
      <c r="AO116" s="62"/>
      <c r="AP116" s="62"/>
      <c r="AQ116" s="62"/>
      <c r="AR116" s="62"/>
      <c r="AS116" s="169"/>
      <c r="AT116" s="62"/>
      <c r="AU116" s="62"/>
      <c r="AV116" s="62"/>
      <c r="AW116" s="62"/>
    </row>
    <row r="117" spans="2:49">
      <c r="B117" s="70"/>
      <c r="C117" s="70"/>
      <c r="D117" s="70"/>
      <c r="E117" s="70"/>
      <c r="F117" s="70"/>
      <c r="G117" s="70"/>
      <c r="H117" s="70"/>
      <c r="I117" s="70"/>
      <c r="J117" s="70"/>
      <c r="K117" s="70"/>
      <c r="L117" s="70"/>
      <c r="M117" s="74"/>
      <c r="N117" s="70"/>
      <c r="O117" s="70"/>
      <c r="AH117" s="62"/>
      <c r="AJ117" s="62"/>
      <c r="AK117" s="62"/>
      <c r="AL117" s="62"/>
      <c r="AM117" s="62"/>
      <c r="AN117" s="62"/>
      <c r="AO117" s="62"/>
      <c r="AP117" s="62"/>
      <c r="AQ117" s="62"/>
      <c r="AR117" s="62"/>
      <c r="AS117" s="169"/>
      <c r="AT117" s="62"/>
      <c r="AU117" s="62"/>
      <c r="AV117" s="62"/>
      <c r="AW117" s="62"/>
    </row>
    <row r="118" spans="2:49">
      <c r="B118" s="70"/>
      <c r="C118" s="70"/>
      <c r="D118" s="70"/>
      <c r="E118" s="70"/>
      <c r="F118" s="70"/>
      <c r="G118" s="70"/>
      <c r="H118" s="70"/>
      <c r="I118" s="70"/>
      <c r="J118" s="70"/>
      <c r="K118" s="70"/>
      <c r="L118" s="70"/>
      <c r="M118" s="74"/>
      <c r="N118" s="70"/>
      <c r="O118" s="70"/>
      <c r="AH118" s="62"/>
      <c r="AJ118" s="62"/>
      <c r="AK118" s="62"/>
      <c r="AL118" s="62"/>
      <c r="AM118" s="62"/>
      <c r="AN118" s="62"/>
      <c r="AO118" s="62"/>
      <c r="AP118" s="62"/>
      <c r="AQ118" s="62"/>
      <c r="AR118" s="62"/>
      <c r="AS118" s="169"/>
      <c r="AT118" s="62"/>
      <c r="AU118" s="62"/>
      <c r="AV118" s="62"/>
      <c r="AW118" s="62"/>
    </row>
    <row r="119" spans="2:49">
      <c r="B119" s="70"/>
      <c r="C119" s="70"/>
      <c r="D119" s="70"/>
      <c r="E119" s="70"/>
      <c r="F119" s="70"/>
      <c r="G119" s="70"/>
      <c r="H119" s="70"/>
      <c r="I119" s="70"/>
      <c r="J119" s="70"/>
      <c r="K119" s="70"/>
      <c r="L119" s="70"/>
      <c r="M119" s="74"/>
      <c r="N119" s="70"/>
      <c r="O119" s="70"/>
      <c r="AH119" s="62"/>
      <c r="AJ119" s="62"/>
      <c r="AK119" s="62"/>
      <c r="AL119" s="62"/>
      <c r="AM119" s="62"/>
      <c r="AN119" s="62"/>
      <c r="AO119" s="62"/>
      <c r="AP119" s="62"/>
      <c r="AQ119" s="62"/>
      <c r="AR119" s="62"/>
      <c r="AS119" s="169"/>
      <c r="AT119" s="62"/>
      <c r="AU119" s="62"/>
      <c r="AV119" s="62"/>
      <c r="AW119" s="62"/>
    </row>
    <row r="120" spans="2:49">
      <c r="AH120" s="62"/>
      <c r="AJ120" s="62"/>
      <c r="AK120" s="62"/>
      <c r="AL120" s="62"/>
      <c r="AM120" s="62"/>
      <c r="AN120" s="62"/>
      <c r="AO120" s="62"/>
      <c r="AP120" s="62"/>
      <c r="AQ120" s="62"/>
      <c r="AR120" s="62"/>
      <c r="AS120" s="169"/>
      <c r="AT120" s="62"/>
      <c r="AU120" s="62"/>
      <c r="AV120" s="62"/>
      <c r="AW120" s="62"/>
    </row>
    <row r="121" spans="2:49">
      <c r="AH121" s="62"/>
      <c r="AJ121" s="62"/>
      <c r="AK121" s="62"/>
      <c r="AL121" s="62"/>
      <c r="AM121" s="62"/>
      <c r="AN121" s="62"/>
      <c r="AO121" s="62"/>
      <c r="AP121" s="62"/>
      <c r="AQ121" s="62"/>
      <c r="AR121" s="62"/>
      <c r="AS121" s="169"/>
      <c r="AT121" s="62"/>
      <c r="AU121" s="62"/>
      <c r="AV121" s="62"/>
      <c r="AW121" s="62"/>
    </row>
    <row r="122" spans="2:49">
      <c r="AH122" s="62"/>
      <c r="AJ122" s="62"/>
      <c r="AK122" s="62"/>
      <c r="AL122" s="62"/>
      <c r="AM122" s="62"/>
      <c r="AN122" s="62"/>
      <c r="AO122" s="62"/>
      <c r="AP122" s="62"/>
      <c r="AQ122" s="62"/>
      <c r="AR122" s="62"/>
      <c r="AS122" s="169"/>
      <c r="AT122" s="62"/>
      <c r="AU122" s="62"/>
      <c r="AV122" s="62"/>
      <c r="AW122" s="62"/>
    </row>
    <row r="123" spans="2:49">
      <c r="AH123" s="62"/>
      <c r="AJ123" s="62"/>
      <c r="AK123" s="62"/>
      <c r="AL123" s="62"/>
      <c r="AM123" s="62"/>
      <c r="AN123" s="62"/>
      <c r="AO123" s="62"/>
      <c r="AP123" s="62"/>
      <c r="AQ123" s="62"/>
      <c r="AR123" s="62"/>
      <c r="AS123" s="169"/>
      <c r="AT123" s="62"/>
      <c r="AU123" s="62"/>
      <c r="AV123" s="62"/>
      <c r="AW123" s="62"/>
    </row>
    <row r="124" spans="2:49">
      <c r="AH124" s="62"/>
      <c r="AJ124" s="62"/>
      <c r="AK124" s="62"/>
      <c r="AL124" s="62"/>
      <c r="AM124" s="62"/>
      <c r="AN124" s="62"/>
      <c r="AO124" s="62"/>
      <c r="AP124" s="62"/>
      <c r="AQ124" s="62"/>
      <c r="AR124" s="62"/>
      <c r="AS124" s="169"/>
      <c r="AT124" s="62"/>
      <c r="AU124" s="62"/>
      <c r="AV124" s="62"/>
      <c r="AW124" s="62"/>
    </row>
    <row r="125" spans="2:49">
      <c r="AH125" s="62"/>
      <c r="AJ125" s="62"/>
      <c r="AK125" s="62"/>
      <c r="AL125" s="62"/>
      <c r="AM125" s="62"/>
      <c r="AN125" s="62"/>
      <c r="AO125" s="62"/>
      <c r="AP125" s="62"/>
      <c r="AQ125" s="62"/>
      <c r="AR125" s="62"/>
      <c r="AS125" s="169"/>
      <c r="AT125" s="62"/>
      <c r="AU125" s="62"/>
      <c r="AV125" s="62"/>
      <c r="AW125" s="62"/>
    </row>
    <row r="126" spans="2:49">
      <c r="AH126" s="62"/>
      <c r="AJ126" s="62"/>
      <c r="AK126" s="62"/>
      <c r="AL126" s="62"/>
      <c r="AM126" s="62"/>
      <c r="AN126" s="62"/>
      <c r="AO126" s="62"/>
      <c r="AP126" s="62"/>
      <c r="AQ126" s="62"/>
      <c r="AR126" s="62"/>
      <c r="AS126" s="169"/>
      <c r="AT126" s="62"/>
      <c r="AU126" s="62"/>
      <c r="AV126" s="62"/>
      <c r="AW126" s="62"/>
    </row>
    <row r="127" spans="2:49">
      <c r="AH127" s="62"/>
      <c r="AJ127" s="62"/>
      <c r="AK127" s="62"/>
      <c r="AL127" s="62"/>
      <c r="AM127" s="62"/>
      <c r="AN127" s="62"/>
      <c r="AO127" s="62"/>
      <c r="AP127" s="62"/>
      <c r="AQ127" s="62"/>
      <c r="AR127" s="62"/>
      <c r="AS127" s="169"/>
      <c r="AT127" s="62"/>
      <c r="AU127" s="62"/>
      <c r="AV127" s="62"/>
      <c r="AW127" s="62"/>
    </row>
    <row r="128" spans="2:49">
      <c r="AH128" s="62"/>
      <c r="AJ128" s="62"/>
      <c r="AK128" s="62"/>
      <c r="AL128" s="62"/>
      <c r="AM128" s="62"/>
      <c r="AN128" s="62"/>
      <c r="AO128" s="62"/>
      <c r="AP128" s="62"/>
      <c r="AQ128" s="62"/>
      <c r="AR128" s="62"/>
      <c r="AS128" s="169"/>
      <c r="AT128" s="62"/>
      <c r="AU128" s="62"/>
      <c r="AV128" s="62"/>
      <c r="AW128" s="62"/>
    </row>
  </sheetData>
  <phoneticPr fontId="3" type="noConversion"/>
  <hyperlinks>
    <hyperlink ref="AC74" r:id="rId1" xr:uid="{00000000-0004-0000-0300-000000000000}"/>
    <hyperlink ref="AD74" r:id="rId2" xr:uid="{00000000-0004-0000-0300-000001000000}"/>
    <hyperlink ref="AE74" r:id="rId3" xr:uid="{00000000-0004-0000-0300-000002000000}"/>
  </hyperlinks>
  <pageMargins left="0.75" right="0.75" top="1" bottom="1" header="0.5" footer="0.5"/>
  <pageSetup orientation="portrait" verticalDpi="0" r:id="rId4"/>
  <headerFooter alignWithMargins="0"/>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7"/>
  </sheetPr>
  <dimension ref="A1:AG63"/>
  <sheetViews>
    <sheetView zoomScale="85" workbookViewId="0">
      <pane xSplit="1" ySplit="3" topLeftCell="W40" activePane="bottomRight" state="frozen"/>
      <selection pane="topRight" activeCell="B1" sqref="B1"/>
      <selection pane="bottomLeft" activeCell="A4" sqref="A4"/>
      <selection pane="bottomRight" activeCell="AH17" sqref="AH17"/>
    </sheetView>
  </sheetViews>
  <sheetFormatPr defaultRowHeight="12.75"/>
  <cols>
    <col min="1" max="1" width="21.5703125" customWidth="1"/>
    <col min="2" max="22" width="9.140625" style="2"/>
    <col min="23" max="29" width="8.85546875" style="13" customWidth="1"/>
  </cols>
  <sheetData>
    <row r="1" spans="1:33">
      <c r="B1" s="125"/>
      <c r="C1" s="125"/>
      <c r="D1" s="125"/>
      <c r="E1" s="125"/>
      <c r="F1" s="125"/>
      <c r="G1" s="125"/>
      <c r="H1" s="125"/>
      <c r="I1" s="125"/>
      <c r="J1" s="125"/>
      <c r="K1" s="125"/>
      <c r="L1" s="125"/>
      <c r="M1" s="125"/>
      <c r="N1" s="125"/>
      <c r="O1" s="125"/>
      <c r="P1" s="125"/>
      <c r="Q1" s="125"/>
      <c r="R1" s="125"/>
      <c r="S1" s="125"/>
      <c r="T1" s="125"/>
      <c r="U1" s="125"/>
      <c r="V1" s="125"/>
      <c r="W1" s="126"/>
      <c r="X1" s="126"/>
      <c r="Y1" s="126"/>
      <c r="Z1" s="126"/>
      <c r="AA1" s="126"/>
      <c r="AB1" s="126"/>
      <c r="AC1" s="126"/>
    </row>
    <row r="2" spans="1:33">
      <c r="B2" s="125"/>
      <c r="C2" s="125"/>
      <c r="D2" s="125"/>
      <c r="E2" s="125"/>
      <c r="F2" s="125"/>
      <c r="G2" s="125"/>
      <c r="H2" s="125"/>
      <c r="I2" s="125"/>
      <c r="J2" s="125"/>
      <c r="K2" s="125"/>
      <c r="L2" s="125"/>
      <c r="M2" s="125"/>
      <c r="N2" s="125"/>
      <c r="O2" s="125"/>
      <c r="P2" s="125"/>
      <c r="Q2" s="125"/>
      <c r="R2" s="125"/>
      <c r="S2" s="125"/>
      <c r="T2" s="125"/>
      <c r="U2" s="125"/>
      <c r="V2" s="125"/>
      <c r="W2" s="126"/>
      <c r="X2" s="126"/>
      <c r="Y2" s="126"/>
      <c r="Z2" s="126"/>
      <c r="AA2" s="126"/>
      <c r="AB2" s="126"/>
      <c r="AC2" s="126"/>
    </row>
    <row r="3" spans="1:33" s="123" customFormat="1">
      <c r="A3" s="172" t="s">
        <v>2</v>
      </c>
      <c r="B3" s="95" t="s">
        <v>7</v>
      </c>
      <c r="C3" s="95" t="s">
        <v>8</v>
      </c>
      <c r="D3" s="95" t="s">
        <v>9</v>
      </c>
      <c r="E3" s="95" t="s">
        <v>10</v>
      </c>
      <c r="F3" s="95" t="s">
        <v>11</v>
      </c>
      <c r="G3" s="95" t="s">
        <v>12</v>
      </c>
      <c r="H3" s="95" t="s">
        <v>13</v>
      </c>
      <c r="I3" s="95" t="s">
        <v>14</v>
      </c>
      <c r="J3" s="95" t="s">
        <v>15</v>
      </c>
      <c r="K3" s="95" t="s">
        <v>16</v>
      </c>
      <c r="L3" s="95" t="s">
        <v>17</v>
      </c>
      <c r="M3" s="195" t="s">
        <v>177</v>
      </c>
      <c r="N3" s="195" t="s">
        <v>114</v>
      </c>
      <c r="O3" s="195" t="s">
        <v>115</v>
      </c>
      <c r="P3" s="101" t="s">
        <v>132</v>
      </c>
      <c r="Q3" s="196" t="s">
        <v>136</v>
      </c>
      <c r="R3" s="101" t="s">
        <v>141</v>
      </c>
      <c r="S3" s="101" t="s">
        <v>192</v>
      </c>
      <c r="T3" s="196" t="s">
        <v>193</v>
      </c>
      <c r="U3" s="196" t="s">
        <v>202</v>
      </c>
      <c r="V3" s="196" t="s">
        <v>203</v>
      </c>
      <c r="W3" s="196" t="s">
        <v>204</v>
      </c>
      <c r="X3" s="196" t="s">
        <v>207</v>
      </c>
      <c r="Y3" s="196" t="s">
        <v>209</v>
      </c>
      <c r="Z3" s="196" t="s">
        <v>213</v>
      </c>
      <c r="AA3" s="196" t="s">
        <v>220</v>
      </c>
      <c r="AB3" s="196" t="s">
        <v>233</v>
      </c>
      <c r="AC3" s="196" t="s">
        <v>238</v>
      </c>
      <c r="AD3" s="242" t="s">
        <v>240</v>
      </c>
      <c r="AE3" s="242" t="s">
        <v>247</v>
      </c>
      <c r="AF3" s="242" t="s">
        <v>250</v>
      </c>
      <c r="AG3" s="233" t="s">
        <v>252</v>
      </c>
    </row>
    <row r="4" spans="1:33">
      <c r="A4" s="22" t="s">
        <v>214</v>
      </c>
      <c r="B4" s="198">
        <f>('Perkins Loans'!B4*1000)/'Perkins Loans'!AH4</f>
        <v>889.4928139933279</v>
      </c>
      <c r="C4" s="198">
        <f>('Perkins Loans'!C4*1000)/'Perkins Loans'!AI4</f>
        <v>245.13869772027425</v>
      </c>
      <c r="D4" s="198">
        <f>('Perkins Loans'!D4*1000)/'Perkins Loans'!AJ4</f>
        <v>1074.8881995854729</v>
      </c>
      <c r="E4" s="198">
        <f>('Perkins Loans'!E4*1000)/'Perkins Loans'!AK4</f>
        <v>1204.5207548363674</v>
      </c>
      <c r="F4" s="198">
        <f>('Perkins Loans'!F4*1000)/'Perkins Loans'!AL4</f>
        <v>1277.0668048420171</v>
      </c>
      <c r="G4" s="198">
        <f>('Perkins Loans'!G4*1000)/'Perkins Loans'!AM4</f>
        <v>1306.0698242748956</v>
      </c>
      <c r="H4" s="198">
        <f>('Perkins Loans'!H4*1000)/'Perkins Loans'!AN4</f>
        <v>1328.2781118262358</v>
      </c>
      <c r="I4" s="198">
        <f>('Perkins Loans'!I4*1000)/'Perkins Loans'!AO4</f>
        <v>1337.5132297334544</v>
      </c>
      <c r="J4" s="199">
        <f>('Perkins Loans'!J4*1000)/'Perkins Loans'!AP4</f>
        <v>1345.9840380416556</v>
      </c>
      <c r="K4" s="198">
        <f>('Perkins Loans'!K4*1000)/'Perkins Loans'!AQ4</f>
        <v>1354.7817169223274</v>
      </c>
      <c r="L4" s="198">
        <f>('Perkins Loans'!L4*1000)/'Perkins Loans'!AR4</f>
        <v>1477.6193723082954</v>
      </c>
      <c r="M4" s="198">
        <f>('Perkins Loans'!M4*1000)/'Perkins Loans'!AS4</f>
        <v>1503.1964653100611</v>
      </c>
      <c r="N4" s="198">
        <f>('Perkins Loans'!N4*1000)/'Perkins Loans'!AT4</f>
        <v>1528.2995866277847</v>
      </c>
      <c r="O4" s="198">
        <f>('Perkins Loans'!O4*1000)/'Perkins Loans'!AU4</f>
        <v>1578.4223397263549</v>
      </c>
      <c r="P4" s="198">
        <f>('Perkins Loans'!P4*1000)/'Perkins Loans'!AV4</f>
        <v>1613.5326140792249</v>
      </c>
      <c r="Q4" s="198">
        <f>('Perkins Loans'!Q4*1000)/'Perkins Loans'!AW4</f>
        <v>1693.2437788502536</v>
      </c>
      <c r="R4" s="198">
        <f>('Perkins Loans'!R4*1000)/'Perkins Loans'!AX4</f>
        <v>1796.395791398375</v>
      </c>
      <c r="S4" s="198">
        <f>('Perkins Loans'!S4*1000)/'Perkins Loans'!AY4</f>
        <v>1881.4315214474764</v>
      </c>
      <c r="T4" s="198">
        <f>('Perkins Loans'!T4*1000)/'Perkins Loans'!AZ4</f>
        <v>2010.1282536690785</v>
      </c>
      <c r="U4" s="198">
        <f>('Perkins Loans'!U4*1000)/'Perkins Loans'!BA4</f>
        <v>2173.0195939160567</v>
      </c>
      <c r="V4" s="198">
        <f>('Perkins Loans'!V4*1000)/'Perkins Loans'!BB4</f>
        <v>2209.8771930295338</v>
      </c>
      <c r="W4" s="198">
        <f>('Perkins Loans'!W4*1000)/'Perkins Loans'!BC4</f>
        <v>2194.8116848074255</v>
      </c>
      <c r="X4" s="198">
        <f>('Perkins Loans'!X4*1000)/'Perkins Loans'!BD4</f>
        <v>2233.4815755683571</v>
      </c>
      <c r="Y4" s="198">
        <f>('Perkins Loans'!Y4*1000)/'Perkins Loans'!BE4</f>
        <v>2126.4271423597315</v>
      </c>
      <c r="Z4" s="198">
        <f>('Perkins Loans'!Z4*1000)/'Perkins Loans'!BF4</f>
        <v>1969.3759366227985</v>
      </c>
      <c r="AA4" s="198">
        <f>('Perkins Loans'!AA4*1000)/'Perkins Loans'!BG4</f>
        <v>1852.3062288210558</v>
      </c>
      <c r="AB4" s="198">
        <f>('Perkins Loans'!AB4*1000)/'Perkins Loans'!BH4</f>
        <v>1860.4041285181054</v>
      </c>
      <c r="AC4" s="198">
        <f>('Perkins Loans'!AC4*1000)/'Perkins Loans'!BI4</f>
        <v>1960.0759813060879</v>
      </c>
      <c r="AD4" s="198">
        <f>('Perkins Loans'!AD4*1000)/'Perkins Loans'!BJ4</f>
        <v>2024.73676929718</v>
      </c>
      <c r="AE4" s="198">
        <f>('Perkins Loans'!AE4*1000)/'Perkins Loans'!BK4</f>
        <v>2173.8965492248394</v>
      </c>
      <c r="AF4" s="198">
        <f>('Perkins Loans'!AF4*1000)/'Perkins Loans'!BL4</f>
        <v>2199.3672097311492</v>
      </c>
      <c r="AG4" s="198">
        <f>('Perkins Loans'!AG4*1000)/'Perkins Loans'!BM4</f>
        <v>2479.5317716070181</v>
      </c>
    </row>
    <row r="5" spans="1:33">
      <c r="A5" s="26" t="s">
        <v>116</v>
      </c>
      <c r="B5" s="200">
        <f>('Perkins Loans'!B5*1000)/'Perkins Loans'!AH5</f>
        <v>856.57876098771055</v>
      </c>
      <c r="C5" s="200">
        <f>('Perkins Loans'!C5*1000)/'Perkins Loans'!AI5</f>
        <v>274.26390481357873</v>
      </c>
      <c r="D5" s="200">
        <f>('Perkins Loans'!D5*1000)/'Perkins Loans'!AJ5</f>
        <v>1086.4987869635718</v>
      </c>
      <c r="E5" s="200">
        <f>('Perkins Loans'!E5*1000)/'Perkins Loans'!AK5</f>
        <v>1214.047383828527</v>
      </c>
      <c r="F5" s="200">
        <f>('Perkins Loans'!F5*1000)/'Perkins Loans'!AL5</f>
        <v>1299.2395732798002</v>
      </c>
      <c r="G5" s="200">
        <f>('Perkins Loans'!G5*1000)/'Perkins Loans'!AM5</f>
        <v>1325.8841004870417</v>
      </c>
      <c r="H5" s="200">
        <f>('Perkins Loans'!H5*1000)/'Perkins Loans'!AN5</f>
        <v>1377.8689439435952</v>
      </c>
      <c r="I5" s="200">
        <f>('Perkins Loans'!I5*1000)/'Perkins Loans'!AO5</f>
        <v>1396.5903620467291</v>
      </c>
      <c r="J5" s="200">
        <f>('Perkins Loans'!J5*1000)/'Perkins Loans'!AP5</f>
        <v>1441.0144657914095</v>
      </c>
      <c r="K5" s="200">
        <f>('Perkins Loans'!K5*1000)/'Perkins Loans'!AQ5</f>
        <v>1571.6666422174467</v>
      </c>
      <c r="L5" s="200">
        <f>('Perkins Loans'!L5*1000)/'Perkins Loans'!AR5</f>
        <v>1605.3180530027314</v>
      </c>
      <c r="M5" s="200">
        <f>('Perkins Loans'!M5*1000)/'Perkins Loans'!AS5</f>
        <v>1629.5269317997731</v>
      </c>
      <c r="N5" s="200">
        <f>('Perkins Loans'!N5*1000)/'Perkins Loans'!AT5</f>
        <v>1654.0057681058549</v>
      </c>
      <c r="O5" s="200">
        <f>('Perkins Loans'!O5*1000)/'Perkins Loans'!AU5</f>
        <v>1712.4036695250952</v>
      </c>
      <c r="P5" s="200">
        <f>('Perkins Loans'!P5*1000)/'Perkins Loans'!AV5</f>
        <v>1734.5951079410086</v>
      </c>
      <c r="Q5" s="200">
        <f>('Perkins Loans'!Q5*1000)/'Perkins Loans'!AW5</f>
        <v>1873.7204349086235</v>
      </c>
      <c r="R5" s="200">
        <f>('Perkins Loans'!R5*1000)/'Perkins Loans'!AX5</f>
        <v>1993.3399022495139</v>
      </c>
      <c r="S5" s="200">
        <f>('Perkins Loans'!S5*1000)/'Perkins Loans'!AY5</f>
        <v>2065.4380005944267</v>
      </c>
      <c r="T5" s="200">
        <f>('Perkins Loans'!T5*1000)/'Perkins Loans'!AZ5</f>
        <v>2241.7493224367254</v>
      </c>
      <c r="U5" s="200">
        <f>('Perkins Loans'!U5*1000)/'Perkins Loans'!BA5</f>
        <v>2353.2900770294036</v>
      </c>
      <c r="V5" s="200">
        <f>('Perkins Loans'!V5*1000)/'Perkins Loans'!BB5</f>
        <v>2465.0710651926001</v>
      </c>
      <c r="W5" s="200">
        <f>('Perkins Loans'!W5*1000)/'Perkins Loans'!BC5</f>
        <v>2468.4108502383938</v>
      </c>
      <c r="X5" s="200">
        <f>('Perkins Loans'!X5*1000)/'Perkins Loans'!BD5</f>
        <v>2527.1209208714381</v>
      </c>
      <c r="Y5" s="200">
        <f>('Perkins Loans'!Y5*1000)/'Perkins Loans'!BE5</f>
        <v>2465.4889720837041</v>
      </c>
      <c r="Z5" s="200">
        <f>('Perkins Loans'!Z5*1000)/'Perkins Loans'!BF5</f>
        <v>2373.151380871655</v>
      </c>
      <c r="AA5" s="200">
        <f>('Perkins Loans'!AA5*1000)/'Perkins Loans'!BG5</f>
        <v>2279.6264032950744</v>
      </c>
      <c r="AB5" s="200">
        <f>('Perkins Loans'!AB5*1000)/'Perkins Loans'!BH5</f>
        <v>2282.7243967551817</v>
      </c>
      <c r="AC5" s="200">
        <f>('Perkins Loans'!AC5*1000)/'Perkins Loans'!BI5</f>
        <v>2399.4108699573139</v>
      </c>
      <c r="AD5" s="200">
        <f>('Perkins Loans'!AD5*1000)/'Perkins Loans'!BJ5</f>
        <v>2583.3088451907493</v>
      </c>
      <c r="AE5" s="200">
        <f>('Perkins Loans'!AE5*1000)/'Perkins Loans'!BK5</f>
        <v>2650.3771035863087</v>
      </c>
      <c r="AF5" s="200">
        <f>('Perkins Loans'!AF5*1000)/'Perkins Loans'!BL5</f>
        <v>2713.6267863863654</v>
      </c>
      <c r="AG5" s="200">
        <f>('Perkins Loans'!AG5*1000)/'Perkins Loans'!BM5</f>
        <v>3089.0398535114173</v>
      </c>
    </row>
    <row r="6" spans="1:33" s="175" customFormat="1">
      <c r="A6" s="173" t="s">
        <v>215</v>
      </c>
      <c r="B6" s="197">
        <f t="shared" ref="B6:O6" si="0">(B5/B4)*100</f>
        <v>96.29968309042863</v>
      </c>
      <c r="C6" s="197">
        <f t="shared" si="0"/>
        <v>111.8811135753601</v>
      </c>
      <c r="D6" s="197">
        <f t="shared" si="0"/>
        <v>101.08016697760533</v>
      </c>
      <c r="E6" s="197">
        <f t="shared" si="0"/>
        <v>100.79090617192843</v>
      </c>
      <c r="F6" s="197">
        <f t="shared" si="0"/>
        <v>101.73622619848193</v>
      </c>
      <c r="G6" s="197">
        <f t="shared" si="0"/>
        <v>101.51709164731271</v>
      </c>
      <c r="H6" s="197">
        <f t="shared" si="0"/>
        <v>103.73346753784701</v>
      </c>
      <c r="I6" s="197">
        <f t="shared" si="0"/>
        <v>104.41693816554232</v>
      </c>
      <c r="J6" s="197">
        <f t="shared" si="0"/>
        <v>107.06029381210335</v>
      </c>
      <c r="K6" s="197">
        <f t="shared" si="0"/>
        <v>116.00884648693217</v>
      </c>
      <c r="L6" s="197">
        <f t="shared" si="0"/>
        <v>108.6421904779814</v>
      </c>
      <c r="M6" s="197">
        <f t="shared" si="0"/>
        <v>108.40412210945787</v>
      </c>
      <c r="N6" s="197">
        <f t="shared" si="0"/>
        <v>108.22523166125058</v>
      </c>
      <c r="O6" s="197">
        <f t="shared" si="0"/>
        <v>108.48830673683749</v>
      </c>
      <c r="P6" s="197">
        <f t="shared" ref="P6" si="1">(P5/P4)*100</f>
        <v>107.50294681405425</v>
      </c>
      <c r="Q6" s="197">
        <f t="shared" ref="Q6" si="2">(Q5/Q4)*100</f>
        <v>110.6586339375726</v>
      </c>
      <c r="R6" s="197">
        <f t="shared" ref="R6" si="3">(R5/R4)*100</f>
        <v>110.96329170855111</v>
      </c>
      <c r="S6" s="197">
        <f t="shared" ref="S6" si="4">(S5/S4)*100</f>
        <v>109.78013162048998</v>
      </c>
      <c r="T6" s="197">
        <f t="shared" ref="T6" si="5">(T5/T4)*100</f>
        <v>111.52270101894592</v>
      </c>
      <c r="U6" s="197">
        <f t="shared" ref="U6" si="6">(U5/U4)*100</f>
        <v>108.29585170874951</v>
      </c>
      <c r="V6" s="197">
        <f t="shared" ref="V6" si="7">(V5/V4)*100</f>
        <v>111.54787573571994</v>
      </c>
      <c r="W6" s="197">
        <f t="shared" ref="W6" si="8">(W5/W4)*100</f>
        <v>112.46572393088815</v>
      </c>
      <c r="X6" s="197">
        <f t="shared" ref="X6" si="9">(X5/X4)*100</f>
        <v>113.14715771623763</v>
      </c>
      <c r="Y6" s="197">
        <f t="shared" ref="Y6" si="10">(Y5/Y4)*100</f>
        <v>115.94514211042801</v>
      </c>
      <c r="Z6" s="197">
        <f t="shared" ref="Z6" si="11">(Z5/Z4)*100</f>
        <v>120.50271036322675</v>
      </c>
      <c r="AA6" s="197">
        <f t="shared" ref="AA6:AB6" si="12">(AA5/AA4)*100</f>
        <v>123.06962897522602</v>
      </c>
      <c r="AB6" s="197">
        <f t="shared" si="12"/>
        <v>122.70045855969333</v>
      </c>
      <c r="AC6" s="197">
        <f t="shared" ref="AC6:AD6" si="13">(AC5/AC4)*100</f>
        <v>122.41417643200123</v>
      </c>
      <c r="AD6" s="197">
        <f t="shared" si="13"/>
        <v>127.58739231507408</v>
      </c>
      <c r="AE6" s="197">
        <f t="shared" ref="AE6:AF6" si="14">(AE5/AE4)*100</f>
        <v>121.91827180237125</v>
      </c>
      <c r="AF6" s="197">
        <f t="shared" si="14"/>
        <v>123.38216075877931</v>
      </c>
      <c r="AG6" s="197">
        <f t="shared" ref="AG6" si="15">(AG5/AG4)*100</f>
        <v>124.58157983228297</v>
      </c>
    </row>
    <row r="7" spans="1:33">
      <c r="A7" s="25" t="s">
        <v>18</v>
      </c>
      <c r="B7" s="200">
        <f>('Perkins Loans'!B7*1000)/'Perkins Loans'!AH7</f>
        <v>817.72030651340992</v>
      </c>
      <c r="C7" s="200">
        <f>('Perkins Loans'!C7*1000)/'Perkins Loans'!AI7</f>
        <v>250.80818965517241</v>
      </c>
      <c r="D7" s="200">
        <f>('Perkins Loans'!D7*1000)/'Perkins Loans'!AJ7</f>
        <v>1067.9275746742014</v>
      </c>
      <c r="E7" s="200">
        <f>('Perkins Loans'!E7*1000)/'Perkins Loans'!AK7</f>
        <v>1280.6890561667631</v>
      </c>
      <c r="F7" s="200">
        <f>('Perkins Loans'!F7*1000)/'Perkins Loans'!AL7</f>
        <v>1363.2455668995165</v>
      </c>
      <c r="G7" s="200">
        <f>('Perkins Loans'!G7*1000)/'Perkins Loans'!AM7</f>
        <v>1435.4370943239885</v>
      </c>
      <c r="H7" s="200">
        <f>('Perkins Loans'!H7*1000)/'Perkins Loans'!AN7</f>
        <v>1408.9627076151676</v>
      </c>
      <c r="I7" s="200">
        <f>('Perkins Loans'!I7*1000)/'Perkins Loans'!AO7</f>
        <v>1412.688240948414</v>
      </c>
      <c r="J7" s="200">
        <f>('Perkins Loans'!J7*1000)/'Perkins Loans'!AP7</f>
        <v>1498.5182746131049</v>
      </c>
      <c r="K7" s="200">
        <f>('Perkins Loans'!K7*1000)/'Perkins Loans'!AQ7</f>
        <v>1629.2335115864528</v>
      </c>
      <c r="L7" s="200">
        <f>('Perkins Loans'!L7*1000)/'Perkins Loans'!AR7</f>
        <v>1683.9990313206329</v>
      </c>
      <c r="M7" s="200">
        <f>('Perkins Loans'!M7*1000)/'Perkins Loans'!AS7</f>
        <v>1616.5197704582972</v>
      </c>
      <c r="N7" s="200">
        <f>('Perkins Loans'!N7*1000)/'Perkins Loans'!AT7</f>
        <v>1552.4832235330166</v>
      </c>
      <c r="O7" s="200">
        <f>('Perkins Loans'!O7*1000)/'Perkins Loans'!AU7</f>
        <v>1612.2443250736442</v>
      </c>
      <c r="P7" s="200">
        <f>('Perkins Loans'!P7*1000)/'Perkins Loans'!AV7</f>
        <v>1810.3287424167897</v>
      </c>
      <c r="Q7" s="200">
        <f>('Perkins Loans'!Q7*1000)/'Perkins Loans'!AW7</f>
        <v>1988.4478253679511</v>
      </c>
      <c r="R7" s="200">
        <f>('Perkins Loans'!R7*1000)/'Perkins Loans'!AX7</f>
        <v>2059.0041982883899</v>
      </c>
      <c r="S7" s="200">
        <f>('Perkins Loans'!S7*1000)/'Perkins Loans'!AY7</f>
        <v>2047.5497237569061</v>
      </c>
      <c r="T7" s="200">
        <f>('Perkins Loans'!T7*1000)/'Perkins Loans'!AZ7</f>
        <v>2008.0555318846755</v>
      </c>
      <c r="U7" s="200">
        <f>('Perkins Loans'!U7*1000)/'Perkins Loans'!BA7</f>
        <v>2115.6405309461338</v>
      </c>
      <c r="V7" s="200">
        <f>('Perkins Loans'!V7*1000)/'Perkins Loans'!BB7</f>
        <v>2284.1915678101955</v>
      </c>
      <c r="W7" s="200">
        <f>('Perkins Loans'!W7*1000)/'Perkins Loans'!BC7</f>
        <v>2364.7031984235259</v>
      </c>
      <c r="X7" s="200">
        <f>('Perkins Loans'!X7*1000)/'Perkins Loans'!BD7</f>
        <v>2429.5107719928187</v>
      </c>
      <c r="Y7" s="200">
        <f>('Perkins Loans'!Y7*1000)/'Perkins Loans'!BE7</f>
        <v>2297.0113600995955</v>
      </c>
      <c r="Z7" s="200">
        <f>('Perkins Loans'!Z7*1000)/'Perkins Loans'!BF7</f>
        <v>2564.3853379152347</v>
      </c>
      <c r="AA7" s="200">
        <f>('Perkins Loans'!AA7*1000)/'Perkins Loans'!BG7</f>
        <v>2332.2375437651494</v>
      </c>
      <c r="AB7" s="200">
        <f>('Perkins Loans'!AB7*1000)/'Perkins Loans'!BH7</f>
        <v>2499.9404558404558</v>
      </c>
      <c r="AC7" s="200">
        <f>('Perkins Loans'!AC7*1000)/'Perkins Loans'!BI7</f>
        <v>2612.522219300552</v>
      </c>
      <c r="AD7" s="200">
        <f>('Perkins Loans'!AD7*1000)/'Perkins Loans'!BJ7</f>
        <v>2613.3157752566181</v>
      </c>
      <c r="AE7" s="200">
        <f>('Perkins Loans'!AE7*1000)/'Perkins Loans'!BK7</f>
        <v>2724.3883073780953</v>
      </c>
      <c r="AF7" s="200">
        <f>('Perkins Loans'!AF7*1000)/'Perkins Loans'!BL7</f>
        <v>2746.1152095808384</v>
      </c>
      <c r="AG7" s="200">
        <f>('Perkins Loans'!AG7*1000)/'Perkins Loans'!BM7</f>
        <v>2854.532196969697</v>
      </c>
    </row>
    <row r="8" spans="1:33">
      <c r="A8" s="25" t="s">
        <v>19</v>
      </c>
      <c r="B8" s="200">
        <f>('Perkins Loans'!B8*1000)/'Perkins Loans'!AH8</f>
        <v>787.95892968263843</v>
      </c>
      <c r="C8" s="200">
        <f>('Perkins Loans'!C8*1000)/'Perkins Loans'!AI8</f>
        <v>264.82873851294903</v>
      </c>
      <c r="D8" s="200">
        <f>('Perkins Loans'!D8*1000)/'Perkins Loans'!AJ8</f>
        <v>961.12504478681478</v>
      </c>
      <c r="E8" s="200">
        <f>('Perkins Loans'!E8*1000)/'Perkins Loans'!AK8</f>
        <v>1104.3579896476874</v>
      </c>
      <c r="F8" s="200">
        <f>('Perkins Loans'!F8*1000)/'Perkins Loans'!AL8</f>
        <v>1106.3446286950252</v>
      </c>
      <c r="G8" s="200">
        <f>('Perkins Loans'!G8*1000)/'Perkins Loans'!AM8</f>
        <v>910.11078390127614</v>
      </c>
      <c r="H8" s="200">
        <f>('Perkins Loans'!H8*1000)/'Perkins Loans'!AN8</f>
        <v>1310.8756497401039</v>
      </c>
      <c r="I8" s="200">
        <f>('Perkins Loans'!I8*1000)/'Perkins Loans'!AO8</f>
        <v>1192.7947598253274</v>
      </c>
      <c r="J8" s="200">
        <f>('Perkins Loans'!J8*1000)/'Perkins Loans'!AP8</f>
        <v>1437.7602961591856</v>
      </c>
      <c r="K8" s="200">
        <f>('Perkins Loans'!K8*1000)/'Perkins Loans'!AQ8</f>
        <v>1548.8304798649626</v>
      </c>
      <c r="L8" s="200">
        <f>('Perkins Loans'!L8*1000)/'Perkins Loans'!AR8</f>
        <v>1628.2918529557874</v>
      </c>
      <c r="M8" s="200">
        <f>('Perkins Loans'!M8*1000)/'Perkins Loans'!AS8</f>
        <v>1631.7688098495212</v>
      </c>
      <c r="N8" s="200">
        <f>('Perkins Loans'!N8*1000)/'Perkins Loans'!AT8</f>
        <v>1635.255292652553</v>
      </c>
      <c r="O8" s="200">
        <f>('Perkins Loans'!O8*1000)/'Perkins Loans'!AU8</f>
        <v>1698.2330956478977</v>
      </c>
      <c r="P8" s="200">
        <f>('Perkins Loans'!P8*1000)/'Perkins Loans'!AV8</f>
        <v>1687.4476987447699</v>
      </c>
      <c r="Q8" s="200">
        <f>('Perkins Loans'!Q8*1000)/'Perkins Loans'!AW8</f>
        <v>1761.2338280593672</v>
      </c>
      <c r="R8" s="200">
        <f>('Perkins Loans'!R8*1000)/'Perkins Loans'!AX8</f>
        <v>1626.6981402002862</v>
      </c>
      <c r="S8" s="200">
        <f>('Perkins Loans'!S8*1000)/'Perkins Loans'!AY8</f>
        <v>1618.2115831748044</v>
      </c>
      <c r="T8" s="200">
        <f>('Perkins Loans'!T8*1000)/'Perkins Loans'!AZ8</f>
        <v>1770.9283295711061</v>
      </c>
      <c r="U8" s="200">
        <f>('Perkins Loans'!U8*1000)/'Perkins Loans'!BA8</f>
        <v>2098.3085148514851</v>
      </c>
      <c r="V8" s="200">
        <f>('Perkins Loans'!V8*1000)/'Perkins Loans'!BB8</f>
        <v>1983.0563982055116</v>
      </c>
      <c r="W8" s="200">
        <f>('Perkins Loans'!W8*1000)/'Perkins Loans'!BC8</f>
        <v>2055.9459347915808</v>
      </c>
      <c r="X8" s="200">
        <f>('Perkins Loans'!X8*1000)/'Perkins Loans'!BD8</f>
        <v>2146.4899777282849</v>
      </c>
      <c r="Y8" s="200">
        <f>('Perkins Loans'!Y8*1000)/'Perkins Loans'!BE8</f>
        <v>2274.1319148936168</v>
      </c>
      <c r="Z8" s="200">
        <f>('Perkins Loans'!Z8*1000)/'Perkins Loans'!BF8</f>
        <v>2179.872009569378</v>
      </c>
      <c r="AA8" s="200">
        <f>('Perkins Loans'!AA8*1000)/'Perkins Loans'!BG8</f>
        <v>2298.9571020019066</v>
      </c>
      <c r="AB8" s="200">
        <f>('Perkins Loans'!AB8*1000)/'Perkins Loans'!BH8</f>
        <v>2363.3214285714284</v>
      </c>
      <c r="AC8" s="200">
        <f>('Perkins Loans'!AC8*1000)/'Perkins Loans'!BI8</f>
        <v>2477.2148648648649</v>
      </c>
      <c r="AD8" s="200">
        <f>('Perkins Loans'!AD8*1000)/'Perkins Loans'!BJ8</f>
        <v>2494.8732517482517</v>
      </c>
      <c r="AE8" s="200">
        <f>('Perkins Loans'!AE8*1000)/'Perkins Loans'!BK8</f>
        <v>2738.2714285714287</v>
      </c>
      <c r="AF8" s="200">
        <f>('Perkins Loans'!AF8*1000)/'Perkins Loans'!BL8</f>
        <v>2790.9895456373142</v>
      </c>
      <c r="AG8" s="200">
        <f>('Perkins Loans'!AG8*1000)/'Perkins Loans'!BM8</f>
        <v>2954.5560324272769</v>
      </c>
    </row>
    <row r="9" spans="1:33">
      <c r="A9" s="25" t="s">
        <v>113</v>
      </c>
      <c r="B9" s="200">
        <f>('Perkins Loans'!B9*1000)/'Perkins Loans'!AH9</f>
        <v>854.59341885108756</v>
      </c>
      <c r="C9" s="200">
        <f>('Perkins Loans'!C9*1000)/'Perkins Loans'!AI9</f>
        <v>981.93011049723759</v>
      </c>
      <c r="D9" s="200">
        <f>('Perkins Loans'!D9*1000)/'Perkins Loans'!AJ9</f>
        <v>1106.8970990695129</v>
      </c>
      <c r="E9" s="200">
        <f>('Perkins Loans'!E9*1000)/'Perkins Loans'!AK9</f>
        <v>1232.0697278911564</v>
      </c>
      <c r="F9" s="200">
        <f>('Perkins Loans'!F9*1000)/'Perkins Loans'!AL9</f>
        <v>1378.3018654607122</v>
      </c>
      <c r="G9" s="200">
        <f>('Perkins Loans'!G9*1000)/'Perkins Loans'!AM9</f>
        <v>1457.4365168539325</v>
      </c>
      <c r="H9" s="200">
        <f>('Perkins Loans'!H9*1000)/'Perkins Loans'!AN9</f>
        <v>1506.5394105551748</v>
      </c>
      <c r="I9" s="200">
        <f>('Perkins Loans'!I9*1000)/'Perkins Loans'!AO9</f>
        <v>1491.210449927431</v>
      </c>
      <c r="J9" s="200">
        <f>('Perkins Loans'!J9*1000)/'Perkins Loans'!AP9</f>
        <v>1249.3653979238754</v>
      </c>
      <c r="K9" s="200">
        <f>('Perkins Loans'!K9*1000)/'Perkins Loans'!AQ9</f>
        <v>1248.7469387755102</v>
      </c>
      <c r="L9" s="200">
        <f>('Perkins Loans'!L9*1000)/'Perkins Loans'!AR9</f>
        <v>1403.1477732793524</v>
      </c>
      <c r="M9" s="201">
        <f>('Perkins Loans'!M9*1000)/'Perkins Loans'!AS9</f>
        <v>1358.6263157894737</v>
      </c>
      <c r="N9" s="200">
        <f>('Perkins Loans'!N9*1000)/'Perkins Loans'!AT9</f>
        <v>1320.8798627002288</v>
      </c>
      <c r="O9" s="200">
        <f>('Perkins Loans'!O9*1000)/'Perkins Loans'!AU9</f>
        <v>1438.3962053571429</v>
      </c>
      <c r="P9" s="200">
        <f>('Perkins Loans'!P9*1000)/'Perkins Loans'!AV9</f>
        <v>1333.4613710554952</v>
      </c>
      <c r="Q9" s="200">
        <f>('Perkins Loans'!Q9*1000)/'Perkins Loans'!AW9</f>
        <v>1163.077873254565</v>
      </c>
      <c r="R9" s="200">
        <f>('Perkins Loans'!R9*1000)/'Perkins Loans'!AX9</f>
        <v>1772.117912371134</v>
      </c>
      <c r="S9" s="200">
        <f>('Perkins Loans'!S9*1000)/'Perkins Loans'!AY9</f>
        <v>1767.9663918833228</v>
      </c>
      <c r="T9" s="200">
        <f>('Perkins Loans'!T9*1000)/'Perkins Loans'!AZ9</f>
        <v>1833.526051475204</v>
      </c>
      <c r="U9" s="200">
        <f>('Perkins Loans'!U9*1000)/'Perkins Loans'!BA9</f>
        <v>2101.7547277936965</v>
      </c>
      <c r="V9" s="200">
        <f>('Perkins Loans'!V9*1000)/'Perkins Loans'!BB9</f>
        <v>2046.9617332583005</v>
      </c>
      <c r="W9" s="200">
        <f>('Perkins Loans'!W9*1000)/'Perkins Loans'!BC9</f>
        <v>2055.2368587713745</v>
      </c>
      <c r="X9" s="200">
        <f>('Perkins Loans'!X9*1000)/'Perkins Loans'!BD9</f>
        <v>2212.405734767025</v>
      </c>
      <c r="Y9" s="200">
        <f>('Perkins Loans'!Y9*1000)/'Perkins Loans'!BE9</f>
        <v>2319.8795180722891</v>
      </c>
      <c r="Z9" s="200">
        <f>('Perkins Loans'!Z9*1000)/'Perkins Loans'!BF9</f>
        <v>1730.5487804878048</v>
      </c>
      <c r="AA9" s="200">
        <f>('Perkins Loans'!AA9*1000)/'Perkins Loans'!BG9</f>
        <v>1463.256393442623</v>
      </c>
      <c r="AB9" s="200">
        <f>('Perkins Loans'!AB9*1000)/'Perkins Loans'!BH9</f>
        <v>1790.5614236509759</v>
      </c>
      <c r="AC9" s="200">
        <f>('Perkins Loans'!AC9*1000)/'Perkins Loans'!BI9</f>
        <v>823.02721425037112</v>
      </c>
      <c r="AD9" s="200">
        <f>('Perkins Loans'!AD9*1000)/'Perkins Loans'!BJ9</f>
        <v>1581.3330161750714</v>
      </c>
      <c r="AE9" s="200">
        <f>('Perkins Loans'!AE9*1000)/'Perkins Loans'!BK9</f>
        <v>1396.5291235710397</v>
      </c>
      <c r="AF9" s="200">
        <f>('Perkins Loans'!AF9*1000)/'Perkins Loans'!BL9</f>
        <v>1594.2863534675614</v>
      </c>
      <c r="AG9" s="200">
        <f>('Perkins Loans'!AG9*1000)/'Perkins Loans'!BM9</f>
        <v>1994.01506740682</v>
      </c>
    </row>
    <row r="10" spans="1:33">
      <c r="A10" s="25" t="s">
        <v>20</v>
      </c>
      <c r="B10" s="200">
        <f>('Perkins Loans'!B10*1000)/'Perkins Loans'!AH10</f>
        <v>957.80402170443665</v>
      </c>
      <c r="C10" s="200">
        <f>('Perkins Loans'!C10*1000)/'Perkins Loans'!AI10</f>
        <v>295.16370284194784</v>
      </c>
      <c r="D10" s="200">
        <f>('Perkins Loans'!D10*1000)/'Perkins Loans'!AJ10</f>
        <v>1080.8615049073064</v>
      </c>
      <c r="E10" s="200">
        <f>('Perkins Loans'!E10*1000)/'Perkins Loans'!AK10</f>
        <v>1193.7109453739165</v>
      </c>
      <c r="F10" s="200">
        <f>('Perkins Loans'!F10*1000)/'Perkins Loans'!AL10</f>
        <v>1225.7042253521126</v>
      </c>
      <c r="G10" s="200">
        <f>('Perkins Loans'!G10*1000)/'Perkins Loans'!AM10</f>
        <v>1278.1905332534452</v>
      </c>
      <c r="H10" s="200">
        <f>('Perkins Loans'!H10*1000)/'Perkins Loans'!AN10</f>
        <v>1274.3847487001733</v>
      </c>
      <c r="I10" s="200">
        <f>('Perkins Loans'!I10*1000)/'Perkins Loans'!AO10</f>
        <v>1357.0513252849532</v>
      </c>
      <c r="J10" s="200">
        <f>('Perkins Loans'!J10*1000)/'Perkins Loans'!AP10</f>
        <v>1261.9826646001952</v>
      </c>
      <c r="K10" s="200">
        <f>('Perkins Loans'!K10*1000)/'Perkins Loans'!AQ10</f>
        <v>1331.7612662427425</v>
      </c>
      <c r="L10" s="200">
        <f>('Perkins Loans'!L10*1000)/'Perkins Loans'!AR10</f>
        <v>1328.2408706601907</v>
      </c>
      <c r="M10" s="200">
        <f>('Perkins Loans'!M10*1000)/'Perkins Loans'!AS10</f>
        <v>1364.7248102671686</v>
      </c>
      <c r="N10" s="200">
        <f>('Perkins Loans'!N10*1000)/'Perkins Loans'!AT10</f>
        <v>1403.3880027959585</v>
      </c>
      <c r="O10" s="200">
        <f>('Perkins Loans'!O10*1000)/'Perkins Loans'!AU10</f>
        <v>1443.9042384190125</v>
      </c>
      <c r="P10" s="200">
        <f>('Perkins Loans'!P10*1000)/'Perkins Loans'!AV10</f>
        <v>1475.7136743948395</v>
      </c>
      <c r="Q10" s="200">
        <f>('Perkins Loans'!Q10*1000)/'Perkins Loans'!AW10</f>
        <v>1622.0673280326794</v>
      </c>
      <c r="R10" s="200">
        <f>('Perkins Loans'!R10*1000)/'Perkins Loans'!AX10</f>
        <v>1718.0971733933343</v>
      </c>
      <c r="S10" s="200">
        <f>('Perkins Loans'!S10*1000)/'Perkins Loans'!AY10</f>
        <v>1768.2182292712307</v>
      </c>
      <c r="T10" s="200">
        <f>('Perkins Loans'!T10*1000)/'Perkins Loans'!AZ10</f>
        <v>1895.2153294547422</v>
      </c>
      <c r="U10" s="200">
        <f>('Perkins Loans'!U10*1000)/'Perkins Loans'!BA10</f>
        <v>2120.1364292728008</v>
      </c>
      <c r="V10" s="200">
        <f>('Perkins Loans'!V10*1000)/'Perkins Loans'!BB10</f>
        <v>2165.8557198728918</v>
      </c>
      <c r="W10" s="200">
        <f>('Perkins Loans'!W10*1000)/'Perkins Loans'!BC10</f>
        <v>2256.4662931611961</v>
      </c>
      <c r="X10" s="200">
        <f>('Perkins Loans'!X10*1000)/'Perkins Loans'!BD10</f>
        <v>2328.4581258776971</v>
      </c>
      <c r="Y10" s="200">
        <f>('Perkins Loans'!Y10*1000)/'Perkins Loans'!BE10</f>
        <v>2271.7807939081999</v>
      </c>
      <c r="Z10" s="200">
        <f>('Perkins Loans'!Z10*1000)/'Perkins Loans'!BF10</f>
        <v>2087.5850241545895</v>
      </c>
      <c r="AA10" s="200">
        <f>('Perkins Loans'!AA10*1000)/'Perkins Loans'!BG10</f>
        <v>1909.3290649195949</v>
      </c>
      <c r="AB10" s="200">
        <f>('Perkins Loans'!AB10*1000)/'Perkins Loans'!BH10</f>
        <v>2088.0560649724916</v>
      </c>
      <c r="AC10" s="200">
        <f>('Perkins Loans'!AC10*1000)/'Perkins Loans'!BI10</f>
        <v>2141.8123456790122</v>
      </c>
      <c r="AD10" s="200">
        <f>('Perkins Loans'!AD10*1000)/'Perkins Loans'!BJ10</f>
        <v>2437.1648048048046</v>
      </c>
      <c r="AE10" s="200">
        <f>('Perkins Loans'!AE10*1000)/'Perkins Loans'!BK10</f>
        <v>2473.0121302404768</v>
      </c>
      <c r="AF10" s="200">
        <f>('Perkins Loans'!AF10*1000)/'Perkins Loans'!BL10</f>
        <v>2542.5409055577147</v>
      </c>
      <c r="AG10" s="200">
        <f>('Perkins Loans'!AG10*1000)/'Perkins Loans'!BM10</f>
        <v>3071.2339824587484</v>
      </c>
    </row>
    <row r="11" spans="1:33">
      <c r="A11" s="25" t="s">
        <v>21</v>
      </c>
      <c r="B11" s="200">
        <f>('Perkins Loans'!B11*1000)/'Perkins Loans'!AH11</f>
        <v>751.46718833362968</v>
      </c>
      <c r="C11" s="200">
        <f>('Perkins Loans'!C11*1000)/'Perkins Loans'!AI11</f>
        <v>222.78374394609392</v>
      </c>
      <c r="D11" s="200">
        <f>('Perkins Loans'!D11*1000)/'Perkins Loans'!AJ11</f>
        <v>1060.0739371534196</v>
      </c>
      <c r="E11" s="200">
        <f>('Perkins Loans'!E11*1000)/'Perkins Loans'!AK11</f>
        <v>1149.3344425956739</v>
      </c>
      <c r="F11" s="200">
        <f>('Perkins Loans'!F11*1000)/'Perkins Loans'!AL11</f>
        <v>1295.2856025039123</v>
      </c>
      <c r="G11" s="200">
        <f>('Perkins Loans'!G11*1000)/'Perkins Loans'!AM11</f>
        <v>1257.9704692937082</v>
      </c>
      <c r="H11" s="200">
        <f>('Perkins Loans'!H11*1000)/'Perkins Loans'!AN11</f>
        <v>1455.3232863393291</v>
      </c>
      <c r="I11" s="200">
        <f>('Perkins Loans'!I11*1000)/'Perkins Loans'!AO11</f>
        <v>1462.2222222222222</v>
      </c>
      <c r="J11" s="200">
        <f>('Perkins Loans'!J11*1000)/'Perkins Loans'!AP11</f>
        <v>1531.0755489393375</v>
      </c>
      <c r="K11" s="200">
        <f>('Perkins Loans'!K11*1000)/'Perkins Loans'!AQ11</f>
        <v>1635.0620054481774</v>
      </c>
      <c r="L11" s="200">
        <f>('Perkins Loans'!L11*1000)/'Perkins Loans'!AR11</f>
        <v>1590.0228466707392</v>
      </c>
      <c r="M11" s="200">
        <f>('Perkins Loans'!M11*1000)/'Perkins Loans'!AS11</f>
        <v>1596.0426762449774</v>
      </c>
      <c r="N11" s="200">
        <f>('Perkins Loans'!N11*1000)/'Perkins Loans'!AT11</f>
        <v>1602.0215993204708</v>
      </c>
      <c r="O11" s="200">
        <f>('Perkins Loans'!O11*1000)/'Perkins Loans'!AU11</f>
        <v>1694.2201506358811</v>
      </c>
      <c r="P11" s="200">
        <f>('Perkins Loans'!P11*1000)/'Perkins Loans'!AV11</f>
        <v>1753.2281925075199</v>
      </c>
      <c r="Q11" s="200">
        <f>('Perkins Loans'!Q11*1000)/'Perkins Loans'!AW11</f>
        <v>2024.6996673320027</v>
      </c>
      <c r="R11" s="200">
        <f>('Perkins Loans'!R11*1000)/'Perkins Loans'!AX11</f>
        <v>2163.4833385238244</v>
      </c>
      <c r="S11" s="200">
        <f>('Perkins Loans'!S11*1000)/'Perkins Loans'!AY11</f>
        <v>2275.1669489133501</v>
      </c>
      <c r="T11" s="200">
        <f>('Perkins Loans'!T11*1000)/'Perkins Loans'!AZ11</f>
        <v>2340.8213933849402</v>
      </c>
      <c r="U11" s="200">
        <f>('Perkins Loans'!U11*1000)/'Perkins Loans'!BA11</f>
        <v>2524.1379310344828</v>
      </c>
      <c r="V11" s="200">
        <f>('Perkins Loans'!V11*1000)/'Perkins Loans'!BB11</f>
        <v>2727.6910975152955</v>
      </c>
      <c r="W11" s="200">
        <f>('Perkins Loans'!W11*1000)/'Perkins Loans'!BC11</f>
        <v>2673.3859954478512</v>
      </c>
      <c r="X11" s="200">
        <f>('Perkins Loans'!X11*1000)/'Perkins Loans'!BD11</f>
        <v>2579.30451742796</v>
      </c>
      <c r="Y11" s="200">
        <f>('Perkins Loans'!Y11*1000)/'Perkins Loans'!BE11</f>
        <v>2641.7123231773667</v>
      </c>
      <c r="Z11" s="200">
        <f>('Perkins Loans'!Z11*1000)/'Perkins Loans'!BF11</f>
        <v>2486.8032913843176</v>
      </c>
      <c r="AA11" s="200">
        <f>('Perkins Loans'!AA11*1000)/'Perkins Loans'!BG11</f>
        <v>2099.5233847637414</v>
      </c>
      <c r="AB11" s="200">
        <f>('Perkins Loans'!AB11*1000)/'Perkins Loans'!BH11</f>
        <v>2321.9374355448608</v>
      </c>
      <c r="AC11" s="200">
        <f>('Perkins Loans'!AC11*1000)/'Perkins Loans'!BI11</f>
        <v>2789.228973202441</v>
      </c>
      <c r="AD11" s="200">
        <f>('Perkins Loans'!AD11*1000)/'Perkins Loans'!BJ11</f>
        <v>3200.4929721441349</v>
      </c>
      <c r="AE11" s="200">
        <f>('Perkins Loans'!AE11*1000)/'Perkins Loans'!BK11</f>
        <v>3238.6771390374333</v>
      </c>
      <c r="AF11" s="200">
        <f>('Perkins Loans'!AF11*1000)/'Perkins Loans'!BL11</f>
        <v>3366.3969787023279</v>
      </c>
      <c r="AG11" s="200">
        <f>('Perkins Loans'!AG11*1000)/'Perkins Loans'!BM11</f>
        <v>3857.1397174254316</v>
      </c>
    </row>
    <row r="12" spans="1:33">
      <c r="A12" s="25" t="s">
        <v>22</v>
      </c>
      <c r="B12" s="200">
        <f>('Perkins Loans'!B12*1000)/'Perkins Loans'!AH12</f>
        <v>707.15272978576365</v>
      </c>
      <c r="C12" s="200">
        <f>('Perkins Loans'!C12*1000)/'Perkins Loans'!AI12</f>
        <v>217.0644001307617</v>
      </c>
      <c r="D12" s="200">
        <f>('Perkins Loans'!D12*1000)/'Perkins Loans'!AJ12</f>
        <v>940.7157727768415</v>
      </c>
      <c r="E12" s="200">
        <f>('Perkins Loans'!E12*1000)/'Perkins Loans'!AK12</f>
        <v>1032.608695652174</v>
      </c>
      <c r="F12" s="200">
        <f>('Perkins Loans'!F12*1000)/'Perkins Loans'!AL12</f>
        <v>1061.8864292589028</v>
      </c>
      <c r="G12" s="200">
        <f>('Perkins Loans'!G12*1000)/'Perkins Loans'!AM12</f>
        <v>1107.7447278754951</v>
      </c>
      <c r="H12" s="200">
        <f>('Perkins Loans'!H12*1000)/'Perkins Loans'!AN12</f>
        <v>1076.0197126979133</v>
      </c>
      <c r="I12" s="200">
        <f>('Perkins Loans'!I12*1000)/'Perkins Loans'!AO12</f>
        <v>1180.2382774073669</v>
      </c>
      <c r="J12" s="200">
        <f>('Perkins Loans'!J12*1000)/'Perkins Loans'!AP12</f>
        <v>1258.2033977193391</v>
      </c>
      <c r="K12" s="200">
        <f>('Perkins Loans'!K12*1000)/'Perkins Loans'!AQ12</f>
        <v>1349.4184187876551</v>
      </c>
      <c r="L12" s="200">
        <f>('Perkins Loans'!L12*1000)/'Perkins Loans'!AR12</f>
        <v>1442.9749276759885</v>
      </c>
      <c r="M12" s="200">
        <f>('Perkins Loans'!M12*1000)/'Perkins Loans'!AS12</f>
        <v>1425.6883227693809</v>
      </c>
      <c r="N12" s="200">
        <f>('Perkins Loans'!N12*1000)/'Perkins Loans'!AT12</f>
        <v>1408.0096153846155</v>
      </c>
      <c r="O12" s="200">
        <f>('Perkins Loans'!O12*1000)/'Perkins Loans'!AU12</f>
        <v>1530.2911037471322</v>
      </c>
      <c r="P12" s="200">
        <f>('Perkins Loans'!P12*1000)/'Perkins Loans'!AV12</f>
        <v>1487.9397373165079</v>
      </c>
      <c r="Q12" s="200">
        <f>('Perkins Loans'!Q12*1000)/'Perkins Loans'!AW12</f>
        <v>1592.7666520275216</v>
      </c>
      <c r="R12" s="200">
        <f>('Perkins Loans'!R12*1000)/'Perkins Loans'!AX12</f>
        <v>1662.1960160301744</v>
      </c>
      <c r="S12" s="200">
        <f>('Perkins Loans'!S12*1000)/'Perkins Loans'!AY12</f>
        <v>1677.0394325871941</v>
      </c>
      <c r="T12" s="200">
        <f>('Perkins Loans'!T12*1000)/'Perkins Loans'!AZ12</f>
        <v>1828.6175581395348</v>
      </c>
      <c r="U12" s="200">
        <f>('Perkins Loans'!U12*1000)/'Perkins Loans'!BA12</f>
        <v>1904.4024196115886</v>
      </c>
      <c r="V12" s="200">
        <f>('Perkins Loans'!V12*1000)/'Perkins Loans'!BB12</f>
        <v>1979.5144345561102</v>
      </c>
      <c r="W12" s="200">
        <f>('Perkins Loans'!W12*1000)/'Perkins Loans'!BC12</f>
        <v>1869.8123259934193</v>
      </c>
      <c r="X12" s="200">
        <f>('Perkins Loans'!X12*1000)/'Perkins Loans'!BD12</f>
        <v>2027.4991452991453</v>
      </c>
      <c r="Y12" s="200">
        <f>('Perkins Loans'!Y12*1000)/'Perkins Loans'!BE12</f>
        <v>2016.8539762340038</v>
      </c>
      <c r="Z12" s="200">
        <f>('Perkins Loans'!Z12*1000)/'Perkins Loans'!BF12</f>
        <v>1772.6635331677901</v>
      </c>
      <c r="AA12" s="200">
        <f>('Perkins Loans'!AA12*1000)/'Perkins Loans'!BG12</f>
        <v>1755.4940686784598</v>
      </c>
      <c r="AB12" s="200">
        <f>('Perkins Loans'!AB12*1000)/'Perkins Loans'!BH12</f>
        <v>1571.023619533993</v>
      </c>
      <c r="AC12" s="200">
        <f>('Perkins Loans'!AC12*1000)/'Perkins Loans'!BI12</f>
        <v>1652.2191666666668</v>
      </c>
      <c r="AD12" s="200">
        <f>('Perkins Loans'!AD12*1000)/'Perkins Loans'!BJ12</f>
        <v>1826.7318827217407</v>
      </c>
      <c r="AE12" s="200">
        <f>('Perkins Loans'!AE12*1000)/'Perkins Loans'!BK12</f>
        <v>1756.5362200435729</v>
      </c>
      <c r="AF12" s="200">
        <f>('Perkins Loans'!AF12*1000)/'Perkins Loans'!BL12</f>
        <v>1773.7255341144039</v>
      </c>
      <c r="AG12" s="200">
        <f>('Perkins Loans'!AG12*1000)/'Perkins Loans'!BM12</f>
        <v>1982.476011793085</v>
      </c>
    </row>
    <row r="13" spans="1:33">
      <c r="A13" s="25" t="s">
        <v>23</v>
      </c>
      <c r="B13" s="200">
        <f>('Perkins Loans'!B13*1000)/'Perkins Loans'!AH13</f>
        <v>868.46397390386642</v>
      </c>
      <c r="C13" s="200">
        <f>('Perkins Loans'!C13*1000)/'Perkins Loans'!AI13</f>
        <v>251.1609287429944</v>
      </c>
      <c r="D13" s="200">
        <f>('Perkins Loans'!D13*1000)/'Perkins Loans'!AJ13</f>
        <v>1170.1843765162541</v>
      </c>
      <c r="E13" s="200">
        <f>('Perkins Loans'!E13*1000)/'Perkins Loans'!AK13</f>
        <v>1234.8252605763334</v>
      </c>
      <c r="F13" s="200">
        <f>('Perkins Loans'!F13*1000)/'Perkins Loans'!AL13</f>
        <v>1411.7647058823529</v>
      </c>
      <c r="G13" s="200">
        <f>('Perkins Loans'!G13*1000)/'Perkins Loans'!AM13</f>
        <v>1355.6570268899036</v>
      </c>
      <c r="H13" s="200">
        <f>('Perkins Loans'!H13*1000)/'Perkins Loans'!AN13</f>
        <v>1448.289269051322</v>
      </c>
      <c r="I13" s="200">
        <f>('Perkins Loans'!I13*1000)/'Perkins Loans'!AO13</f>
        <v>1521.2830647613257</v>
      </c>
      <c r="J13" s="200">
        <f>('Perkins Loans'!J13*1000)/'Perkins Loans'!AP13</f>
        <v>1622.7644530708444</v>
      </c>
      <c r="K13" s="200">
        <f>('Perkins Loans'!K13*1000)/'Perkins Loans'!AQ13</f>
        <v>1678.0912481683761</v>
      </c>
      <c r="L13" s="200">
        <f>('Perkins Loans'!L13*1000)/'Perkins Loans'!AR13</f>
        <v>1796.9724732378702</v>
      </c>
      <c r="M13" s="200">
        <f>('Perkins Loans'!M13*1000)/'Perkins Loans'!AS13</f>
        <v>1807.7549964054638</v>
      </c>
      <c r="N13" s="200">
        <f>('Perkins Loans'!N13*1000)/'Perkins Loans'!AT13</f>
        <v>1819.3016227482508</v>
      </c>
      <c r="O13" s="200">
        <f>('Perkins Loans'!O13*1000)/'Perkins Loans'!AU13</f>
        <v>1937.6637309847879</v>
      </c>
      <c r="P13" s="200">
        <f>('Perkins Loans'!P13*1000)/'Perkins Loans'!AV13</f>
        <v>2064.220138488171</v>
      </c>
      <c r="Q13" s="200">
        <f>('Perkins Loans'!Q13*1000)/'Perkins Loans'!AW13</f>
        <v>2205.8066451315181</v>
      </c>
      <c r="R13" s="200">
        <f>('Perkins Loans'!R13*1000)/'Perkins Loans'!AX13</f>
        <v>2257.4595493724482</v>
      </c>
      <c r="S13" s="200">
        <f>('Perkins Loans'!S13*1000)/'Perkins Loans'!AY13</f>
        <v>2196.8894689737472</v>
      </c>
      <c r="T13" s="200">
        <f>('Perkins Loans'!T13*1000)/'Perkins Loans'!AZ13</f>
        <v>2400.8043560367619</v>
      </c>
      <c r="U13" s="200">
        <f>('Perkins Loans'!U13*1000)/'Perkins Loans'!BA13</f>
        <v>2502.8701725554643</v>
      </c>
      <c r="V13" s="200">
        <f>('Perkins Loans'!V13*1000)/'Perkins Loans'!BB13</f>
        <v>2994.7465551760688</v>
      </c>
      <c r="W13" s="200">
        <f>('Perkins Loans'!W13*1000)/'Perkins Loans'!BC13</f>
        <v>2800.0731899265479</v>
      </c>
      <c r="X13" s="200">
        <f>('Perkins Loans'!X13*1000)/'Perkins Loans'!BD13</f>
        <v>3211.2943089430896</v>
      </c>
      <c r="Y13" s="200">
        <f>('Perkins Loans'!Y13*1000)/'Perkins Loans'!BE13</f>
        <v>3221.2024595080984</v>
      </c>
      <c r="Z13" s="200">
        <f>('Perkins Loans'!Z13*1000)/'Perkins Loans'!BF13</f>
        <v>2500.5593184238551</v>
      </c>
      <c r="AA13" s="200">
        <f>('Perkins Loans'!AA13*1000)/'Perkins Loans'!BG13</f>
        <v>2647.0220417633409</v>
      </c>
      <c r="AB13" s="200">
        <f>('Perkins Loans'!AB13*1000)/'Perkins Loans'!BH13</f>
        <v>2737.9092237061768</v>
      </c>
      <c r="AC13" s="200">
        <f>('Perkins Loans'!AC13*1000)/'Perkins Loans'!BI13</f>
        <v>2539.9239436619719</v>
      </c>
      <c r="AD13" s="200">
        <f>('Perkins Loans'!AD13*1000)/'Perkins Loans'!BJ13</f>
        <v>2827.4717642209398</v>
      </c>
      <c r="AE13" s="200">
        <f>('Perkins Loans'!AE13*1000)/'Perkins Loans'!BK13</f>
        <v>2976.2440318302388</v>
      </c>
      <c r="AF13" s="200">
        <f>('Perkins Loans'!AF13*1000)/'Perkins Loans'!BL13</f>
        <v>3143.5728944820912</v>
      </c>
      <c r="AG13" s="200">
        <f>('Perkins Loans'!AG13*1000)/'Perkins Loans'!BM13</f>
        <v>3987.929014643832</v>
      </c>
    </row>
    <row r="14" spans="1:33">
      <c r="A14" s="25" t="s">
        <v>24</v>
      </c>
      <c r="B14" s="200">
        <f>('Perkins Loans'!B14*1000)/'Perkins Loans'!AH14</f>
        <v>860.62335381913965</v>
      </c>
      <c r="C14" s="200">
        <f>('Perkins Loans'!C14*1000)/'Perkins Loans'!AI14</f>
        <v>369.32767707931612</v>
      </c>
      <c r="D14" s="200">
        <f>('Perkins Loans'!D14*1000)/'Perkins Loans'!AJ14</f>
        <v>1097.8496959165943</v>
      </c>
      <c r="E14" s="200">
        <f>('Perkins Loans'!E14*1000)/'Perkins Loans'!AK14</f>
        <v>1248.8640335547011</v>
      </c>
      <c r="F14" s="200">
        <f>('Perkins Loans'!F14*1000)/'Perkins Loans'!AL14</f>
        <v>1445.2982070984267</v>
      </c>
      <c r="G14" s="200">
        <f>('Perkins Loans'!G14*1000)/'Perkins Loans'!AM14</f>
        <v>1435.792046211953</v>
      </c>
      <c r="H14" s="200">
        <f>('Perkins Loans'!H14*1000)/'Perkins Loans'!AN14</f>
        <v>1467.197487944376</v>
      </c>
      <c r="I14" s="200">
        <f>('Perkins Loans'!I14*1000)/'Perkins Loans'!AO14</f>
        <v>1457.4513124470786</v>
      </c>
      <c r="J14" s="200">
        <f>('Perkins Loans'!J14*1000)/'Perkins Loans'!AP14</f>
        <v>1506.5714933152051</v>
      </c>
      <c r="K14" s="200">
        <f>('Perkins Loans'!K14*1000)/'Perkins Loans'!AQ14</f>
        <v>1604.6407961370862</v>
      </c>
      <c r="L14" s="200">
        <f>('Perkins Loans'!L14*1000)/'Perkins Loans'!AR14</f>
        <v>1663.5587270739707</v>
      </c>
      <c r="M14" s="200">
        <f>('Perkins Loans'!M14*1000)/'Perkins Loans'!AS14</f>
        <v>1700.6255429536679</v>
      </c>
      <c r="N14" s="200">
        <f>('Perkins Loans'!N14*1000)/'Perkins Loans'!AT14</f>
        <v>1737.2036437732231</v>
      </c>
      <c r="O14" s="200">
        <f>('Perkins Loans'!O14*1000)/'Perkins Loans'!AU14</f>
        <v>1800.2584795321638</v>
      </c>
      <c r="P14" s="200">
        <f>('Perkins Loans'!P14*1000)/'Perkins Loans'!AV14</f>
        <v>1775.1321482867502</v>
      </c>
      <c r="Q14" s="200">
        <f>('Perkins Loans'!Q14*1000)/'Perkins Loans'!AW14</f>
        <v>1965.0512320078067</v>
      </c>
      <c r="R14" s="200">
        <f>('Perkins Loans'!R14*1000)/'Perkins Loans'!AX14</f>
        <v>2128.0490243314862</v>
      </c>
      <c r="S14" s="200">
        <f>('Perkins Loans'!S14*1000)/'Perkins Loans'!AY14</f>
        <v>2325.1212718757702</v>
      </c>
      <c r="T14" s="200">
        <f>('Perkins Loans'!T14*1000)/'Perkins Loans'!AZ14</f>
        <v>2405.9355273503315</v>
      </c>
      <c r="U14" s="200">
        <f>('Perkins Loans'!U14*1000)/'Perkins Loans'!BA14</f>
        <v>2489.4723618090452</v>
      </c>
      <c r="V14" s="200">
        <f>('Perkins Loans'!V14*1000)/'Perkins Loans'!BB14</f>
        <v>2512.8110134990357</v>
      </c>
      <c r="W14" s="200">
        <f>('Perkins Loans'!W14*1000)/'Perkins Loans'!BC14</f>
        <v>2415.3122822299651</v>
      </c>
      <c r="X14" s="200">
        <f>('Perkins Loans'!X14*1000)/'Perkins Loans'!BD14</f>
        <v>2417.4647764660344</v>
      </c>
      <c r="Y14" s="200">
        <f>('Perkins Loans'!Y14*1000)/'Perkins Loans'!BE14</f>
        <v>2537.0413520734114</v>
      </c>
      <c r="Z14" s="200">
        <f>('Perkins Loans'!Z14*1000)/'Perkins Loans'!BF14</f>
        <v>2313.4330194118779</v>
      </c>
      <c r="AA14" s="200">
        <f>('Perkins Loans'!AA14*1000)/'Perkins Loans'!BG14</f>
        <v>1980.0683695025928</v>
      </c>
      <c r="AB14" s="200">
        <f>('Perkins Loans'!AB14*1000)/'Perkins Loans'!BH14</f>
        <v>2042.2049622437971</v>
      </c>
      <c r="AC14" s="200">
        <f>('Perkins Loans'!AC14*1000)/'Perkins Loans'!BI14</f>
        <v>2209.6122520013923</v>
      </c>
      <c r="AD14" s="200">
        <f>('Perkins Loans'!AD14*1000)/'Perkins Loans'!BJ14</f>
        <v>2592.003523194363</v>
      </c>
      <c r="AE14" s="200">
        <f>('Perkins Loans'!AE14*1000)/'Perkins Loans'!BK14</f>
        <v>2766.747836291624</v>
      </c>
      <c r="AF14" s="200">
        <f>('Perkins Loans'!AF14*1000)/'Perkins Loans'!BL14</f>
        <v>2981.132452465356</v>
      </c>
      <c r="AG14" s="200">
        <f>('Perkins Loans'!AG14*1000)/'Perkins Loans'!BM14</f>
        <v>3522.2422250316054</v>
      </c>
    </row>
    <row r="15" spans="1:33">
      <c r="A15" s="25" t="s">
        <v>25</v>
      </c>
      <c r="B15" s="200">
        <f>('Perkins Loans'!B15*1000)/'Perkins Loans'!AH15</f>
        <v>730.92420045328629</v>
      </c>
      <c r="C15" s="200">
        <f>('Perkins Loans'!C15*1000)/'Perkins Loans'!AI15</f>
        <v>270.16026456372424</v>
      </c>
      <c r="D15" s="200">
        <f>('Perkins Loans'!D15*1000)/'Perkins Loans'!AJ15</f>
        <v>1150.6825341267063</v>
      </c>
      <c r="E15" s="200">
        <f>('Perkins Loans'!E15*1000)/'Perkins Loans'!AK15</f>
        <v>1194.3264820791574</v>
      </c>
      <c r="F15" s="200">
        <f>('Perkins Loans'!F15*1000)/'Perkins Loans'!AL15</f>
        <v>1378.2544378698226</v>
      </c>
      <c r="G15" s="200">
        <f>('Perkins Loans'!G15*1000)/'Perkins Loans'!AM15</f>
        <v>1405.6288988829247</v>
      </c>
      <c r="H15" s="200">
        <f>('Perkins Loans'!H15*1000)/'Perkins Loans'!AN15</f>
        <v>1431.3196085048937</v>
      </c>
      <c r="I15" s="200">
        <f>('Perkins Loans'!I15*1000)/'Perkins Loans'!AO15</f>
        <v>1544.9077786688051</v>
      </c>
      <c r="J15" s="200">
        <f>('Perkins Loans'!J15*1000)/'Perkins Loans'!AP15</f>
        <v>1642.8285256410256</v>
      </c>
      <c r="K15" s="200">
        <f>('Perkins Loans'!K15*1000)/'Perkins Loans'!AQ15</f>
        <v>1774.1596718809615</v>
      </c>
      <c r="L15" s="200">
        <f>('Perkins Loans'!L15*1000)/'Perkins Loans'!AR15</f>
        <v>1610.0280855941919</v>
      </c>
      <c r="M15" s="200">
        <f>('Perkins Loans'!M15*1000)/'Perkins Loans'!AS15</f>
        <v>1679.4614526098901</v>
      </c>
      <c r="N15" s="200">
        <f>('Perkins Loans'!N15*1000)/'Perkins Loans'!AT15</f>
        <v>1736.1209853445587</v>
      </c>
      <c r="O15" s="200">
        <f>('Perkins Loans'!O15*1000)/'Perkins Loans'!AU15</f>
        <v>1643.4700217458837</v>
      </c>
      <c r="P15" s="200">
        <f>('Perkins Loans'!P15*1000)/'Perkins Loans'!AV15</f>
        <v>1942.5700466977985</v>
      </c>
      <c r="Q15" s="200">
        <f>('Perkins Loans'!Q15*1000)/'Perkins Loans'!AW15</f>
        <v>2201.6737079573422</v>
      </c>
      <c r="R15" s="200">
        <f>('Perkins Loans'!R15*1000)/'Perkins Loans'!AX15</f>
        <v>2385.7023493360571</v>
      </c>
      <c r="S15" s="200">
        <f>('Perkins Loans'!S15*1000)/'Perkins Loans'!AY15</f>
        <v>2487.1053533190579</v>
      </c>
      <c r="T15" s="200">
        <f>('Perkins Loans'!T15*1000)/'Perkins Loans'!AZ15</f>
        <v>2585.1470542993384</v>
      </c>
      <c r="U15" s="200">
        <f>('Perkins Loans'!U15*1000)/'Perkins Loans'!BA15</f>
        <v>2670.1895257278888</v>
      </c>
      <c r="V15" s="200">
        <f>('Perkins Loans'!V15*1000)/'Perkins Loans'!BB15</f>
        <v>2911.0290665176076</v>
      </c>
      <c r="W15" s="200">
        <f>('Perkins Loans'!W15*1000)/'Perkins Loans'!BC15</f>
        <v>2688.029787979674</v>
      </c>
      <c r="X15" s="200">
        <f>('Perkins Loans'!X15*1000)/'Perkins Loans'!BD15</f>
        <v>2810.1673736302582</v>
      </c>
      <c r="Y15" s="200">
        <f>('Perkins Loans'!Y15*1000)/'Perkins Loans'!BE15</f>
        <v>2764.3119613201598</v>
      </c>
      <c r="Z15" s="200">
        <f>('Perkins Loans'!Z15*1000)/'Perkins Loans'!BF15</f>
        <v>2572.1466386554621</v>
      </c>
      <c r="AA15" s="200">
        <f>('Perkins Loans'!AA15*1000)/'Perkins Loans'!BG15</f>
        <v>2532.5839200545083</v>
      </c>
      <c r="AB15" s="200">
        <f>('Perkins Loans'!AB15*1000)/'Perkins Loans'!BH15</f>
        <v>2248.1588411588414</v>
      </c>
      <c r="AC15" s="200">
        <f>('Perkins Loans'!AC15*1000)/'Perkins Loans'!BI15</f>
        <v>2564.5771586037968</v>
      </c>
      <c r="AD15" s="200">
        <f>('Perkins Loans'!AD15*1000)/'Perkins Loans'!BJ15</f>
        <v>2505.2120683641438</v>
      </c>
      <c r="AE15" s="200">
        <f>('Perkins Loans'!AE15*1000)/'Perkins Loans'!BK15</f>
        <v>2623.5351752366332</v>
      </c>
      <c r="AF15" s="200">
        <f>('Perkins Loans'!AF15*1000)/'Perkins Loans'!BL15</f>
        <v>2776.6603613177472</v>
      </c>
      <c r="AG15" s="200">
        <f>('Perkins Loans'!AG15*1000)/'Perkins Loans'!BM15</f>
        <v>3175.1455735660847</v>
      </c>
    </row>
    <row r="16" spans="1:33">
      <c r="A16" s="25" t="s">
        <v>26</v>
      </c>
      <c r="B16" s="200">
        <f>('Perkins Loans'!B16*1000)/'Perkins Loans'!AH16</f>
        <v>840.67561605848618</v>
      </c>
      <c r="C16" s="200">
        <f>('Perkins Loans'!C16*1000)/'Perkins Loans'!AI16</f>
        <v>224.53265044814341</v>
      </c>
      <c r="D16" s="200">
        <f>('Perkins Loans'!D16*1000)/'Perkins Loans'!AJ16</f>
        <v>1146.2961816944119</v>
      </c>
      <c r="E16" s="200">
        <f>('Perkins Loans'!E16*1000)/'Perkins Loans'!AK16</f>
        <v>1308.491627506784</v>
      </c>
      <c r="F16" s="200">
        <f>('Perkins Loans'!F16*1000)/'Perkins Loans'!AL16</f>
        <v>1329.4433881859306</v>
      </c>
      <c r="G16" s="200">
        <f>('Perkins Loans'!G16*1000)/'Perkins Loans'!AM16</f>
        <v>1418.5092016417318</v>
      </c>
      <c r="H16" s="200">
        <f>('Perkins Loans'!H16*1000)/'Perkins Loans'!AN16</f>
        <v>1433.6002417283578</v>
      </c>
      <c r="I16" s="200">
        <f>('Perkins Loans'!I16*1000)/'Perkins Loans'!AO16</f>
        <v>1436.6483038561903</v>
      </c>
      <c r="J16" s="200">
        <f>('Perkins Loans'!J16*1000)/'Perkins Loans'!AP16</f>
        <v>1501.4898005959203</v>
      </c>
      <c r="K16" s="200">
        <f>('Perkins Loans'!K16*1000)/'Perkins Loans'!AQ16</f>
        <v>1777.593658611667</v>
      </c>
      <c r="L16" s="200">
        <f>('Perkins Loans'!L16*1000)/'Perkins Loans'!AR16</f>
        <v>1760.469311605239</v>
      </c>
      <c r="M16" s="200">
        <f>('Perkins Loans'!M16*1000)/'Perkins Loans'!AS16</f>
        <v>1792.8987859023218</v>
      </c>
      <c r="N16" s="200">
        <f>('Perkins Loans'!N16*1000)/'Perkins Loans'!AT16</f>
        <v>1827.4684633492977</v>
      </c>
      <c r="O16" s="200">
        <f>('Perkins Loans'!O16*1000)/'Perkins Loans'!AU16</f>
        <v>1875.9082332761577</v>
      </c>
      <c r="P16" s="200">
        <f>('Perkins Loans'!P16*1000)/'Perkins Loans'!AV16</f>
        <v>1899.2322446464336</v>
      </c>
      <c r="Q16" s="200">
        <f>('Perkins Loans'!Q16*1000)/'Perkins Loans'!AW16</f>
        <v>2005.3525698097935</v>
      </c>
      <c r="R16" s="200">
        <f>('Perkins Loans'!R16*1000)/'Perkins Loans'!AX16</f>
        <v>2098.1390895074251</v>
      </c>
      <c r="S16" s="200">
        <f>('Perkins Loans'!S16*1000)/'Perkins Loans'!AY16</f>
        <v>2218.6486154790214</v>
      </c>
      <c r="T16" s="200">
        <f>('Perkins Loans'!T16*1000)/'Perkins Loans'!AZ16</f>
        <v>2431.2763133060712</v>
      </c>
      <c r="U16" s="200">
        <f>('Perkins Loans'!U16*1000)/'Perkins Loans'!BA16</f>
        <v>2473.1512301427997</v>
      </c>
      <c r="V16" s="200">
        <f>('Perkins Loans'!V16*1000)/'Perkins Loans'!BB16</f>
        <v>2454.8377926421404</v>
      </c>
      <c r="W16" s="200">
        <f>('Perkins Loans'!W16*1000)/'Perkins Loans'!BC16</f>
        <v>2432.7774513644081</v>
      </c>
      <c r="X16" s="200">
        <f>('Perkins Loans'!X16*1000)/'Perkins Loans'!BD16</f>
        <v>2459.8442119944211</v>
      </c>
      <c r="Y16" s="200">
        <f>('Perkins Loans'!Y16*1000)/'Perkins Loans'!BE16</f>
        <v>2522.3933919156416</v>
      </c>
      <c r="Z16" s="200">
        <f>('Perkins Loans'!Z16*1000)/'Perkins Loans'!BF16</f>
        <v>2594.4727215719063</v>
      </c>
      <c r="AA16" s="200">
        <f>('Perkins Loans'!AA16*1000)/'Perkins Loans'!BG16</f>
        <v>2790.066630552546</v>
      </c>
      <c r="AB16" s="200">
        <f>('Perkins Loans'!AB16*1000)/'Perkins Loans'!BH16</f>
        <v>2670.5171630187779</v>
      </c>
      <c r="AC16" s="200">
        <f>('Perkins Loans'!AC16*1000)/'Perkins Loans'!BI16</f>
        <v>2549.5971611355458</v>
      </c>
      <c r="AD16" s="200">
        <f>('Perkins Loans'!AD16*1000)/'Perkins Loans'!BJ16</f>
        <v>2812.5709419625309</v>
      </c>
      <c r="AE16" s="200">
        <f>('Perkins Loans'!AE16*1000)/'Perkins Loans'!BK16</f>
        <v>2798.2429963459194</v>
      </c>
      <c r="AF16" s="200">
        <f>('Perkins Loans'!AF16*1000)/'Perkins Loans'!BL16</f>
        <v>2746.6152755458929</v>
      </c>
      <c r="AG16" s="200">
        <f>('Perkins Loans'!AG16*1000)/'Perkins Loans'!BM16</f>
        <v>3043.8610877656383</v>
      </c>
    </row>
    <row r="17" spans="1:33">
      <c r="A17" s="25" t="s">
        <v>27</v>
      </c>
      <c r="B17" s="200">
        <f>('Perkins Loans'!B17*1000)/'Perkins Loans'!AH17</f>
        <v>909.27941938828405</v>
      </c>
      <c r="C17" s="200">
        <f>('Perkins Loans'!C17*1000)/'Perkins Loans'!AI17</f>
        <v>250.67082143166277</v>
      </c>
      <c r="D17" s="200">
        <f>('Perkins Loans'!D17*1000)/'Perkins Loans'!AJ17</f>
        <v>1029.7344406849174</v>
      </c>
      <c r="E17" s="200">
        <f>('Perkins Loans'!E17*1000)/'Perkins Loans'!AK17</f>
        <v>1114.8922551738851</v>
      </c>
      <c r="F17" s="200">
        <f>('Perkins Loans'!F17*1000)/'Perkins Loans'!AL17</f>
        <v>1277.1412984178942</v>
      </c>
      <c r="G17" s="200">
        <f>('Perkins Loans'!G17*1000)/'Perkins Loans'!AM17</f>
        <v>1258.443779392903</v>
      </c>
      <c r="H17" s="200">
        <f>('Perkins Loans'!H17*1000)/'Perkins Loans'!AN17</f>
        <v>1384.8727446528856</v>
      </c>
      <c r="I17" s="200">
        <f>('Perkins Loans'!I17*1000)/'Perkins Loans'!AO17</f>
        <v>1403.9215686274511</v>
      </c>
      <c r="J17" s="200">
        <f>('Perkins Loans'!J17*1000)/'Perkins Loans'!AP17</f>
        <v>1433.320834895638</v>
      </c>
      <c r="K17" s="200">
        <f>('Perkins Loans'!K17*1000)/'Perkins Loans'!AQ17</f>
        <v>1519.0507042253521</v>
      </c>
      <c r="L17" s="200">
        <f>('Perkins Loans'!L17*1000)/'Perkins Loans'!AR17</f>
        <v>1645.0790126372976</v>
      </c>
      <c r="M17" s="200">
        <f>('Perkins Loans'!M17*1000)/'Perkins Loans'!AS17</f>
        <v>1697.3515926793743</v>
      </c>
      <c r="N17" s="200">
        <f>('Perkins Loans'!N17*1000)/'Perkins Loans'!AT17</f>
        <v>1757.7819497542328</v>
      </c>
      <c r="O17" s="200">
        <f>('Perkins Loans'!O17*1000)/'Perkins Loans'!AU17</f>
        <v>1773.4563064375182</v>
      </c>
      <c r="P17" s="200">
        <f>('Perkins Loans'!P17*1000)/'Perkins Loans'!AV17</f>
        <v>1871.7518686794665</v>
      </c>
      <c r="Q17" s="200">
        <f>('Perkins Loans'!Q17*1000)/'Perkins Loans'!AW17</f>
        <v>1939.5324053936495</v>
      </c>
      <c r="R17" s="200">
        <f>('Perkins Loans'!R17*1000)/'Perkins Loans'!AX17</f>
        <v>2002.7862015503877</v>
      </c>
      <c r="S17" s="200">
        <f>('Perkins Loans'!S17*1000)/'Perkins Loans'!AY17</f>
        <v>2094.1675567423231</v>
      </c>
      <c r="T17" s="200">
        <f>('Perkins Loans'!T17*1000)/'Perkins Loans'!AZ17</f>
        <v>2614.3978695073238</v>
      </c>
      <c r="U17" s="200">
        <f>('Perkins Loans'!U17*1000)/'Perkins Loans'!BA17</f>
        <v>3001.8873049219687</v>
      </c>
      <c r="V17" s="200">
        <f>('Perkins Loans'!V17*1000)/'Perkins Loans'!BB17</f>
        <v>3024.7540905480541</v>
      </c>
      <c r="W17" s="200">
        <f>('Perkins Loans'!W17*1000)/'Perkins Loans'!BC17</f>
        <v>3055.7754426371093</v>
      </c>
      <c r="X17" s="200">
        <f>('Perkins Loans'!X17*1000)/'Perkins Loans'!BD17</f>
        <v>3139.9146752205293</v>
      </c>
      <c r="Y17" s="200">
        <f>('Perkins Loans'!Y17*1000)/'Perkins Loans'!BE17</f>
        <v>3120.1586722597117</v>
      </c>
      <c r="Z17" s="200">
        <f>('Perkins Loans'!Z17*1000)/'Perkins Loans'!BF17</f>
        <v>3234.8071992110454</v>
      </c>
      <c r="AA17" s="200">
        <f>('Perkins Loans'!AA17*1000)/'Perkins Loans'!BG17</f>
        <v>2600.8061699650757</v>
      </c>
      <c r="AB17" s="200">
        <f>('Perkins Loans'!AB17*1000)/'Perkins Loans'!BH17</f>
        <v>2947.2262773722628</v>
      </c>
      <c r="AC17" s="200">
        <f>('Perkins Loans'!AC17*1000)/'Perkins Loans'!BI17</f>
        <v>2778.0156936597614</v>
      </c>
      <c r="AD17" s="200">
        <f>('Perkins Loans'!AD17*1000)/'Perkins Loans'!BJ17</f>
        <v>3016.1960784313724</v>
      </c>
      <c r="AE17" s="200">
        <f>('Perkins Loans'!AE17*1000)/'Perkins Loans'!BK17</f>
        <v>3249.7812787488501</v>
      </c>
      <c r="AF17" s="200">
        <f>('Perkins Loans'!AF17*1000)/'Perkins Loans'!BL17</f>
        <v>3151.6957691367083</v>
      </c>
      <c r="AG17" s="200">
        <f>('Perkins Loans'!AG17*1000)/'Perkins Loans'!BM17</f>
        <v>3652.8771498771498</v>
      </c>
    </row>
    <row r="18" spans="1:33">
      <c r="A18" s="25" t="s">
        <v>28</v>
      </c>
      <c r="B18" s="200">
        <f>('Perkins Loans'!B18*1000)/'Perkins Loans'!AH18</f>
        <v>725.54239318514578</v>
      </c>
      <c r="C18" s="200">
        <f>('Perkins Loans'!C18*1000)/'Perkins Loans'!AI18</f>
        <v>237.99153055051423</v>
      </c>
      <c r="D18" s="200">
        <f>('Perkins Loans'!D18*1000)/'Perkins Loans'!AJ18</f>
        <v>1007.9821200510855</v>
      </c>
      <c r="E18" s="200">
        <f>('Perkins Loans'!E18*1000)/'Perkins Loans'!AK18</f>
        <v>1253.1623330990865</v>
      </c>
      <c r="F18" s="200">
        <f>('Perkins Loans'!F18*1000)/'Perkins Loans'!AL18</f>
        <v>1295.335137716924</v>
      </c>
      <c r="G18" s="200">
        <f>('Perkins Loans'!G18*1000)/'Perkins Loans'!AM18</f>
        <v>1355.825461088619</v>
      </c>
      <c r="H18" s="200">
        <f>('Perkins Loans'!H18*1000)/'Perkins Loans'!AN18</f>
        <v>1411.4163513735812</v>
      </c>
      <c r="I18" s="200">
        <f>('Perkins Loans'!I18*1000)/'Perkins Loans'!AO18</f>
        <v>1382.656967840735</v>
      </c>
      <c r="J18" s="200">
        <f>('Perkins Loans'!J18*1000)/'Perkins Loans'!AP18</f>
        <v>1483.3508587451804</v>
      </c>
      <c r="K18" s="200">
        <f>('Perkins Loans'!K18*1000)/'Perkins Loans'!AQ18</f>
        <v>1590.2536178107607</v>
      </c>
      <c r="L18" s="200">
        <f>('Perkins Loans'!L18*1000)/'Perkins Loans'!AR18</f>
        <v>1556.0797891036907</v>
      </c>
      <c r="M18" s="200">
        <f>('Perkins Loans'!M18*1000)/'Perkins Loans'!AS18</f>
        <v>1632.2365560434814</v>
      </c>
      <c r="N18" s="200">
        <f>('Perkins Loans'!N18*1000)/'Perkins Loans'!AT18</f>
        <v>1685.0754786001708</v>
      </c>
      <c r="O18" s="200">
        <f>('Perkins Loans'!O18*1000)/'Perkins Loans'!AU18</f>
        <v>1672.3267424616906</v>
      </c>
      <c r="P18" s="200">
        <f>('Perkins Loans'!P18*1000)/'Perkins Loans'!AV18</f>
        <v>1689.9866232207169</v>
      </c>
      <c r="Q18" s="200">
        <f>('Perkins Loans'!Q18*1000)/'Perkins Loans'!AW18</f>
        <v>1837.9083644112945</v>
      </c>
      <c r="R18" s="200">
        <f>('Perkins Loans'!R18*1000)/'Perkins Loans'!AX18</f>
        <v>1858.4735138817919</v>
      </c>
      <c r="S18" s="200">
        <f>('Perkins Loans'!S18*1000)/'Perkins Loans'!AY18</f>
        <v>2004.4243024599637</v>
      </c>
      <c r="T18" s="200">
        <f>('Perkins Loans'!T18*1000)/'Perkins Loans'!AZ18</f>
        <v>2075.2845922459892</v>
      </c>
      <c r="U18" s="200">
        <f>('Perkins Loans'!U18*1000)/'Perkins Loans'!BA18</f>
        <v>2278.6847232472323</v>
      </c>
      <c r="V18" s="200">
        <f>('Perkins Loans'!V18*1000)/'Perkins Loans'!BB18</f>
        <v>2331.1130319148938</v>
      </c>
      <c r="W18" s="200">
        <f>('Perkins Loans'!W18*1000)/'Perkins Loans'!BC18</f>
        <v>2505.066854850691</v>
      </c>
      <c r="X18" s="200">
        <f>('Perkins Loans'!X18*1000)/'Perkins Loans'!BD18</f>
        <v>2439.6619718309857</v>
      </c>
      <c r="Y18" s="200">
        <f>('Perkins Loans'!Y18*1000)/'Perkins Loans'!BE18</f>
        <v>2387.5745481927711</v>
      </c>
      <c r="Z18" s="200">
        <f>('Perkins Loans'!Z18*1000)/'Perkins Loans'!BF18</f>
        <v>2438.7745609871854</v>
      </c>
      <c r="AA18" s="200">
        <f>('Perkins Loans'!AA18*1000)/'Perkins Loans'!BG18</f>
        <v>2297.0585761489938</v>
      </c>
      <c r="AB18" s="200">
        <f>('Perkins Loans'!AB18*1000)/'Perkins Loans'!BH18</f>
        <v>2235.7559434246164</v>
      </c>
      <c r="AC18" s="200">
        <f>('Perkins Loans'!AC18*1000)/'Perkins Loans'!BI18</f>
        <v>2170.2407407407409</v>
      </c>
      <c r="AD18" s="200">
        <f>('Perkins Loans'!AD18*1000)/'Perkins Loans'!BJ18</f>
        <v>2179.1682983682986</v>
      </c>
      <c r="AE18" s="200">
        <f>('Perkins Loans'!AE18*1000)/'Perkins Loans'!BK18</f>
        <v>2419.8139483065952</v>
      </c>
      <c r="AF18" s="200">
        <f>('Perkins Loans'!AF18*1000)/'Perkins Loans'!BL18</f>
        <v>2435.5988819007689</v>
      </c>
      <c r="AG18" s="200">
        <f>('Perkins Loans'!AG18*1000)/'Perkins Loans'!BM18</f>
        <v>2505.8653220559531</v>
      </c>
    </row>
    <row r="19" spans="1:33">
      <c r="A19" s="25" t="s">
        <v>29</v>
      </c>
      <c r="B19" s="200">
        <f>('Perkins Loans'!B19*1000)/'Perkins Loans'!AH19</f>
        <v>870.88671188143678</v>
      </c>
      <c r="C19" s="200">
        <f>('Perkins Loans'!C19*1000)/'Perkins Loans'!AI19</f>
        <v>219.13442539358786</v>
      </c>
      <c r="D19" s="200">
        <f>('Perkins Loans'!D19*1000)/'Perkins Loans'!AJ19</f>
        <v>1183.6215219871851</v>
      </c>
      <c r="E19" s="200">
        <f>('Perkins Loans'!E19*1000)/'Perkins Loans'!AK19</f>
        <v>1320.1063410791651</v>
      </c>
      <c r="F19" s="200">
        <f>('Perkins Loans'!F19*1000)/'Perkins Loans'!AL19</f>
        <v>1343.914274160938</v>
      </c>
      <c r="G19" s="200">
        <f>('Perkins Loans'!G19*1000)/'Perkins Loans'!AM19</f>
        <v>1494.8871650211565</v>
      </c>
      <c r="H19" s="200">
        <f>('Perkins Loans'!H19*1000)/'Perkins Loans'!AN19</f>
        <v>1517.1633716927313</v>
      </c>
      <c r="I19" s="200">
        <f>('Perkins Loans'!I19*1000)/'Perkins Loans'!AO19</f>
        <v>1474.7827823829023</v>
      </c>
      <c r="J19" s="200">
        <f>('Perkins Loans'!J19*1000)/'Perkins Loans'!AP19</f>
        <v>1522.4109701187065</v>
      </c>
      <c r="K19" s="200">
        <f>('Perkins Loans'!K19*1000)/'Perkins Loans'!AQ19</f>
        <v>1649.968784591543</v>
      </c>
      <c r="L19" s="200">
        <f>('Perkins Loans'!L19*1000)/'Perkins Loans'!AR19</f>
        <v>1695.1666842271625</v>
      </c>
      <c r="M19" s="200">
        <f>('Perkins Loans'!M19*1000)/'Perkins Loans'!AS19</f>
        <v>1740.725450573457</v>
      </c>
      <c r="N19" s="200">
        <f>('Perkins Loans'!N19*1000)/'Perkins Loans'!AT19</f>
        <v>1789.7557546207054</v>
      </c>
      <c r="O19" s="200">
        <f>('Perkins Loans'!O19*1000)/'Perkins Loans'!AU19</f>
        <v>1833.1272026961965</v>
      </c>
      <c r="P19" s="200">
        <f>('Perkins Loans'!P19*1000)/'Perkins Loans'!AV19</f>
        <v>1902.6870381465947</v>
      </c>
      <c r="Q19" s="200">
        <f>('Perkins Loans'!Q19*1000)/'Perkins Loans'!AW19</f>
        <v>1931.2032593481304</v>
      </c>
      <c r="R19" s="200">
        <f>('Perkins Loans'!R19*1000)/'Perkins Loans'!AX19</f>
        <v>2157.1132904280316</v>
      </c>
      <c r="S19" s="200">
        <f>('Perkins Loans'!S19*1000)/'Perkins Loans'!AY19</f>
        <v>2265.6743934142114</v>
      </c>
      <c r="T19" s="200">
        <f>('Perkins Loans'!T19*1000)/'Perkins Loans'!AZ19</f>
        <v>2436.7812383090159</v>
      </c>
      <c r="U19" s="200">
        <f>('Perkins Loans'!U19*1000)/'Perkins Loans'!BA19</f>
        <v>2583.1319672901586</v>
      </c>
      <c r="V19" s="200">
        <f>('Perkins Loans'!V19*1000)/'Perkins Loans'!BB19</f>
        <v>2690.9073191857947</v>
      </c>
      <c r="W19" s="200">
        <f>('Perkins Loans'!W19*1000)/'Perkins Loans'!BC19</f>
        <v>2637.5295935994181</v>
      </c>
      <c r="X19" s="200">
        <f>('Perkins Loans'!X19*1000)/'Perkins Loans'!BD19</f>
        <v>2664.6829661472325</v>
      </c>
      <c r="Y19" s="200">
        <f>('Perkins Loans'!Y19*1000)/'Perkins Loans'!BE19</f>
        <v>2363.107801114445</v>
      </c>
      <c r="Z19" s="200">
        <f>('Perkins Loans'!Z19*1000)/'Perkins Loans'!BF19</f>
        <v>2311.9629135538953</v>
      </c>
      <c r="AA19" s="200">
        <f>('Perkins Loans'!AA19*1000)/'Perkins Loans'!BG19</f>
        <v>2245.5151081424938</v>
      </c>
      <c r="AB19" s="200">
        <f>('Perkins Loans'!AB19*1000)/'Perkins Loans'!BH19</f>
        <v>2422.6771007700036</v>
      </c>
      <c r="AC19" s="200">
        <f>('Perkins Loans'!AC19*1000)/'Perkins Loans'!BI19</f>
        <v>2784.6707416462918</v>
      </c>
      <c r="AD19" s="200">
        <f>('Perkins Loans'!AD19*1000)/'Perkins Loans'!BJ19</f>
        <v>2805.6360158893631</v>
      </c>
      <c r="AE19" s="200">
        <f>('Perkins Loans'!AE19*1000)/'Perkins Loans'!BK19</f>
        <v>2716.6156526400428</v>
      </c>
      <c r="AF19" s="200">
        <f>('Perkins Loans'!AF19*1000)/'Perkins Loans'!BL19</f>
        <v>2935.5965476887068</v>
      </c>
      <c r="AG19" s="200">
        <f>('Perkins Loans'!AG19*1000)/'Perkins Loans'!BM19</f>
        <v>3463.4484134903214</v>
      </c>
    </row>
    <row r="20" spans="1:33">
      <c r="A20" s="25" t="s">
        <v>30</v>
      </c>
      <c r="B20" s="200">
        <f>('Perkins Loans'!B20*1000)/'Perkins Loans'!AH20</f>
        <v>1027.1588458774002</v>
      </c>
      <c r="C20" s="200">
        <f>('Perkins Loans'!C20*1000)/'Perkins Loans'!AI20</f>
        <v>377.46682383360582</v>
      </c>
      <c r="D20" s="200">
        <f>('Perkins Loans'!D20*1000)/'Perkins Loans'!AJ20</f>
        <v>1190.7173410688824</v>
      </c>
      <c r="E20" s="200">
        <f>('Perkins Loans'!E20*1000)/'Perkins Loans'!AK20</f>
        <v>1332.9192546583852</v>
      </c>
      <c r="F20" s="200">
        <f>('Perkins Loans'!F20*1000)/'Perkins Loans'!AL20</f>
        <v>1443.6589997889851</v>
      </c>
      <c r="G20" s="200">
        <f>('Perkins Loans'!G20*1000)/'Perkins Loans'!AM20</f>
        <v>1389.094732625676</v>
      </c>
      <c r="H20" s="200">
        <f>('Perkins Loans'!H20*1000)/'Perkins Loans'!AN20</f>
        <v>1455.6588543116407</v>
      </c>
      <c r="I20" s="200">
        <f>('Perkins Loans'!I20*1000)/'Perkins Loans'!AO20</f>
        <v>1458.2965234111105</v>
      </c>
      <c r="J20" s="200">
        <f>('Perkins Loans'!J20*1000)/'Perkins Loans'!AP20</f>
        <v>1524.6820659226576</v>
      </c>
      <c r="K20" s="200">
        <f>('Perkins Loans'!K20*1000)/'Perkins Loans'!AQ20</f>
        <v>1631.7008551492577</v>
      </c>
      <c r="L20" s="200">
        <f>('Perkins Loans'!L20*1000)/'Perkins Loans'!AR20</f>
        <v>1675.0139167287098</v>
      </c>
      <c r="M20" s="200">
        <f>('Perkins Loans'!M20*1000)/'Perkins Loans'!AS20</f>
        <v>1719.1510502011024</v>
      </c>
      <c r="N20" s="200">
        <f>('Perkins Loans'!N20*1000)/'Perkins Loans'!AT20</f>
        <v>1767.0073894684551</v>
      </c>
      <c r="O20" s="200">
        <f>('Perkins Loans'!O20*1000)/'Perkins Loans'!AU20</f>
        <v>1827.7664929650859</v>
      </c>
      <c r="P20" s="200">
        <f>('Perkins Loans'!P20*1000)/'Perkins Loans'!AV20</f>
        <v>1840.780953860494</v>
      </c>
      <c r="Q20" s="200">
        <f>('Perkins Loans'!Q20*1000)/'Perkins Loans'!AW20</f>
        <v>1929.2208101667991</v>
      </c>
      <c r="R20" s="200">
        <f>('Perkins Loans'!R20*1000)/'Perkins Loans'!AX20</f>
        <v>2144.9497611994439</v>
      </c>
      <c r="S20" s="200">
        <f>('Perkins Loans'!S20*1000)/'Perkins Loans'!AY20</f>
        <v>2229.96013895431</v>
      </c>
      <c r="T20" s="200">
        <f>('Perkins Loans'!T20*1000)/'Perkins Loans'!AZ20</f>
        <v>2470.1993366145944</v>
      </c>
      <c r="U20" s="200">
        <f>('Perkins Loans'!U20*1000)/'Perkins Loans'!BA20</f>
        <v>2365.996638655462</v>
      </c>
      <c r="V20" s="200">
        <f>('Perkins Loans'!V20*1000)/'Perkins Loans'!BB20</f>
        <v>2503.276705587185</v>
      </c>
      <c r="W20" s="200">
        <f>('Perkins Loans'!W20*1000)/'Perkins Loans'!BC20</f>
        <v>2636.187661188369</v>
      </c>
      <c r="X20" s="200">
        <f>('Perkins Loans'!X20*1000)/'Perkins Loans'!BD20</f>
        <v>2670.9171186698431</v>
      </c>
      <c r="Y20" s="200">
        <f>('Perkins Loans'!Y20*1000)/'Perkins Loans'!BE20</f>
        <v>2632.7908107571698</v>
      </c>
      <c r="Z20" s="200">
        <f>('Perkins Loans'!Z20*1000)/'Perkins Loans'!BF20</f>
        <v>2560.2461606615475</v>
      </c>
      <c r="AA20" s="200">
        <f>('Perkins Loans'!AA20*1000)/'Perkins Loans'!BG20</f>
        <v>2481.3284232854112</v>
      </c>
      <c r="AB20" s="200">
        <f>('Perkins Loans'!AB20*1000)/'Perkins Loans'!BH20</f>
        <v>2448.6420812659248</v>
      </c>
      <c r="AC20" s="200">
        <f>('Perkins Loans'!AC20*1000)/'Perkins Loans'!BI20</f>
        <v>2856.9738742162267</v>
      </c>
      <c r="AD20" s="200">
        <f>('Perkins Loans'!AD20*1000)/'Perkins Loans'!BJ20</f>
        <v>2878.8812126779972</v>
      </c>
      <c r="AE20" s="200">
        <f>('Perkins Loans'!AE20*1000)/'Perkins Loans'!BK20</f>
        <v>3057.5572872067137</v>
      </c>
      <c r="AF20" s="200">
        <f>('Perkins Loans'!AF20*1000)/'Perkins Loans'!BL20</f>
        <v>3186.8778582854993</v>
      </c>
      <c r="AG20" s="200">
        <f>('Perkins Loans'!AG20*1000)/'Perkins Loans'!BM20</f>
        <v>3657.8300692620014</v>
      </c>
    </row>
    <row r="21" spans="1:33">
      <c r="A21" s="25" t="s">
        <v>31</v>
      </c>
      <c r="B21" s="200">
        <f>('Perkins Loans'!B21*1000)/'Perkins Loans'!AH21</f>
        <v>939.90157107703953</v>
      </c>
      <c r="C21" s="200">
        <f>('Perkins Loans'!C21*1000)/'Perkins Loans'!AI21</f>
        <v>238.72144969483421</v>
      </c>
      <c r="D21" s="200">
        <f>('Perkins Loans'!D21*1000)/'Perkins Loans'!AJ21</f>
        <v>1038.6646088863617</v>
      </c>
      <c r="E21" s="200">
        <f>('Perkins Loans'!E21*1000)/'Perkins Loans'!AK21</f>
        <v>1193.5405339608863</v>
      </c>
      <c r="F21" s="200">
        <f>('Perkins Loans'!F21*1000)/'Perkins Loans'!AL21</f>
        <v>1296.2041070317362</v>
      </c>
      <c r="G21" s="200">
        <f>('Perkins Loans'!G21*1000)/'Perkins Loans'!AM21</f>
        <v>1428.5472400948188</v>
      </c>
      <c r="H21" s="200">
        <f>('Perkins Loans'!H21*1000)/'Perkins Loans'!AN21</f>
        <v>1330.4937556860475</v>
      </c>
      <c r="I21" s="200">
        <f>('Perkins Loans'!I21*1000)/'Perkins Loans'!AO21</f>
        <v>1346.0736042727196</v>
      </c>
      <c r="J21" s="200">
        <f>('Perkins Loans'!J21*1000)/'Perkins Loans'!AP21</f>
        <v>1379.9808734459675</v>
      </c>
      <c r="K21" s="200">
        <f>('Perkins Loans'!K21*1000)/'Perkins Loans'!AQ21</f>
        <v>1558.0128161888701</v>
      </c>
      <c r="L21" s="200">
        <f>('Perkins Loans'!L21*1000)/'Perkins Loans'!AR21</f>
        <v>1662.9471755452271</v>
      </c>
      <c r="M21" s="200">
        <f>('Perkins Loans'!M21*1000)/'Perkins Loans'!AS21</f>
        <v>1680.8367619926198</v>
      </c>
      <c r="N21" s="200">
        <f>('Perkins Loans'!N21*1000)/'Perkins Loans'!AT21</f>
        <v>1699.9130766298133</v>
      </c>
      <c r="O21" s="200">
        <f>('Perkins Loans'!O21*1000)/'Perkins Loans'!AU21</f>
        <v>1741.3235648706298</v>
      </c>
      <c r="P21" s="200">
        <f>('Perkins Loans'!P21*1000)/'Perkins Loans'!AV21</f>
        <v>1533.5384036144578</v>
      </c>
      <c r="Q21" s="200">
        <f>('Perkins Loans'!Q21*1000)/'Perkins Loans'!AW21</f>
        <v>1785.1905704856199</v>
      </c>
      <c r="R21" s="200">
        <f>('Perkins Loans'!R21*1000)/'Perkins Loans'!AX21</f>
        <v>1940.8841948310139</v>
      </c>
      <c r="S21" s="200">
        <f>('Perkins Loans'!S21*1000)/'Perkins Loans'!AY21</f>
        <v>2003.5876772709851</v>
      </c>
      <c r="T21" s="200">
        <f>('Perkins Loans'!T21*1000)/'Perkins Loans'!AZ21</f>
        <v>2129.3211339301388</v>
      </c>
      <c r="U21" s="200">
        <f>('Perkins Loans'!U21*1000)/'Perkins Loans'!BA21</f>
        <v>2316.417467683129</v>
      </c>
      <c r="V21" s="200">
        <f>('Perkins Loans'!V21*1000)/'Perkins Loans'!BB21</f>
        <v>2478.8106970077047</v>
      </c>
      <c r="W21" s="200">
        <f>('Perkins Loans'!W21*1000)/'Perkins Loans'!BC21</f>
        <v>2422.5735111111112</v>
      </c>
      <c r="X21" s="200">
        <f>('Perkins Loans'!X21*1000)/'Perkins Loans'!BD21</f>
        <v>2456.4372773298333</v>
      </c>
      <c r="Y21" s="200">
        <f>('Perkins Loans'!Y21*1000)/'Perkins Loans'!BE21</f>
        <v>2222.3494307748806</v>
      </c>
      <c r="Z21" s="200">
        <f>('Perkins Loans'!Z21*1000)/'Perkins Loans'!BF21</f>
        <v>2198.5728900255754</v>
      </c>
      <c r="AA21" s="200">
        <f>('Perkins Loans'!AA21*1000)/'Perkins Loans'!BG21</f>
        <v>2239.951297349799</v>
      </c>
      <c r="AB21" s="200">
        <f>('Perkins Loans'!AB21*1000)/'Perkins Loans'!BH21</f>
        <v>2129.8403041825095</v>
      </c>
      <c r="AC21" s="200">
        <f>('Perkins Loans'!AC21*1000)/'Perkins Loans'!BI21</f>
        <v>2411.1108653580313</v>
      </c>
      <c r="AD21" s="200">
        <f>('Perkins Loans'!AD21*1000)/'Perkins Loans'!BJ21</f>
        <v>2477.7033910229352</v>
      </c>
      <c r="AE21" s="200">
        <f>('Perkins Loans'!AE21*1000)/'Perkins Loans'!BK21</f>
        <v>2520.8400358606559</v>
      </c>
      <c r="AF21" s="200">
        <f>('Perkins Loans'!AF21*1000)/'Perkins Loans'!BL21</f>
        <v>2382.4324498198662</v>
      </c>
      <c r="AG21" s="200">
        <f>('Perkins Loans'!AG21*1000)/'Perkins Loans'!BM21</f>
        <v>2611.4686530105523</v>
      </c>
    </row>
    <row r="22" spans="1:33">
      <c r="A22" s="171" t="s">
        <v>32</v>
      </c>
      <c r="B22" s="200">
        <f>('Perkins Loans'!B22*1000)/'Perkins Loans'!AH22</f>
        <v>769.50647918389859</v>
      </c>
      <c r="C22" s="200">
        <f>('Perkins Loans'!C22*1000)/'Perkins Loans'!AI22</f>
        <v>264.05867970660148</v>
      </c>
      <c r="D22" s="200">
        <f>('Perkins Loans'!D22*1000)/'Perkins Loans'!AJ22</f>
        <v>935.62481794348969</v>
      </c>
      <c r="E22" s="200">
        <f>('Perkins Loans'!E22*1000)/'Perkins Loans'!AK22</f>
        <v>1005.8276893999055</v>
      </c>
      <c r="F22" s="200">
        <f>('Perkins Loans'!F22*1000)/'Perkins Loans'!AL22</f>
        <v>1020.7841981132076</v>
      </c>
      <c r="G22" s="200">
        <f>('Perkins Loans'!G22*1000)/'Perkins Loans'!AM22</f>
        <v>1112.4511082138201</v>
      </c>
      <c r="H22" s="200">
        <f>('Perkins Loans'!H22*1000)/'Perkins Loans'!AN22</f>
        <v>1148.0428236868518</v>
      </c>
      <c r="I22" s="200">
        <f>('Perkins Loans'!I22*1000)/'Perkins Loans'!AO22</f>
        <v>1159.9438793405823</v>
      </c>
      <c r="J22" s="200">
        <f>('Perkins Loans'!J22*1000)/'Perkins Loans'!AP22</f>
        <v>1175.3601589667164</v>
      </c>
      <c r="K22" s="200">
        <f>('Perkins Loans'!K22*1000)/'Perkins Loans'!AQ22</f>
        <v>1396.7088000000001</v>
      </c>
      <c r="L22" s="200">
        <f>('Perkins Loans'!L22*1000)/'Perkins Loans'!AR22</f>
        <v>1448.7151515151515</v>
      </c>
      <c r="M22" s="200">
        <f>('Perkins Loans'!M22*1000)/'Perkins Loans'!AS22</f>
        <v>1442.3154112554112</v>
      </c>
      <c r="N22" s="200">
        <f>('Perkins Loans'!N22*1000)/'Perkins Loans'!AT22</f>
        <v>1436.2712121212121</v>
      </c>
      <c r="O22" s="200">
        <f>('Perkins Loans'!O22*1000)/'Perkins Loans'!AU22</f>
        <v>1523.4195780590717</v>
      </c>
      <c r="P22" s="200">
        <f>('Perkins Loans'!P22*1000)/'Perkins Loans'!AV22</f>
        <v>1432.5894829097283</v>
      </c>
      <c r="Q22" s="200">
        <f>('Perkins Loans'!Q22*1000)/'Perkins Loans'!AW22</f>
        <v>1554.5652494018038</v>
      </c>
      <c r="R22" s="200">
        <f>('Perkins Loans'!R22*1000)/'Perkins Loans'!AX22</f>
        <v>1676.7674014927964</v>
      </c>
      <c r="S22" s="200">
        <f>('Perkins Loans'!S22*1000)/'Perkins Loans'!AY22</f>
        <v>1681.1906719085061</v>
      </c>
      <c r="T22" s="200">
        <f>('Perkins Loans'!T22*1000)/'Perkins Loans'!AZ22</f>
        <v>1892.514713300824</v>
      </c>
      <c r="U22" s="200">
        <f>('Perkins Loans'!U22*1000)/'Perkins Loans'!BA22</f>
        <v>1974.130885742509</v>
      </c>
      <c r="V22" s="200">
        <f>('Perkins Loans'!V22*1000)/'Perkins Loans'!BB22</f>
        <v>2110.4813473379209</v>
      </c>
      <c r="W22" s="200">
        <f>('Perkins Loans'!W22*1000)/'Perkins Loans'!BC22</f>
        <v>2168.236236933798</v>
      </c>
      <c r="X22" s="200">
        <f>('Perkins Loans'!X22*1000)/'Perkins Loans'!BD22</f>
        <v>2172.8692282321899</v>
      </c>
      <c r="Y22" s="200">
        <f>('Perkins Loans'!Y22*1000)/'Perkins Loans'!BE22</f>
        <v>1824.6052287581699</v>
      </c>
      <c r="Z22" s="200">
        <f>('Perkins Loans'!Z22*1000)/'Perkins Loans'!BF22</f>
        <v>1881.2644970414201</v>
      </c>
      <c r="AA22" s="200">
        <f>('Perkins Loans'!AA22*1000)/'Perkins Loans'!BG22</f>
        <v>1820.6179281839318</v>
      </c>
      <c r="AB22" s="200">
        <f>('Perkins Loans'!AB22*1000)/'Perkins Loans'!BH22</f>
        <v>1947.61076703192</v>
      </c>
      <c r="AC22" s="200">
        <f>('Perkins Loans'!AC22*1000)/'Perkins Loans'!BI22</f>
        <v>1681.941493456505</v>
      </c>
      <c r="AD22" s="200">
        <f>('Perkins Loans'!AD22*1000)/'Perkins Loans'!BJ22</f>
        <v>1834.7062572421785</v>
      </c>
      <c r="AE22" s="200">
        <f>('Perkins Loans'!AE22*1000)/'Perkins Loans'!BK22</f>
        <v>2041.5553793884485</v>
      </c>
      <c r="AF22" s="200">
        <f>('Perkins Loans'!AF22*1000)/'Perkins Loans'!BL22</f>
        <v>1984.5534234627125</v>
      </c>
      <c r="AG22" s="200">
        <f>('Perkins Loans'!AG22*1000)/'Perkins Loans'!BM22</f>
        <v>2055.8881748071981</v>
      </c>
    </row>
    <row r="23" spans="1:33">
      <c r="A23" s="40" t="s">
        <v>217</v>
      </c>
      <c r="B23" s="202"/>
      <c r="C23" s="202"/>
      <c r="D23" s="202"/>
      <c r="E23" s="202"/>
      <c r="F23" s="202"/>
      <c r="G23" s="202"/>
      <c r="H23" s="202"/>
      <c r="I23" s="202"/>
      <c r="J23" s="202"/>
      <c r="K23" s="202"/>
      <c r="L23" s="202"/>
      <c r="M23" s="202"/>
      <c r="N23" s="202"/>
      <c r="O23" s="202"/>
      <c r="P23" s="202">
        <f>('Perkins Loans'!P23*1000)/'Perkins Loans'!AV23</f>
        <v>1728.4097586785606</v>
      </c>
      <c r="Q23" s="202">
        <f>('Perkins Loans'!Q23*1000)/'Perkins Loans'!AW23</f>
        <v>1775.3103680279887</v>
      </c>
      <c r="R23" s="202">
        <f>('Perkins Loans'!R23*1000)/'Perkins Loans'!AX23</f>
        <v>1844.7850493309438</v>
      </c>
      <c r="S23" s="202">
        <f>('Perkins Loans'!S23*1000)/'Perkins Loans'!AY23</f>
        <v>2019.6480023428023</v>
      </c>
      <c r="T23" s="202">
        <f>('Perkins Loans'!T23*1000)/'Perkins Loans'!AZ23</f>
        <v>2149.7129759178347</v>
      </c>
      <c r="U23" s="202">
        <f>('Perkins Loans'!U23*1000)/'Perkins Loans'!BA23</f>
        <v>2285.5228218841203</v>
      </c>
      <c r="V23" s="202">
        <f>('Perkins Loans'!V23*1000)/'Perkins Loans'!BB23</f>
        <v>2355.6928958638855</v>
      </c>
      <c r="W23" s="202">
        <f>('Perkins Loans'!W23*1000)/'Perkins Loans'!BC23</f>
        <v>2341.8220491678117</v>
      </c>
      <c r="X23" s="202">
        <f>('Perkins Loans'!X23*1000)/'Perkins Loans'!BD23</f>
        <v>2321.4449900248992</v>
      </c>
      <c r="Y23" s="202">
        <f>('Perkins Loans'!Y23*1000)/'Perkins Loans'!BE23</f>
        <v>2216.9311289733287</v>
      </c>
      <c r="Z23" s="202">
        <f>('Perkins Loans'!Z23*1000)/'Perkins Loans'!BF23</f>
        <v>1974.9709218175346</v>
      </c>
      <c r="AA23" s="202">
        <f>('Perkins Loans'!AA23*1000)/'Perkins Loans'!BG23</f>
        <v>1862.5137987637538</v>
      </c>
      <c r="AB23" s="202">
        <f>('Perkins Loans'!AB23*1000)/'Perkins Loans'!BH23</f>
        <v>1930.7590893152942</v>
      </c>
      <c r="AC23" s="202">
        <f>('Perkins Loans'!AC23*1000)/'Perkins Loans'!BI23</f>
        <v>1961.8006884564265</v>
      </c>
      <c r="AD23" s="202">
        <f>('Perkins Loans'!AD23*1000)/'Perkins Loans'!BJ23</f>
        <v>2043.3994394606464</v>
      </c>
      <c r="AE23" s="202">
        <f>('Perkins Loans'!AE23*1000)/'Perkins Loans'!BK23</f>
        <v>2186.7716614662204</v>
      </c>
      <c r="AF23" s="202">
        <f>('Perkins Loans'!AF23*1000)/'Perkins Loans'!BL23</f>
        <v>2206.0113451498692</v>
      </c>
      <c r="AG23" s="202">
        <f>('Perkins Loans'!AG23*1000)/'Perkins Loans'!BM23</f>
        <v>2512.9108795837792</v>
      </c>
    </row>
    <row r="24" spans="1:33" s="174" customFormat="1">
      <c r="A24" s="173" t="s">
        <v>215</v>
      </c>
      <c r="B24" s="197"/>
      <c r="C24" s="197"/>
      <c r="D24" s="197"/>
      <c r="E24" s="197"/>
      <c r="F24" s="197"/>
      <c r="G24" s="197"/>
      <c r="H24" s="197"/>
      <c r="I24" s="197"/>
      <c r="J24" s="197"/>
      <c r="K24" s="197"/>
      <c r="L24" s="197"/>
      <c r="M24" s="197"/>
      <c r="N24" s="197"/>
      <c r="O24" s="197"/>
      <c r="P24" s="197">
        <f t="shared" ref="P24" si="16">(P23/P4)*100</f>
        <v>107.11960474780309</v>
      </c>
      <c r="Q24" s="197">
        <f t="shared" ref="Q24" si="17">(Q23/Q4)*100</f>
        <v>104.8467084422693</v>
      </c>
      <c r="R24" s="197">
        <f t="shared" ref="R24" si="18">(R23/R4)*100</f>
        <v>102.69368577705814</v>
      </c>
      <c r="S24" s="197">
        <f t="shared" ref="S24" si="19">(S23/S4)*100</f>
        <v>107.34634661531499</v>
      </c>
      <c r="T24" s="197">
        <f t="shared" ref="T24" si="20">(T23/T4)*100</f>
        <v>106.94407045888603</v>
      </c>
      <c r="U24" s="197">
        <f t="shared" ref="U24" si="21">(U23/U4)*100</f>
        <v>105.17727627873425</v>
      </c>
      <c r="V24" s="197">
        <f t="shared" ref="V24" si="22">(V23/V4)*100</f>
        <v>106.59836226620594</v>
      </c>
      <c r="W24" s="197">
        <f t="shared" ref="W24" si="23">(W23/W4)*100</f>
        <v>106.69808555230492</v>
      </c>
      <c r="X24" s="197">
        <f t="shared" ref="X24" si="24">(X23/X4)*100</f>
        <v>103.93839892922144</v>
      </c>
      <c r="Y24" s="197">
        <f t="shared" ref="Y24" si="25">(Y23/Y4)*100</f>
        <v>104.25615271789484</v>
      </c>
      <c r="Z24" s="197">
        <f t="shared" ref="Z24" si="26">(Z23/Z4)*100</f>
        <v>100.28409939873293</v>
      </c>
      <c r="AA24" s="197">
        <f t="shared" ref="AA24:AB24" si="27">(AA23/AA4)*100</f>
        <v>100.55107356353246</v>
      </c>
      <c r="AB24" s="197">
        <f t="shared" si="27"/>
        <v>103.78170311056176</v>
      </c>
      <c r="AC24" s="197">
        <f t="shared" ref="AC24:AD24" si="28">(AC23/AC4)*100</f>
        <v>100.08799185168267</v>
      </c>
      <c r="AD24" s="197">
        <f t="shared" si="28"/>
        <v>100.92173315793265</v>
      </c>
      <c r="AE24" s="197">
        <f t="shared" ref="AE24:AF24" si="29">(AE23/AE4)*100</f>
        <v>100.59225965678873</v>
      </c>
      <c r="AF24" s="197">
        <f t="shared" si="29"/>
        <v>100.30209304700566</v>
      </c>
      <c r="AG24" s="197">
        <f t="shared" ref="AG24" si="30">(AG23/AG4)*100</f>
        <v>101.34618593554572</v>
      </c>
    </row>
    <row r="25" spans="1:33">
      <c r="A25" s="39" t="s">
        <v>142</v>
      </c>
      <c r="B25" s="200"/>
      <c r="C25" s="200"/>
      <c r="D25" s="200"/>
      <c r="E25" s="200"/>
      <c r="F25" s="200"/>
      <c r="G25" s="200"/>
      <c r="H25" s="200"/>
      <c r="I25" s="200"/>
      <c r="J25" s="200"/>
      <c r="K25" s="200"/>
      <c r="L25" s="200"/>
      <c r="M25" s="200"/>
      <c r="N25" s="200"/>
      <c r="O25" s="200"/>
      <c r="P25" s="200">
        <f>('Perkins Loans'!P25*1000)/'Perkins Loans'!AV25</f>
        <v>2273.0124999999998</v>
      </c>
      <c r="Q25" s="200">
        <f>('Perkins Loans'!Q25*1000)/'Perkins Loans'!AW25</f>
        <v>1887.4691358024691</v>
      </c>
      <c r="R25" s="200">
        <f>('Perkins Loans'!R25*1000)/'Perkins Loans'!AX25</f>
        <v>2601.9166666666665</v>
      </c>
      <c r="S25" s="200">
        <f>('Perkins Loans'!S25*1000)/'Perkins Loans'!AY25</f>
        <v>757.09302325581393</v>
      </c>
      <c r="T25" s="200">
        <f>('Perkins Loans'!T25*1000)/'Perkins Loans'!AZ25</f>
        <v>1635.1315789473683</v>
      </c>
      <c r="U25" s="200">
        <f>('Perkins Loans'!U25*1000)/'Perkins Loans'!BA25</f>
        <v>1668.340909090909</v>
      </c>
      <c r="V25" s="200">
        <f>('Perkins Loans'!V25*1000)/'Perkins Loans'!BB25</f>
        <v>2617.5</v>
      </c>
      <c r="W25" s="200">
        <f>('Perkins Loans'!W25*1000)/'Perkins Loans'!BC25</f>
        <v>2340.909090909091</v>
      </c>
      <c r="X25" s="200"/>
      <c r="Y25" s="200"/>
      <c r="Z25" s="200"/>
      <c r="AA25" s="200"/>
      <c r="AB25" s="200"/>
      <c r="AC25" s="200"/>
      <c r="AD25" s="200"/>
      <c r="AE25" s="200"/>
      <c r="AF25" s="200"/>
      <c r="AG25" s="200"/>
    </row>
    <row r="26" spans="1:33">
      <c r="A26" s="39" t="s">
        <v>143</v>
      </c>
      <c r="B26" s="200"/>
      <c r="C26" s="200"/>
      <c r="D26" s="200"/>
      <c r="E26" s="200"/>
      <c r="F26" s="200"/>
      <c r="G26" s="200"/>
      <c r="H26" s="200"/>
      <c r="I26" s="200"/>
      <c r="J26" s="200"/>
      <c r="K26" s="200"/>
      <c r="L26" s="200"/>
      <c r="M26" s="200"/>
      <c r="N26" s="200"/>
      <c r="O26" s="200"/>
      <c r="P26" s="200">
        <f>('Perkins Loans'!P26*1000)/'Perkins Loans'!AV26</f>
        <v>2072.8140053523639</v>
      </c>
      <c r="Q26" s="200">
        <f>('Perkins Loans'!Q26*1000)/'Perkins Loans'!AW26</f>
        <v>2426.3612463485883</v>
      </c>
      <c r="R26" s="200">
        <f>('Perkins Loans'!R26*1000)/'Perkins Loans'!AX26</f>
        <v>2472.2757411539687</v>
      </c>
      <c r="S26" s="200">
        <f>('Perkins Loans'!S26*1000)/'Perkins Loans'!AY26</f>
        <v>2528.859407717619</v>
      </c>
      <c r="T26" s="200">
        <f>('Perkins Loans'!T26*1000)/'Perkins Loans'!AZ26</f>
        <v>2762.730415991356</v>
      </c>
      <c r="U26" s="200">
        <f>('Perkins Loans'!U26*1000)/'Perkins Loans'!BA26</f>
        <v>2656.6751256882931</v>
      </c>
      <c r="V26" s="200">
        <f>('Perkins Loans'!V26*1000)/'Perkins Loans'!BB26</f>
        <v>2830.8546594471359</v>
      </c>
      <c r="W26" s="200">
        <f>('Perkins Loans'!W26*1000)/'Perkins Loans'!BC26</f>
        <v>2755.4558270676694</v>
      </c>
      <c r="X26" s="200">
        <f>('Perkins Loans'!X26*1000)/'Perkins Loans'!BD26</f>
        <v>2693.7616491827275</v>
      </c>
      <c r="Y26" s="200">
        <f>('Perkins Loans'!Y26*1000)/'Perkins Loans'!BE26</f>
        <v>2519.6199655765922</v>
      </c>
      <c r="Z26" s="200">
        <f>('Perkins Loans'!Z26*1000)/'Perkins Loans'!BF26</f>
        <v>2691.2041543026708</v>
      </c>
      <c r="AA26" s="200">
        <f>('Perkins Loans'!AA26*1000)/'Perkins Loans'!BG26</f>
        <v>2649.980040941658</v>
      </c>
      <c r="AB26" s="200">
        <f>('Perkins Loans'!AB26*1000)/'Perkins Loans'!BH26</f>
        <v>2582.41179245283</v>
      </c>
      <c r="AC26" s="200">
        <f>('Perkins Loans'!AC26*1000)/'Perkins Loans'!BI26</f>
        <v>2910.9722362443213</v>
      </c>
      <c r="AD26" s="200">
        <f>('Perkins Loans'!AD26*1000)/'Perkins Loans'!BJ26</f>
        <v>2945.6011730205278</v>
      </c>
      <c r="AE26" s="200">
        <f>('Perkins Loans'!AE26*1000)/'Perkins Loans'!BK26</f>
        <v>2990.2677252584936</v>
      </c>
      <c r="AF26" s="200">
        <f>('Perkins Loans'!AF26*1000)/'Perkins Loans'!BL26</f>
        <v>2975.2125326370756</v>
      </c>
      <c r="AG26" s="200">
        <f>('Perkins Loans'!AG26*1000)/'Perkins Loans'!BM26</f>
        <v>2997.4763948497853</v>
      </c>
    </row>
    <row r="27" spans="1:33">
      <c r="A27" s="39" t="s">
        <v>144</v>
      </c>
      <c r="B27" s="200"/>
      <c r="C27" s="200"/>
      <c r="D27" s="200"/>
      <c r="E27" s="200"/>
      <c r="F27" s="200"/>
      <c r="G27" s="200"/>
      <c r="H27" s="200"/>
      <c r="I27" s="200"/>
      <c r="J27" s="200"/>
      <c r="K27" s="200"/>
      <c r="L27" s="200"/>
      <c r="M27" s="200"/>
      <c r="N27" s="200"/>
      <c r="O27" s="200"/>
      <c r="P27" s="200">
        <f>('Perkins Loans'!P27*1000)/'Perkins Loans'!AV27</f>
        <v>1737.6335942529904</v>
      </c>
      <c r="Q27" s="200">
        <f>('Perkins Loans'!Q27*1000)/'Perkins Loans'!AW27</f>
        <v>1752.2386043992522</v>
      </c>
      <c r="R27" s="200">
        <f>('Perkins Loans'!R27*1000)/'Perkins Loans'!AX27</f>
        <v>1833.2207559669823</v>
      </c>
      <c r="S27" s="200">
        <f>('Perkins Loans'!S27*1000)/'Perkins Loans'!AY27</f>
        <v>2046.4711509159245</v>
      </c>
      <c r="T27" s="200">
        <f>('Perkins Loans'!T27*1000)/'Perkins Loans'!AZ27</f>
        <v>2196.8185001505235</v>
      </c>
      <c r="U27" s="200">
        <f>('Perkins Loans'!U27*1000)/'Perkins Loans'!BA27</f>
        <v>2360.5420186320412</v>
      </c>
      <c r="V27" s="200">
        <f>('Perkins Loans'!V27*1000)/'Perkins Loans'!BB27</f>
        <v>2441.2647090675619</v>
      </c>
      <c r="W27" s="200">
        <f>('Perkins Loans'!W27*1000)/'Perkins Loans'!BC27</f>
        <v>2516.2626552669785</v>
      </c>
      <c r="X27" s="200">
        <f>('Perkins Loans'!X27*1000)/'Perkins Loans'!BD27</f>
        <v>2417.2753484136406</v>
      </c>
      <c r="Y27" s="200">
        <f>('Perkins Loans'!Y27*1000)/'Perkins Loans'!BE27</f>
        <v>2259.3139238520957</v>
      </c>
      <c r="Z27" s="200">
        <f>('Perkins Loans'!Z27*1000)/'Perkins Loans'!BF27</f>
        <v>2043.6476737615369</v>
      </c>
      <c r="AA27" s="200">
        <f>('Perkins Loans'!AA27*1000)/'Perkins Loans'!BG27</f>
        <v>1936.6677323277863</v>
      </c>
      <c r="AB27" s="200">
        <f>('Perkins Loans'!AB27*1000)/'Perkins Loans'!BH27</f>
        <v>2075.3881985976491</v>
      </c>
      <c r="AC27" s="200">
        <f>('Perkins Loans'!AC27*1000)/'Perkins Loans'!BI27</f>
        <v>2131.819403303396</v>
      </c>
      <c r="AD27" s="200">
        <f>('Perkins Loans'!AD27*1000)/'Perkins Loans'!BJ27</f>
        <v>2239.5616366455924</v>
      </c>
      <c r="AE27" s="200">
        <f>('Perkins Loans'!AE27*1000)/'Perkins Loans'!BK27</f>
        <v>2328.0529692241007</v>
      </c>
      <c r="AF27" s="200">
        <f>('Perkins Loans'!AF27*1000)/'Perkins Loans'!BL27</f>
        <v>2341.0921770111445</v>
      </c>
      <c r="AG27" s="200">
        <f>('Perkins Loans'!AG27*1000)/'Perkins Loans'!BM27</f>
        <v>2661.9870837311169</v>
      </c>
    </row>
    <row r="28" spans="1:33">
      <c r="A28" s="39" t="s">
        <v>145</v>
      </c>
      <c r="B28" s="200"/>
      <c r="C28" s="200"/>
      <c r="D28" s="200"/>
      <c r="E28" s="200"/>
      <c r="F28" s="200"/>
      <c r="G28" s="200"/>
      <c r="H28" s="200"/>
      <c r="I28" s="200"/>
      <c r="J28" s="200"/>
      <c r="K28" s="200"/>
      <c r="L28" s="200"/>
      <c r="M28" s="200"/>
      <c r="N28" s="200"/>
      <c r="O28" s="200"/>
      <c r="P28" s="200">
        <f>('Perkins Loans'!P28*1000)/'Perkins Loans'!AV28</f>
        <v>1686.1263157894737</v>
      </c>
      <c r="Q28" s="200">
        <f>('Perkins Loans'!Q28*1000)/'Perkins Loans'!AW28</f>
        <v>1779.2819939144442</v>
      </c>
      <c r="R28" s="200">
        <f>('Perkins Loans'!R28*1000)/'Perkins Loans'!AX28</f>
        <v>1810.9806026365347</v>
      </c>
      <c r="S28" s="200">
        <f>('Perkins Loans'!S28*1000)/'Perkins Loans'!AY28</f>
        <v>1833.6326262436644</v>
      </c>
      <c r="T28" s="200">
        <f>('Perkins Loans'!T28*1000)/'Perkins Loans'!AZ28</f>
        <v>2012.9601200686106</v>
      </c>
      <c r="U28" s="200">
        <f>('Perkins Loans'!U28*1000)/'Perkins Loans'!BA28</f>
        <v>2605.7728079817366</v>
      </c>
      <c r="V28" s="200">
        <f>('Perkins Loans'!V28*1000)/'Perkins Loans'!BB28</f>
        <v>2316.5709796672827</v>
      </c>
      <c r="W28" s="200">
        <f>('Perkins Loans'!W28*1000)/'Perkins Loans'!BC28</f>
        <v>2431.5970359253351</v>
      </c>
      <c r="X28" s="200">
        <f>('Perkins Loans'!X28*1000)/'Perkins Loans'!BD28</f>
        <v>2623.6220732336255</v>
      </c>
      <c r="Y28" s="200">
        <f>('Perkins Loans'!Y28*1000)/'Perkins Loans'!BE28</f>
        <v>2435.3740307834742</v>
      </c>
      <c r="Z28" s="200">
        <f>('Perkins Loans'!Z28*1000)/'Perkins Loans'!BF28</f>
        <v>2553.8776899429072</v>
      </c>
      <c r="AA28" s="200">
        <f>('Perkins Loans'!AA28*1000)/'Perkins Loans'!BG28</f>
        <v>2362.0976213130352</v>
      </c>
      <c r="AB28" s="200">
        <f>('Perkins Loans'!AB28*1000)/'Perkins Loans'!BH28</f>
        <v>2363.9739080015461</v>
      </c>
      <c r="AC28" s="200">
        <f>('Perkins Loans'!AC28*1000)/'Perkins Loans'!BI28</f>
        <v>2578.9511489361703</v>
      </c>
      <c r="AD28" s="200">
        <f>('Perkins Loans'!AD28*1000)/'Perkins Loans'!BJ28</f>
        <v>2693.280459357617</v>
      </c>
      <c r="AE28" s="200">
        <f>('Perkins Loans'!AE28*1000)/'Perkins Loans'!BK28</f>
        <v>2792.6760013577732</v>
      </c>
      <c r="AF28" s="200">
        <f>('Perkins Loans'!AF28*1000)/'Perkins Loans'!BL28</f>
        <v>2921.7572597465105</v>
      </c>
      <c r="AG28" s="200">
        <f>('Perkins Loans'!AG28*1000)/'Perkins Loans'!BM28</f>
        <v>3072.4185761047465</v>
      </c>
    </row>
    <row r="29" spans="1:33">
      <c r="A29" s="39" t="s">
        <v>148</v>
      </c>
      <c r="B29" s="200"/>
      <c r="C29" s="200"/>
      <c r="D29" s="200"/>
      <c r="E29" s="200"/>
      <c r="F29" s="200"/>
      <c r="G29" s="200"/>
      <c r="H29" s="200"/>
      <c r="I29" s="200"/>
      <c r="J29" s="200"/>
      <c r="K29" s="200"/>
      <c r="L29" s="200"/>
      <c r="M29" s="200"/>
      <c r="N29" s="200"/>
      <c r="O29" s="200"/>
      <c r="P29" s="200">
        <f>('Perkins Loans'!P29*1000)/'Perkins Loans'!AV29</f>
        <v>2350.7848101265822</v>
      </c>
      <c r="Q29" s="200">
        <f>('Perkins Loans'!Q29*1000)/'Perkins Loans'!AW29</f>
        <v>2335.3879056047199</v>
      </c>
      <c r="R29" s="200">
        <f>('Perkins Loans'!R29*1000)/'Perkins Loans'!AX29</f>
        <v>2378.5795081967212</v>
      </c>
      <c r="S29" s="200">
        <f>('Perkins Loans'!S29*1000)/'Perkins Loans'!AY29</f>
        <v>2487.2673992673995</v>
      </c>
      <c r="T29" s="200">
        <f>('Perkins Loans'!T29*1000)/'Perkins Loans'!AZ29</f>
        <v>2559.3374352331607</v>
      </c>
      <c r="U29" s="200">
        <f>('Perkins Loans'!U29*1000)/'Perkins Loans'!BA29</f>
        <v>2341.617554858934</v>
      </c>
      <c r="V29" s="200">
        <f>('Perkins Loans'!V29*1000)/'Perkins Loans'!BB29</f>
        <v>2780.0534473543557</v>
      </c>
      <c r="W29" s="200">
        <f>('Perkins Loans'!W29*1000)/'Perkins Loans'!BC29</f>
        <v>2516.2839506172841</v>
      </c>
      <c r="X29" s="200">
        <f>('Perkins Loans'!X29*1000)/'Perkins Loans'!BD29</f>
        <v>2410.5</v>
      </c>
      <c r="Y29" s="200">
        <f>('Perkins Loans'!Y29*1000)/'Perkins Loans'!BE29</f>
        <v>2897.2977528089887</v>
      </c>
      <c r="Z29" s="200">
        <f>('Perkins Loans'!Z29*1000)/'Perkins Loans'!BF29</f>
        <v>3037.1046600458367</v>
      </c>
      <c r="AA29" s="200">
        <f>('Perkins Loans'!AA29*1000)/'Perkins Loans'!BG29</f>
        <v>2610.1748998664884</v>
      </c>
      <c r="AB29" s="200">
        <f>('Perkins Loans'!AB29*1000)/'Perkins Loans'!BH29</f>
        <v>2445.9902548725636</v>
      </c>
      <c r="AC29" s="200">
        <f>('Perkins Loans'!AC29*1000)/'Perkins Loans'!BI29</f>
        <v>2514.2204651162792</v>
      </c>
      <c r="AD29" s="200">
        <f>('Perkins Loans'!AD29*1000)/'Perkins Loans'!BJ29</f>
        <v>2475.0410480349346</v>
      </c>
      <c r="AE29" s="200">
        <f>('Perkins Loans'!AE29*1000)/'Perkins Loans'!BK29</f>
        <v>2481.5757575757575</v>
      </c>
      <c r="AF29" s="200">
        <f>('Perkins Loans'!AF29*1000)/'Perkins Loans'!BL29</f>
        <v>2539.4741379310344</v>
      </c>
      <c r="AG29" s="200">
        <f>('Perkins Loans'!AG29*1000)/'Perkins Loans'!BM29</f>
        <v>2596.1282798833818</v>
      </c>
    </row>
    <row r="30" spans="1:33">
      <c r="A30" s="39" t="s">
        <v>149</v>
      </c>
      <c r="B30" s="200"/>
      <c r="C30" s="200"/>
      <c r="D30" s="200"/>
      <c r="E30" s="200"/>
      <c r="F30" s="200"/>
      <c r="G30" s="200"/>
      <c r="H30" s="200"/>
      <c r="I30" s="200"/>
      <c r="J30" s="200"/>
      <c r="K30" s="200"/>
      <c r="L30" s="200"/>
      <c r="M30" s="200"/>
      <c r="N30" s="200"/>
      <c r="O30" s="200"/>
      <c r="P30" s="200">
        <f>('Perkins Loans'!P30*1000)/'Perkins Loans'!AV30</f>
        <v>1188.5977358490566</v>
      </c>
      <c r="Q30" s="200">
        <f>('Perkins Loans'!Q30*1000)/'Perkins Loans'!AW30</f>
        <v>1321.9449565446405</v>
      </c>
      <c r="R30" s="200">
        <f>('Perkins Loans'!R30*1000)/'Perkins Loans'!AX30</f>
        <v>1390.7154120040691</v>
      </c>
      <c r="S30" s="200">
        <f>('Perkins Loans'!S30*1000)/'Perkins Loans'!AY30</f>
        <v>1341.4936413184532</v>
      </c>
      <c r="T30" s="200">
        <f>('Perkins Loans'!T30*1000)/'Perkins Loans'!AZ30</f>
        <v>1408.2492307692307</v>
      </c>
      <c r="U30" s="200">
        <f>('Perkins Loans'!U30*1000)/'Perkins Loans'!BA30</f>
        <v>1408.283248964565</v>
      </c>
      <c r="V30" s="200">
        <f>('Perkins Loans'!V30*1000)/'Perkins Loans'!BB30</f>
        <v>1752.486705638318</v>
      </c>
      <c r="W30" s="200">
        <f>('Perkins Loans'!W30*1000)/'Perkins Loans'!BC30</f>
        <v>1507.4212910532276</v>
      </c>
      <c r="X30" s="200">
        <f>('Perkins Loans'!X30*1000)/'Perkins Loans'!BD30</f>
        <v>1683.6235586705857</v>
      </c>
      <c r="Y30" s="200">
        <f>('Perkins Loans'!Y30*1000)/'Perkins Loans'!BE30</f>
        <v>1363.49852841295</v>
      </c>
      <c r="Z30" s="200">
        <f>('Perkins Loans'!Z30*1000)/'Perkins Loans'!BF30</f>
        <v>1384.2535315985131</v>
      </c>
      <c r="AA30" s="200">
        <f>('Perkins Loans'!AA30*1000)/'Perkins Loans'!BG30</f>
        <v>1424.7789100575985</v>
      </c>
      <c r="AB30" s="200">
        <f>('Perkins Loans'!AB30*1000)/'Perkins Loans'!BH30</f>
        <v>1350.9098540145985</v>
      </c>
      <c r="AC30" s="200">
        <f>('Perkins Loans'!AC30*1000)/'Perkins Loans'!BI30</f>
        <v>1342.207917383821</v>
      </c>
      <c r="AD30" s="200">
        <f>('Perkins Loans'!AD30*1000)/'Perkins Loans'!BJ30</f>
        <v>1183.4930467762326</v>
      </c>
      <c r="AE30" s="200">
        <f>('Perkins Loans'!AE30*1000)/'Perkins Loans'!BK30</f>
        <v>1244.7985895627644</v>
      </c>
      <c r="AF30" s="200">
        <f>('Perkins Loans'!AF30*1000)/'Perkins Loans'!BL30</f>
        <v>1481.5341534477177</v>
      </c>
      <c r="AG30" s="200">
        <f>('Perkins Loans'!AG30*1000)/'Perkins Loans'!BM30</f>
        <v>2076.2553613979348</v>
      </c>
    </row>
    <row r="31" spans="1:33">
      <c r="A31" s="39" t="s">
        <v>159</v>
      </c>
      <c r="B31" s="200"/>
      <c r="C31" s="200"/>
      <c r="D31" s="200"/>
      <c r="E31" s="200"/>
      <c r="F31" s="200"/>
      <c r="G31" s="200"/>
      <c r="H31" s="200"/>
      <c r="I31" s="200"/>
      <c r="J31" s="200"/>
      <c r="K31" s="200"/>
      <c r="L31" s="200"/>
      <c r="M31" s="200"/>
      <c r="N31" s="200"/>
      <c r="O31" s="200"/>
      <c r="P31" s="200">
        <f>('Perkins Loans'!P31*1000)/'Perkins Loans'!AV31</f>
        <v>1458.0979104477613</v>
      </c>
      <c r="Q31" s="200">
        <f>('Perkins Loans'!Q31*1000)/'Perkins Loans'!AW31</f>
        <v>1589.176363162014</v>
      </c>
      <c r="R31" s="200">
        <f>('Perkins Loans'!R31*1000)/'Perkins Loans'!AX31</f>
        <v>1744.1439563962808</v>
      </c>
      <c r="S31" s="200">
        <f>('Perkins Loans'!S31*1000)/'Perkins Loans'!AY31</f>
        <v>1932.4892456831262</v>
      </c>
      <c r="T31" s="200">
        <f>('Perkins Loans'!T31*1000)/'Perkins Loans'!AZ31</f>
        <v>1816.7734848484849</v>
      </c>
      <c r="U31" s="200">
        <f>('Perkins Loans'!U31*1000)/'Perkins Loans'!BA31</f>
        <v>1825.9301337863665</v>
      </c>
      <c r="V31" s="200">
        <f>('Perkins Loans'!V31*1000)/'Perkins Loans'!BB31</f>
        <v>1539.1586820295129</v>
      </c>
      <c r="W31" s="200">
        <f>('Perkins Loans'!W31*1000)/'Perkins Loans'!BC31</f>
        <v>1764.9677832302111</v>
      </c>
      <c r="X31" s="200">
        <f>('Perkins Loans'!X31*1000)/'Perkins Loans'!BD31</f>
        <v>1731.3190745224645</v>
      </c>
      <c r="Y31" s="200">
        <f>('Perkins Loans'!Y31*1000)/'Perkins Loans'!BE31</f>
        <v>1818.7238301977809</v>
      </c>
      <c r="Z31" s="200">
        <f>('Perkins Loans'!Z31*1000)/'Perkins Loans'!BF31</f>
        <v>1657.4147078576225</v>
      </c>
      <c r="AA31" s="200">
        <f>('Perkins Loans'!AA31*1000)/'Perkins Loans'!BG31</f>
        <v>1563.7620689655173</v>
      </c>
      <c r="AB31" s="200">
        <f>('Perkins Loans'!AB31*1000)/'Perkins Loans'!BH31</f>
        <v>1539.7293577981652</v>
      </c>
      <c r="AC31" s="200">
        <f>('Perkins Loans'!AC31*1000)/'Perkins Loans'!BI31</f>
        <v>1513.3538147932441</v>
      </c>
      <c r="AD31" s="200">
        <f>('Perkins Loans'!AD31*1000)/'Perkins Loans'!BJ31</f>
        <v>1276.4400871459695</v>
      </c>
      <c r="AE31" s="200">
        <f>('Perkins Loans'!AE31*1000)/'Perkins Loans'!BK31</f>
        <v>1431.8675257731959</v>
      </c>
      <c r="AF31" s="200">
        <f>('Perkins Loans'!AF31*1000)/'Perkins Loans'!BL31</f>
        <v>1937.2456933069755</v>
      </c>
      <c r="AG31" s="200">
        <f>('Perkins Loans'!AG31*1000)/'Perkins Loans'!BM31</f>
        <v>2271.044031647747</v>
      </c>
    </row>
    <row r="32" spans="1:33">
      <c r="A32" s="39" t="s">
        <v>161</v>
      </c>
      <c r="B32" s="200"/>
      <c r="C32" s="200"/>
      <c r="D32" s="200"/>
      <c r="E32" s="200"/>
      <c r="F32" s="200"/>
      <c r="G32" s="200"/>
      <c r="H32" s="200"/>
      <c r="I32" s="200"/>
      <c r="J32" s="200"/>
      <c r="K32" s="200"/>
      <c r="L32" s="200"/>
      <c r="M32" s="200"/>
      <c r="N32" s="200"/>
      <c r="O32" s="200"/>
      <c r="P32" s="200">
        <f>('Perkins Loans'!P32*1000)/'Perkins Loans'!AV32</f>
        <v>2401.0223713646533</v>
      </c>
      <c r="Q32" s="200">
        <f>('Perkins Loans'!Q32*1000)/'Perkins Loans'!AW32</f>
        <v>2603.6267029972751</v>
      </c>
      <c r="R32" s="200">
        <f>('Perkins Loans'!R32*1000)/'Perkins Loans'!AX32</f>
        <v>2523.4066390041494</v>
      </c>
      <c r="S32" s="200">
        <f>('Perkins Loans'!S32*1000)/'Perkins Loans'!AY32</f>
        <v>2631.2667910447763</v>
      </c>
      <c r="T32" s="200">
        <f>('Perkins Loans'!T32*1000)/'Perkins Loans'!AZ32</f>
        <v>2632.7021630615641</v>
      </c>
      <c r="U32" s="200">
        <f>('Perkins Loans'!U32*1000)/'Perkins Loans'!BA32</f>
        <v>3184.4905933429814</v>
      </c>
      <c r="V32" s="200">
        <f>('Perkins Loans'!V32*1000)/'Perkins Loans'!BB32</f>
        <v>3280.1994047619046</v>
      </c>
      <c r="W32" s="200">
        <f>('Perkins Loans'!W32*1000)/'Perkins Loans'!BC32</f>
        <v>3272.5254901960784</v>
      </c>
      <c r="X32" s="200">
        <f>('Perkins Loans'!X32*1000)/'Perkins Loans'!BD32</f>
        <v>2451.2276119402986</v>
      </c>
      <c r="Y32" s="200">
        <f>('Perkins Loans'!Y32*1000)/'Perkins Loans'!BE32</f>
        <v>1747.0328767123287</v>
      </c>
      <c r="Z32" s="200">
        <f>('Perkins Loans'!Z32*1000)/'Perkins Loans'!BF32</f>
        <v>2005.6108663729808</v>
      </c>
      <c r="AA32" s="200">
        <f>('Perkins Loans'!AA32*1000)/'Perkins Loans'!BG32</f>
        <v>1640.9071038251366</v>
      </c>
      <c r="AB32" s="200">
        <f>('Perkins Loans'!AB32*1000)/'Perkins Loans'!BH32</f>
        <v>1902.4949494949494</v>
      </c>
      <c r="AC32" s="200">
        <f>('Perkins Loans'!AC32*1000)/'Perkins Loans'!BI32</f>
        <v>2199.7899159663866</v>
      </c>
      <c r="AD32" s="200">
        <f>('Perkins Loans'!AD32*1000)/'Perkins Loans'!BJ32</f>
        <v>2243.9537480063796</v>
      </c>
      <c r="AE32" s="200">
        <f>('Perkins Loans'!AE32*1000)/'Perkins Loans'!BK32</f>
        <v>2535.1</v>
      </c>
      <c r="AF32" s="200">
        <f>('Perkins Loans'!AF32*1000)/'Perkins Loans'!BL32</f>
        <v>3051.5915492957747</v>
      </c>
      <c r="AG32" s="200">
        <f>('Perkins Loans'!AG32*1000)/'Perkins Loans'!BM32</f>
        <v>3118.7362637362639</v>
      </c>
    </row>
    <row r="33" spans="1:33">
      <c r="A33" s="39" t="s">
        <v>164</v>
      </c>
      <c r="B33" s="200"/>
      <c r="C33" s="200"/>
      <c r="D33" s="200"/>
      <c r="E33" s="200"/>
      <c r="F33" s="200"/>
      <c r="G33" s="200"/>
      <c r="H33" s="200"/>
      <c r="I33" s="200"/>
      <c r="J33" s="200"/>
      <c r="K33" s="200"/>
      <c r="L33" s="200"/>
      <c r="M33" s="200"/>
      <c r="N33" s="200"/>
      <c r="O33" s="200"/>
      <c r="P33" s="200">
        <f>('Perkins Loans'!P33*1000)/'Perkins Loans'!AV33</f>
        <v>1630.5626605766486</v>
      </c>
      <c r="Q33" s="200">
        <f>('Perkins Loans'!Q33*1000)/'Perkins Loans'!AW33</f>
        <v>1725.1087898089172</v>
      </c>
      <c r="R33" s="200">
        <f>('Perkins Loans'!R33*1000)/'Perkins Loans'!AX33</f>
        <v>2265.9879476584024</v>
      </c>
      <c r="S33" s="200">
        <f>('Perkins Loans'!S33*1000)/'Perkins Loans'!AY33</f>
        <v>2538.9015225137673</v>
      </c>
      <c r="T33" s="200">
        <f>('Perkins Loans'!T33*1000)/'Perkins Loans'!AZ33</f>
        <v>2535.693501805054</v>
      </c>
      <c r="U33" s="200">
        <f>('Perkins Loans'!U33*1000)/'Perkins Loans'!BA33</f>
        <v>2424.7212166918048</v>
      </c>
      <c r="V33" s="200">
        <f>('Perkins Loans'!V33*1000)/'Perkins Loans'!BB33</f>
        <v>2662.3565691336776</v>
      </c>
      <c r="W33" s="200">
        <f>('Perkins Loans'!W33*1000)/'Perkins Loans'!BC33</f>
        <v>2325.6723702664799</v>
      </c>
      <c r="X33" s="200">
        <f>('Perkins Loans'!X33*1000)/'Perkins Loans'!BD33</f>
        <v>2329.1360526315789</v>
      </c>
      <c r="Y33" s="200">
        <f>('Perkins Loans'!Y33*1000)/'Perkins Loans'!BE33</f>
        <v>2756.783084214364</v>
      </c>
      <c r="Z33" s="200">
        <f>('Perkins Loans'!Z33*1000)/'Perkins Loans'!BF33</f>
        <v>2391.4422110552764</v>
      </c>
      <c r="AA33" s="200">
        <f>('Perkins Loans'!AA33*1000)/'Perkins Loans'!BG33</f>
        <v>1939.5621028307337</v>
      </c>
      <c r="AB33" s="200">
        <f>('Perkins Loans'!AB33*1000)/'Perkins Loans'!BH33</f>
        <v>2318.0328947368421</v>
      </c>
      <c r="AC33" s="200">
        <f>('Perkins Loans'!AC33*1000)/'Perkins Loans'!BI33</f>
        <v>1850.1905195989061</v>
      </c>
      <c r="AD33" s="200">
        <f>('Perkins Loans'!AD33*1000)/'Perkins Loans'!BJ33</f>
        <v>1929.2227390180879</v>
      </c>
      <c r="AE33" s="200">
        <f>('Perkins Loans'!AE33*1000)/'Perkins Loans'!BK33</f>
        <v>2526.341849586182</v>
      </c>
      <c r="AF33" s="200">
        <f>('Perkins Loans'!AF33*1000)/'Perkins Loans'!BL33</f>
        <v>2282.2205410362221</v>
      </c>
      <c r="AG33" s="200">
        <f>('Perkins Loans'!AG33*1000)/'Perkins Loans'!BM33</f>
        <v>2014.116763969975</v>
      </c>
    </row>
    <row r="34" spans="1:33">
      <c r="A34" s="39" t="s">
        <v>168</v>
      </c>
      <c r="B34" s="200"/>
      <c r="C34" s="200"/>
      <c r="D34" s="200"/>
      <c r="E34" s="200"/>
      <c r="F34" s="200"/>
      <c r="G34" s="200"/>
      <c r="H34" s="200"/>
      <c r="I34" s="200"/>
      <c r="J34" s="200"/>
      <c r="K34" s="200"/>
      <c r="L34" s="200"/>
      <c r="M34" s="200"/>
      <c r="N34" s="200"/>
      <c r="O34" s="200"/>
      <c r="P34" s="200">
        <f>('Perkins Loans'!P34*1000)/'Perkins Loans'!AV34</f>
        <v>1608.3475505553972</v>
      </c>
      <c r="Q34" s="200">
        <f>('Perkins Loans'!Q34*1000)/'Perkins Loans'!AW34</f>
        <v>1704.2919891086271</v>
      </c>
      <c r="R34" s="200">
        <f>('Perkins Loans'!R34*1000)/'Perkins Loans'!AX34</f>
        <v>1652.3413351115062</v>
      </c>
      <c r="S34" s="200">
        <f>('Perkins Loans'!S34*1000)/'Perkins Loans'!AY34</f>
        <v>1776.9094030269059</v>
      </c>
      <c r="T34" s="200">
        <f>('Perkins Loans'!T34*1000)/'Perkins Loans'!AZ34</f>
        <v>1804.9804216867469</v>
      </c>
      <c r="U34" s="200">
        <f>('Perkins Loans'!U34*1000)/'Perkins Loans'!BA34</f>
        <v>1923.6614202503408</v>
      </c>
      <c r="V34" s="200">
        <f>('Perkins Loans'!V34*1000)/'Perkins Loans'!BB34</f>
        <v>2063.9772280874049</v>
      </c>
      <c r="W34" s="200">
        <f>('Perkins Loans'!W34*1000)/'Perkins Loans'!BC34</f>
        <v>1991.131355673564</v>
      </c>
      <c r="X34" s="200">
        <f>('Perkins Loans'!X34*1000)/'Perkins Loans'!BD34</f>
        <v>1957.2273032132186</v>
      </c>
      <c r="Y34" s="200">
        <f>('Perkins Loans'!Y34*1000)/'Perkins Loans'!BE34</f>
        <v>2186.9580123533901</v>
      </c>
      <c r="Z34" s="200">
        <f>('Perkins Loans'!Z34*1000)/'Perkins Loans'!BF34</f>
        <v>1527.6125840179238</v>
      </c>
      <c r="AA34" s="200">
        <f>('Perkins Loans'!AA34*1000)/'Perkins Loans'!BG34</f>
        <v>1595.0707665467235</v>
      </c>
      <c r="AB34" s="200">
        <f>('Perkins Loans'!AB34*1000)/'Perkins Loans'!BH34</f>
        <v>1492.2627153830185</v>
      </c>
      <c r="AC34" s="200">
        <f>('Perkins Loans'!AC34*1000)/'Perkins Loans'!BI34</f>
        <v>1617.5739465390452</v>
      </c>
      <c r="AD34" s="200">
        <f>('Perkins Loans'!AD34*1000)/'Perkins Loans'!BJ34</f>
        <v>1620.4562083706135</v>
      </c>
      <c r="AE34" s="200">
        <f>('Perkins Loans'!AE34*1000)/'Perkins Loans'!BK34</f>
        <v>1811.0488688582539</v>
      </c>
      <c r="AF34" s="200">
        <f>('Perkins Loans'!AF34*1000)/'Perkins Loans'!BL34</f>
        <v>1692.646487424111</v>
      </c>
      <c r="AG34" s="200">
        <f>('Perkins Loans'!AG34*1000)/'Perkins Loans'!BM34</f>
        <v>1766.1886830650876</v>
      </c>
    </row>
    <row r="35" spans="1:33">
      <c r="A35" s="39" t="s">
        <v>172</v>
      </c>
      <c r="B35" s="200"/>
      <c r="C35" s="200"/>
      <c r="D35" s="200"/>
      <c r="E35" s="200"/>
      <c r="F35" s="200"/>
      <c r="G35" s="200"/>
      <c r="H35" s="200"/>
      <c r="I35" s="200"/>
      <c r="J35" s="200"/>
      <c r="K35" s="200"/>
      <c r="L35" s="200"/>
      <c r="M35" s="200"/>
      <c r="N35" s="200"/>
      <c r="O35" s="200"/>
      <c r="P35" s="200">
        <f>('Perkins Loans'!P35*1000)/'Perkins Loans'!AV35</f>
        <v>2295.2751239296981</v>
      </c>
      <c r="Q35" s="200">
        <f>('Perkins Loans'!Q35*1000)/'Perkins Loans'!AW35</f>
        <v>2141.0060606060606</v>
      </c>
      <c r="R35" s="200">
        <f>('Perkins Loans'!R35*1000)/'Perkins Loans'!AX35</f>
        <v>2373.6074585039878</v>
      </c>
      <c r="S35" s="200">
        <f>('Perkins Loans'!S35*1000)/'Perkins Loans'!AY35</f>
        <v>2380.7130015347511</v>
      </c>
      <c r="T35" s="200">
        <f>('Perkins Loans'!T35*1000)/'Perkins Loans'!AZ35</f>
        <v>2492.8862847222222</v>
      </c>
      <c r="U35" s="200">
        <f>('Perkins Loans'!U35*1000)/'Perkins Loans'!BA35</f>
        <v>2711.3551500527824</v>
      </c>
      <c r="V35" s="200">
        <f>('Perkins Loans'!V35*1000)/'Perkins Loans'!BB35</f>
        <v>2885.5999107275702</v>
      </c>
      <c r="W35" s="200">
        <f>('Perkins Loans'!W35*1000)/'Perkins Loans'!BC35</f>
        <v>2369.5248770894787</v>
      </c>
      <c r="X35" s="200">
        <f>('Perkins Loans'!X35*1000)/'Perkins Loans'!BD35</f>
        <v>2577.7725582305734</v>
      </c>
      <c r="Y35" s="200">
        <f>('Perkins Loans'!Y35*1000)/'Perkins Loans'!BE35</f>
        <v>2574.5949999999998</v>
      </c>
      <c r="Z35" s="200">
        <f>('Perkins Loans'!Z35*1000)/'Perkins Loans'!BF35</f>
        <v>2519.1251333096338</v>
      </c>
      <c r="AA35" s="200">
        <f>('Perkins Loans'!AA35*1000)/'Perkins Loans'!BG35</f>
        <v>2399.0110565110567</v>
      </c>
      <c r="AB35" s="200">
        <f>('Perkins Loans'!AB35*1000)/'Perkins Loans'!BH35</f>
        <v>2395.5372560615019</v>
      </c>
      <c r="AC35" s="200">
        <f>('Perkins Loans'!AC35*1000)/'Perkins Loans'!BI35</f>
        <v>2254.2074241994901</v>
      </c>
      <c r="AD35" s="200">
        <f>('Perkins Loans'!AD35*1000)/'Perkins Loans'!BJ35</f>
        <v>2410.6236312706901</v>
      </c>
      <c r="AE35" s="200">
        <f>('Perkins Loans'!AE35*1000)/'Perkins Loans'!BK35</f>
        <v>2312.9818610129564</v>
      </c>
      <c r="AF35" s="200">
        <f>('Perkins Loans'!AF35*1000)/'Perkins Loans'!BL35</f>
        <v>2473.1610476455839</v>
      </c>
      <c r="AG35" s="200">
        <f>('Perkins Loans'!AG35*1000)/'Perkins Loans'!BM35</f>
        <v>2304.7276393831553</v>
      </c>
    </row>
    <row r="36" spans="1:33">
      <c r="A36" s="39" t="s">
        <v>174</v>
      </c>
      <c r="B36" s="200"/>
      <c r="C36" s="200"/>
      <c r="D36" s="200"/>
      <c r="E36" s="200"/>
      <c r="F36" s="200"/>
      <c r="G36" s="200"/>
      <c r="H36" s="200"/>
      <c r="I36" s="200"/>
      <c r="J36" s="200"/>
      <c r="K36" s="200"/>
      <c r="L36" s="200"/>
      <c r="M36" s="200"/>
      <c r="N36" s="200"/>
      <c r="O36" s="200"/>
      <c r="P36" s="200">
        <f>('Perkins Loans'!P36*1000)/'Perkins Loans'!AV36</f>
        <v>1716.5019335433974</v>
      </c>
      <c r="Q36" s="200">
        <f>('Perkins Loans'!Q36*1000)/'Perkins Loans'!AW36</f>
        <v>1800.9123678421911</v>
      </c>
      <c r="R36" s="200">
        <f>('Perkins Loans'!R36*1000)/'Perkins Loans'!AX36</f>
        <v>1812.8226675285498</v>
      </c>
      <c r="S36" s="200">
        <f>('Perkins Loans'!S36*1000)/'Perkins Loans'!AY36</f>
        <v>2099.8208131294291</v>
      </c>
      <c r="T36" s="200">
        <f>('Perkins Loans'!T36*1000)/'Perkins Loans'!AZ36</f>
        <v>2195.8110544104975</v>
      </c>
      <c r="U36" s="200">
        <f>('Perkins Loans'!U36*1000)/'Perkins Loans'!BA36</f>
        <v>2243.5233668341707</v>
      </c>
      <c r="V36" s="200">
        <f>('Perkins Loans'!V36*1000)/'Perkins Loans'!BB36</f>
        <v>2384.6344307270233</v>
      </c>
      <c r="W36" s="200">
        <f>('Perkins Loans'!W36*1000)/'Perkins Loans'!BC36</f>
        <v>2304.8468587208936</v>
      </c>
      <c r="X36" s="200">
        <f>('Perkins Loans'!X36*1000)/'Perkins Loans'!BD36</f>
        <v>2342.0228040002548</v>
      </c>
      <c r="Y36" s="200">
        <f>('Perkins Loans'!Y36*1000)/'Perkins Loans'!BE36</f>
        <v>2147.4261165724902</v>
      </c>
      <c r="Z36" s="200">
        <f>('Perkins Loans'!Z36*1000)/'Perkins Loans'!BF36</f>
        <v>1847.1305409466565</v>
      </c>
      <c r="AA36" s="200">
        <f>('Perkins Loans'!AA36*1000)/'Perkins Loans'!BG36</f>
        <v>1539.4423933284754</v>
      </c>
      <c r="AB36" s="200">
        <f>('Perkins Loans'!AB36*1000)/'Perkins Loans'!BH36</f>
        <v>1536.2527942389918</v>
      </c>
      <c r="AC36" s="200">
        <f>('Perkins Loans'!AC36*1000)/'Perkins Loans'!BI36</f>
        <v>1372.2054305349684</v>
      </c>
      <c r="AD36" s="200">
        <f>('Perkins Loans'!AD36*1000)/'Perkins Loans'!BJ36</f>
        <v>1549.1402004748088</v>
      </c>
      <c r="AE36" s="200">
        <f>('Perkins Loans'!AE36*1000)/'Perkins Loans'!BK36</f>
        <v>1871.7866394897758</v>
      </c>
      <c r="AF36" s="200">
        <f>('Perkins Loans'!AF36*1000)/'Perkins Loans'!BL36</f>
        <v>1797.7215784069238</v>
      </c>
      <c r="AG36" s="200">
        <f>('Perkins Loans'!AG36*1000)/'Perkins Loans'!BM36</f>
        <v>2635.7294054918689</v>
      </c>
    </row>
    <row r="37" spans="1:33">
      <c r="A37" s="39" t="s">
        <v>176</v>
      </c>
      <c r="B37" s="200"/>
      <c r="C37" s="200"/>
      <c r="D37" s="200"/>
      <c r="E37" s="200"/>
      <c r="F37" s="200"/>
      <c r="G37" s="200"/>
      <c r="H37" s="200"/>
      <c r="I37" s="200"/>
      <c r="J37" s="200"/>
      <c r="K37" s="200"/>
      <c r="L37" s="200"/>
      <c r="M37" s="200"/>
      <c r="N37" s="200"/>
      <c r="O37" s="200"/>
      <c r="P37" s="200">
        <f>('Perkins Loans'!P37*1000)/'Perkins Loans'!AV37</f>
        <v>1768.0674789128398</v>
      </c>
      <c r="Q37" s="200">
        <f>('Perkins Loans'!Q37*1000)/'Perkins Loans'!AW37</f>
        <v>1609.4725433526012</v>
      </c>
      <c r="R37" s="200">
        <f>('Perkins Loans'!R37*1000)/'Perkins Loans'!AX37</f>
        <v>1542.0137157107231</v>
      </c>
      <c r="S37" s="200">
        <f>('Perkins Loans'!S37*1000)/'Perkins Loans'!AY37</f>
        <v>1932.8442582552982</v>
      </c>
      <c r="T37" s="200">
        <f>('Perkins Loans'!T37*1000)/'Perkins Loans'!AZ37</f>
        <v>2780.445460483344</v>
      </c>
      <c r="U37" s="200">
        <f>('Perkins Loans'!U37*1000)/'Perkins Loans'!BA37</f>
        <v>1641.6684168012923</v>
      </c>
      <c r="V37" s="200">
        <f>('Perkins Loans'!V37*1000)/'Perkins Loans'!BB37</f>
        <v>1876.3459419757621</v>
      </c>
      <c r="W37" s="200">
        <f>('Perkins Loans'!W37*1000)/'Perkins Loans'!BC37</f>
        <v>1912.0361784334386</v>
      </c>
      <c r="X37" s="200">
        <f>('Perkins Loans'!X37*1000)/'Perkins Loans'!BD37</f>
        <v>1804.2205044751831</v>
      </c>
      <c r="Y37" s="200">
        <f>('Perkins Loans'!Y37*1000)/'Perkins Loans'!BE37</f>
        <v>1437.7238132601019</v>
      </c>
      <c r="Z37" s="200">
        <f>('Perkins Loans'!Z37*1000)/'Perkins Loans'!BF37</f>
        <v>1383.2928739232577</v>
      </c>
      <c r="AA37" s="200">
        <f>('Perkins Loans'!AA37*1000)/'Perkins Loans'!BG37</f>
        <v>1355.1182487725041</v>
      </c>
      <c r="AB37" s="200">
        <f>('Perkins Loans'!AB37*1000)/'Perkins Loans'!BH37</f>
        <v>2222.2564322469984</v>
      </c>
      <c r="AC37" s="200">
        <f>('Perkins Loans'!AC37*1000)/'Perkins Loans'!BI37</f>
        <v>2973.2563482466749</v>
      </c>
      <c r="AD37" s="200">
        <f>('Perkins Loans'!AD37*1000)/'Perkins Loans'!BJ37</f>
        <v>3410.4778092540132</v>
      </c>
      <c r="AE37" s="200">
        <f>('Perkins Loans'!AE37*1000)/'Perkins Loans'!BK37</f>
        <v>3253.9712525667351</v>
      </c>
      <c r="AF37" s="200">
        <f>('Perkins Loans'!AF37*1000)/'Perkins Loans'!BL37</f>
        <v>3105.0606826801518</v>
      </c>
      <c r="AG37" s="200">
        <f>('Perkins Loans'!AG37*1000)/'Perkins Loans'!BM37</f>
        <v>3083.5689655172414</v>
      </c>
    </row>
    <row r="38" spans="1:33">
      <c r="A38" s="150" t="s">
        <v>218</v>
      </c>
      <c r="B38" s="202"/>
      <c r="C38" s="202"/>
      <c r="D38" s="202"/>
      <c r="E38" s="202"/>
      <c r="F38" s="202"/>
      <c r="G38" s="202"/>
      <c r="H38" s="202"/>
      <c r="I38" s="202"/>
      <c r="J38" s="202"/>
      <c r="K38" s="202"/>
      <c r="L38" s="202"/>
      <c r="M38" s="202"/>
      <c r="N38" s="202"/>
      <c r="O38" s="202"/>
      <c r="P38" s="202">
        <f>('Perkins Loans'!P38*1000)/'Perkins Loans'!AV38</f>
        <v>1540.3026340657921</v>
      </c>
      <c r="Q38" s="202">
        <f>('Perkins Loans'!Q38*1000)/'Perkins Loans'!AW38</f>
        <v>1610.9787019693954</v>
      </c>
      <c r="R38" s="202">
        <f>('Perkins Loans'!R38*1000)/'Perkins Loans'!AX38</f>
        <v>1761.5250996381897</v>
      </c>
      <c r="S38" s="202">
        <f>('Perkins Loans'!S38*1000)/'Perkins Loans'!AY38</f>
        <v>1791.8281237892293</v>
      </c>
      <c r="T38" s="202">
        <f>('Perkins Loans'!T38*1000)/'Perkins Loans'!AZ38</f>
        <v>1876.0069342943061</v>
      </c>
      <c r="U38" s="202">
        <f>('Perkins Loans'!U38*1000)/'Perkins Loans'!BA38</f>
        <v>2064.5533750152008</v>
      </c>
      <c r="V38" s="202">
        <f>('Perkins Loans'!V38*1000)/'Perkins Loans'!BB38</f>
        <v>2078.7636273371368</v>
      </c>
      <c r="W38" s="202">
        <f>('Perkins Loans'!W38*1000)/'Perkins Loans'!BC38</f>
        <v>2011.176933457102</v>
      </c>
      <c r="X38" s="202">
        <f>('Perkins Loans'!X38*1000)/'Perkins Loans'!BD38</f>
        <v>2092.7451905516955</v>
      </c>
      <c r="Y38" s="202">
        <f>('Perkins Loans'!Y38*1000)/'Perkins Loans'!BE38</f>
        <v>1934.2588410484536</v>
      </c>
      <c r="Z38" s="202">
        <f>('Perkins Loans'!Z38*1000)/'Perkins Loans'!BF38</f>
        <v>1775.9452256955831</v>
      </c>
      <c r="AA38" s="202">
        <f>('Perkins Loans'!AA38*1000)/'Perkins Loans'!BG38</f>
        <v>1574.0426249865027</v>
      </c>
      <c r="AB38" s="202">
        <f>('Perkins Loans'!AB38*1000)/'Perkins Loans'!BH38</f>
        <v>1564.2482982311451</v>
      </c>
      <c r="AC38" s="202">
        <f>('Perkins Loans'!AC38*1000)/'Perkins Loans'!BI38</f>
        <v>1682.8284376615086</v>
      </c>
      <c r="AD38" s="202">
        <f>('Perkins Loans'!AD38*1000)/'Perkins Loans'!BJ38</f>
        <v>1739.4731471000509</v>
      </c>
      <c r="AE38" s="202">
        <f>('Perkins Loans'!AE38*1000)/'Perkins Loans'!BK38</f>
        <v>1930.5152242413287</v>
      </c>
      <c r="AF38" s="202">
        <f>('Perkins Loans'!AF38*1000)/'Perkins Loans'!BL38</f>
        <v>1902.5677418998548</v>
      </c>
      <c r="AG38" s="202">
        <f>('Perkins Loans'!AG38*1000)/'Perkins Loans'!BM38</f>
        <v>2202.9960132660813</v>
      </c>
    </row>
    <row r="39" spans="1:33" s="174" customFormat="1">
      <c r="A39" s="173" t="s">
        <v>215</v>
      </c>
      <c r="B39" s="197"/>
      <c r="C39" s="197"/>
      <c r="D39" s="197"/>
      <c r="E39" s="197"/>
      <c r="F39" s="197"/>
      <c r="G39" s="197"/>
      <c r="H39" s="197"/>
      <c r="I39" s="197"/>
      <c r="J39" s="197"/>
      <c r="K39" s="197"/>
      <c r="L39" s="197"/>
      <c r="M39" s="197"/>
      <c r="N39" s="197"/>
      <c r="O39" s="197"/>
      <c r="P39" s="197">
        <f t="shared" ref="P39" si="31">(P38/P4)*100</f>
        <v>95.461512251165615</v>
      </c>
      <c r="Q39" s="197">
        <f t="shared" ref="Q39" si="32">(Q38/Q4)*100</f>
        <v>95.141569223025996</v>
      </c>
      <c r="R39" s="197">
        <f t="shared" ref="R39" si="33">(R38/R4)*100</f>
        <v>98.058852513062234</v>
      </c>
      <c r="S39" s="197">
        <f t="shared" ref="S39" si="34">(S38/S4)*100</f>
        <v>95.237488229743761</v>
      </c>
      <c r="T39" s="197">
        <f t="shared" ref="T39" si="35">(T38/T4)*100</f>
        <v>93.327723286812102</v>
      </c>
      <c r="U39" s="197">
        <f t="shared" ref="U39" si="36">(U38/U4)*100</f>
        <v>95.008502490979112</v>
      </c>
      <c r="V39" s="197">
        <f t="shared" ref="V39" si="37">(V38/V4)*100</f>
        <v>94.066929777547841</v>
      </c>
      <c r="W39" s="197">
        <f t="shared" ref="W39" si="38">(W38/W4)*100</f>
        <v>91.633234294247174</v>
      </c>
      <c r="X39" s="197">
        <f t="shared" ref="X39" si="39">(X38/X4)*100</f>
        <v>93.698789076384102</v>
      </c>
      <c r="Y39" s="197">
        <f t="shared" ref="Y39" si="40">(Y38/Y4)*100</f>
        <v>90.962855134644983</v>
      </c>
      <c r="Z39" s="197">
        <f t="shared" ref="Z39" si="41">(Z38/Z4)*100</f>
        <v>90.178070761902291</v>
      </c>
      <c r="AA39" s="197">
        <f t="shared" ref="AA39:AB39" si="42">(AA38/AA4)*100</f>
        <v>84.977451378994687</v>
      </c>
      <c r="AB39" s="197">
        <f t="shared" si="42"/>
        <v>84.081102285939252</v>
      </c>
      <c r="AC39" s="197">
        <f t="shared" ref="AC39:AD39" si="43">(AC38/AC4)*100</f>
        <v>85.855265495379584</v>
      </c>
      <c r="AD39" s="197">
        <f t="shared" si="43"/>
        <v>85.911076119976386</v>
      </c>
      <c r="AE39" s="197">
        <f t="shared" ref="AE39:AF39" si="44">(AE38/AE4)*100</f>
        <v>88.804374105552768</v>
      </c>
      <c r="AF39" s="197">
        <f t="shared" si="44"/>
        <v>86.505233572724975</v>
      </c>
      <c r="AG39" s="197">
        <f t="shared" ref="AG39" si="45">(AG38/AG4)*100</f>
        <v>88.847258925756364</v>
      </c>
    </row>
    <row r="40" spans="1:33">
      <c r="A40" s="39" t="s">
        <v>150</v>
      </c>
      <c r="B40" s="200"/>
      <c r="C40" s="200"/>
      <c r="D40" s="200"/>
      <c r="E40" s="200"/>
      <c r="F40" s="200"/>
      <c r="G40" s="200"/>
      <c r="H40" s="200"/>
      <c r="I40" s="200"/>
      <c r="J40" s="200"/>
      <c r="K40" s="200"/>
      <c r="L40" s="200"/>
      <c r="M40" s="200"/>
      <c r="N40" s="200"/>
      <c r="O40" s="200"/>
      <c r="P40" s="200">
        <f>('Perkins Loans'!P40*1000)/'Perkins Loans'!AV40</f>
        <v>1734.2660982064099</v>
      </c>
      <c r="Q40" s="200">
        <f>('Perkins Loans'!Q40*1000)/'Perkins Loans'!AW40</f>
        <v>1706.851186031819</v>
      </c>
      <c r="R40" s="200">
        <f>('Perkins Loans'!R40*1000)/'Perkins Loans'!AX40</f>
        <v>2013.6010466067048</v>
      </c>
      <c r="S40" s="200">
        <f>('Perkins Loans'!S40*1000)/'Perkins Loans'!AY40</f>
        <v>1726.3511605982624</v>
      </c>
      <c r="T40" s="200">
        <f>('Perkins Loans'!T40*1000)/'Perkins Loans'!AZ40</f>
        <v>1680.1022256422398</v>
      </c>
      <c r="U40" s="200">
        <f>('Perkins Loans'!U40*1000)/'Perkins Loans'!BA40</f>
        <v>2377.8317387738875</v>
      </c>
      <c r="V40" s="200">
        <f>('Perkins Loans'!V40*1000)/'Perkins Loans'!BB40</f>
        <v>2296.4601124024107</v>
      </c>
      <c r="W40" s="200">
        <f>('Perkins Loans'!W40*1000)/'Perkins Loans'!BC40</f>
        <v>1990.6821170912342</v>
      </c>
      <c r="X40" s="200">
        <f>('Perkins Loans'!X40*1000)/'Perkins Loans'!BD40</f>
        <v>2193.2968455340306</v>
      </c>
      <c r="Y40" s="200">
        <f>('Perkins Loans'!Y40*1000)/'Perkins Loans'!BE40</f>
        <v>1959.7490316881469</v>
      </c>
      <c r="Z40" s="200">
        <f>('Perkins Loans'!Z40*1000)/'Perkins Loans'!BF40</f>
        <v>1763.3607361523864</v>
      </c>
      <c r="AA40" s="200">
        <f>('Perkins Loans'!AA40*1000)/'Perkins Loans'!BG40</f>
        <v>1416.3501245670536</v>
      </c>
      <c r="AB40" s="200">
        <f>('Perkins Loans'!AB40*1000)/'Perkins Loans'!BH40</f>
        <v>1559.9192287325172</v>
      </c>
      <c r="AC40" s="200">
        <f>('Perkins Loans'!AC40*1000)/'Perkins Loans'!BI40</f>
        <v>1817.0015010006671</v>
      </c>
      <c r="AD40" s="200">
        <f>('Perkins Loans'!AD40*1000)/'Perkins Loans'!BJ40</f>
        <v>1742.837071137516</v>
      </c>
      <c r="AE40" s="200">
        <f>('Perkins Loans'!AE40*1000)/'Perkins Loans'!BK40</f>
        <v>2123.6131309224525</v>
      </c>
      <c r="AF40" s="200">
        <f>('Perkins Loans'!AF40*1000)/'Perkins Loans'!BL40</f>
        <v>1689.3833882830331</v>
      </c>
      <c r="AG40" s="200">
        <f>('Perkins Loans'!AG40*1000)/'Perkins Loans'!BM40</f>
        <v>2444.9719544259419</v>
      </c>
    </row>
    <row r="41" spans="1:33">
      <c r="A41" s="39" t="s">
        <v>151</v>
      </c>
      <c r="B41" s="200"/>
      <c r="C41" s="200"/>
      <c r="D41" s="200"/>
      <c r="E41" s="200"/>
      <c r="F41" s="200"/>
      <c r="G41" s="200"/>
      <c r="H41" s="200"/>
      <c r="I41" s="200"/>
      <c r="J41" s="200"/>
      <c r="K41" s="200"/>
      <c r="L41" s="200"/>
      <c r="M41" s="200"/>
      <c r="N41" s="200"/>
      <c r="O41" s="200"/>
      <c r="P41" s="200">
        <f>('Perkins Loans'!P41*1000)/'Perkins Loans'!AV41</f>
        <v>1550.77558893118</v>
      </c>
      <c r="Q41" s="200">
        <f>('Perkins Loans'!Q41*1000)/'Perkins Loans'!AW41</f>
        <v>1572.6440605444723</v>
      </c>
      <c r="R41" s="200">
        <f>('Perkins Loans'!R41*1000)/'Perkins Loans'!AX41</f>
        <v>1678.5207394277031</v>
      </c>
      <c r="S41" s="200">
        <f>('Perkins Loans'!S41*1000)/'Perkins Loans'!AY41</f>
        <v>1784.5057913025166</v>
      </c>
      <c r="T41" s="200">
        <f>('Perkins Loans'!T41*1000)/'Perkins Loans'!AZ41</f>
        <v>1966.650128444064</v>
      </c>
      <c r="U41" s="200">
        <f>('Perkins Loans'!U41*1000)/'Perkins Loans'!BA41</f>
        <v>1973.3448857677049</v>
      </c>
      <c r="V41" s="200">
        <f>('Perkins Loans'!V41*1000)/'Perkins Loans'!BB41</f>
        <v>2054.8408648744253</v>
      </c>
      <c r="W41" s="200">
        <f>('Perkins Loans'!W41*1000)/'Perkins Loans'!BC41</f>
        <v>1992.5077965512749</v>
      </c>
      <c r="X41" s="200">
        <f>('Perkins Loans'!X41*1000)/'Perkins Loans'!BD41</f>
        <v>2012.5202213147147</v>
      </c>
      <c r="Y41" s="200">
        <f>('Perkins Loans'!Y41*1000)/'Perkins Loans'!BE41</f>
        <v>2067.6352000000002</v>
      </c>
      <c r="Z41" s="200">
        <f>('Perkins Loans'!Z41*1000)/'Perkins Loans'!BF41</f>
        <v>1803.5985093331574</v>
      </c>
      <c r="AA41" s="200">
        <f>('Perkins Loans'!AA41*1000)/'Perkins Loans'!BG41</f>
        <v>1692.2444702298933</v>
      </c>
      <c r="AB41" s="200">
        <f>('Perkins Loans'!AB41*1000)/'Perkins Loans'!BH41</f>
        <v>1616.4708017968126</v>
      </c>
      <c r="AC41" s="200">
        <f>('Perkins Loans'!AC41*1000)/'Perkins Loans'!BI41</f>
        <v>1611.2681010516137</v>
      </c>
      <c r="AD41" s="200">
        <f>('Perkins Loans'!AD41*1000)/'Perkins Loans'!BJ41</f>
        <v>1723.8691004672896</v>
      </c>
      <c r="AE41" s="200">
        <f>('Perkins Loans'!AE41*1000)/'Perkins Loans'!BK41</f>
        <v>1969.6706569511914</v>
      </c>
      <c r="AF41" s="200">
        <f>('Perkins Loans'!AF41*1000)/'Perkins Loans'!BL41</f>
        <v>1982.9324224063312</v>
      </c>
      <c r="AG41" s="200">
        <f>('Perkins Loans'!AG41*1000)/'Perkins Loans'!BM41</f>
        <v>2439.0751226574439</v>
      </c>
    </row>
    <row r="42" spans="1:33">
      <c r="A42" s="39" t="s">
        <v>152</v>
      </c>
      <c r="B42" s="200"/>
      <c r="C42" s="200"/>
      <c r="D42" s="200"/>
      <c r="E42" s="200"/>
      <c r="F42" s="200"/>
      <c r="G42" s="200"/>
      <c r="H42" s="200"/>
      <c r="I42" s="200"/>
      <c r="J42" s="200"/>
      <c r="K42" s="200"/>
      <c r="L42" s="200"/>
      <c r="M42" s="200"/>
      <c r="N42" s="200"/>
      <c r="O42" s="200"/>
      <c r="P42" s="200">
        <f>('Perkins Loans'!P42*1000)/'Perkins Loans'!AV42</f>
        <v>1455.4214574898785</v>
      </c>
      <c r="Q42" s="200">
        <f>('Perkins Loans'!Q42*1000)/'Perkins Loans'!AW42</f>
        <v>1541.2212045517624</v>
      </c>
      <c r="R42" s="200">
        <f>('Perkins Loans'!R42*1000)/'Perkins Loans'!AX42</f>
        <v>1639.2637362637363</v>
      </c>
      <c r="S42" s="200">
        <f>('Perkins Loans'!S42*1000)/'Perkins Loans'!AY42</f>
        <v>1704.9748362633575</v>
      </c>
      <c r="T42" s="200">
        <f>('Perkins Loans'!T42*1000)/'Perkins Loans'!AZ42</f>
        <v>1743.2307087056708</v>
      </c>
      <c r="U42" s="200">
        <f>('Perkins Loans'!U42*1000)/'Perkins Loans'!BA42</f>
        <v>1775.5089562932887</v>
      </c>
      <c r="V42" s="200">
        <f>('Perkins Loans'!V42*1000)/'Perkins Loans'!BB42</f>
        <v>1890.8003098456113</v>
      </c>
      <c r="W42" s="200">
        <f>('Perkins Loans'!W42*1000)/'Perkins Loans'!BC42</f>
        <v>1930.9744058500914</v>
      </c>
      <c r="X42" s="200">
        <f>('Perkins Loans'!X42*1000)/'Perkins Loans'!BD42</f>
        <v>2058.2193782070631</v>
      </c>
      <c r="Y42" s="200">
        <f>('Perkins Loans'!Y42*1000)/'Perkins Loans'!BE42</f>
        <v>1767.3202554143902</v>
      </c>
      <c r="Z42" s="200">
        <f>('Perkins Loans'!Z42*1000)/'Perkins Loans'!BF42</f>
        <v>1911.3451290591174</v>
      </c>
      <c r="AA42" s="200">
        <f>('Perkins Loans'!AA42*1000)/'Perkins Loans'!BG42</f>
        <v>1764.2206062253636</v>
      </c>
      <c r="AB42" s="200">
        <f>('Perkins Loans'!AB42*1000)/'Perkins Loans'!BH42</f>
        <v>1444.3658536585365</v>
      </c>
      <c r="AC42" s="200">
        <f>('Perkins Loans'!AC42*1000)/'Perkins Loans'!BI42</f>
        <v>1429.7789400278939</v>
      </c>
      <c r="AD42" s="200">
        <f>('Perkins Loans'!AD42*1000)/'Perkins Loans'!BJ42</f>
        <v>1699.6372549019609</v>
      </c>
      <c r="AE42" s="200">
        <f>('Perkins Loans'!AE42*1000)/'Perkins Loans'!BK42</f>
        <v>1794.8166081284496</v>
      </c>
      <c r="AF42" s="200">
        <f>('Perkins Loans'!AF42*1000)/'Perkins Loans'!BL42</f>
        <v>1886.7303751446043</v>
      </c>
      <c r="AG42" s="200">
        <f>('Perkins Loans'!AG42*1000)/'Perkins Loans'!BM42</f>
        <v>2130.0366786471295</v>
      </c>
    </row>
    <row r="43" spans="1:33">
      <c r="A43" s="39" t="s">
        <v>153</v>
      </c>
      <c r="B43" s="200"/>
      <c r="C43" s="200"/>
      <c r="D43" s="200"/>
      <c r="E43" s="200"/>
      <c r="F43" s="200"/>
      <c r="G43" s="200"/>
      <c r="H43" s="200"/>
      <c r="I43" s="200"/>
      <c r="J43" s="200"/>
      <c r="K43" s="200"/>
      <c r="L43" s="200"/>
      <c r="M43" s="200"/>
      <c r="N43" s="200"/>
      <c r="O43" s="200"/>
      <c r="P43" s="200">
        <f>('Perkins Loans'!P43*1000)/'Perkins Loans'!AV43</f>
        <v>1715.6441387559807</v>
      </c>
      <c r="Q43" s="200">
        <f>('Perkins Loans'!Q43*1000)/'Perkins Loans'!AW43</f>
        <v>1788.6467817896389</v>
      </c>
      <c r="R43" s="200">
        <f>('Perkins Loans'!R43*1000)/'Perkins Loans'!AX43</f>
        <v>1795.7031123452505</v>
      </c>
      <c r="S43" s="200">
        <f>('Perkins Loans'!S43*1000)/'Perkins Loans'!AY43</f>
        <v>1863.8928370628582</v>
      </c>
      <c r="T43" s="200">
        <f>('Perkins Loans'!T43*1000)/'Perkins Loans'!AZ43</f>
        <v>1850.8627752668526</v>
      </c>
      <c r="U43" s="200">
        <f>('Perkins Loans'!U43*1000)/'Perkins Loans'!BA43</f>
        <v>1920.5064551825894</v>
      </c>
      <c r="V43" s="200">
        <f>('Perkins Loans'!V43*1000)/'Perkins Loans'!BB43</f>
        <v>1982.3350397659749</v>
      </c>
      <c r="W43" s="200">
        <f>('Perkins Loans'!W43*1000)/'Perkins Loans'!BC43</f>
        <v>1991.5478373529997</v>
      </c>
      <c r="X43" s="200">
        <f>('Perkins Loans'!X43*1000)/'Perkins Loans'!BD43</f>
        <v>2190.8393724696357</v>
      </c>
      <c r="Y43" s="200">
        <f>('Perkins Loans'!Y43*1000)/'Perkins Loans'!BE43</f>
        <v>2126.6649197860961</v>
      </c>
      <c r="Z43" s="200">
        <f>('Perkins Loans'!Z43*1000)/'Perkins Loans'!BF43</f>
        <v>1975.8221231766613</v>
      </c>
      <c r="AA43" s="200">
        <f>('Perkins Loans'!AA43*1000)/'Perkins Loans'!BG43</f>
        <v>1795.4000324306794</v>
      </c>
      <c r="AB43" s="200">
        <f>('Perkins Loans'!AB43*1000)/'Perkins Loans'!BH43</f>
        <v>1860.0190646410485</v>
      </c>
      <c r="AC43" s="200">
        <f>('Perkins Loans'!AC43*1000)/'Perkins Loans'!BI43</f>
        <v>1937.3895181996677</v>
      </c>
      <c r="AD43" s="200">
        <f>('Perkins Loans'!AD43*1000)/'Perkins Loans'!BJ43</f>
        <v>1934.4584822066599</v>
      </c>
      <c r="AE43" s="200">
        <f>('Perkins Loans'!AE43*1000)/'Perkins Loans'!BK43</f>
        <v>2041.4813180752792</v>
      </c>
      <c r="AF43" s="200">
        <f>('Perkins Loans'!AF43*1000)/'Perkins Loans'!BL43</f>
        <v>2163.5558255531396</v>
      </c>
      <c r="AG43" s="200">
        <f>('Perkins Loans'!AG43*1000)/'Perkins Loans'!BM43</f>
        <v>2399.1114071606994</v>
      </c>
    </row>
    <row r="44" spans="1:33">
      <c r="A44" s="39" t="s">
        <v>156</v>
      </c>
      <c r="B44" s="200"/>
      <c r="C44" s="200"/>
      <c r="D44" s="200"/>
      <c r="E44" s="200"/>
      <c r="F44" s="200"/>
      <c r="G44" s="200"/>
      <c r="H44" s="200"/>
      <c r="I44" s="200"/>
      <c r="J44" s="200"/>
      <c r="K44" s="200"/>
      <c r="L44" s="200"/>
      <c r="M44" s="200"/>
      <c r="N44" s="200"/>
      <c r="O44" s="200"/>
      <c r="P44" s="200">
        <f>('Perkins Loans'!P44*1000)/'Perkins Loans'!AV44</f>
        <v>1460.7014101320599</v>
      </c>
      <c r="Q44" s="200">
        <f>('Perkins Loans'!Q44*1000)/'Perkins Loans'!AW44</f>
        <v>1430.1726192574833</v>
      </c>
      <c r="R44" s="200">
        <f>('Perkins Loans'!R44*1000)/'Perkins Loans'!AX44</f>
        <v>1627.1000707872286</v>
      </c>
      <c r="S44" s="200">
        <f>('Perkins Loans'!S44*1000)/'Perkins Loans'!AY44</f>
        <v>1750.5076075455177</v>
      </c>
      <c r="T44" s="200">
        <f>('Perkins Loans'!T44*1000)/'Perkins Loans'!AZ44</f>
        <v>2025.4187657838502</v>
      </c>
      <c r="U44" s="200">
        <f>('Perkins Loans'!U44*1000)/'Perkins Loans'!BA44</f>
        <v>1967.3717489783635</v>
      </c>
      <c r="V44" s="200">
        <f>('Perkins Loans'!V44*1000)/'Perkins Loans'!BB44</f>
        <v>2079.9506220839812</v>
      </c>
      <c r="W44" s="200">
        <f>('Perkins Loans'!W44*1000)/'Perkins Loans'!BC44</f>
        <v>1981.5417285617825</v>
      </c>
      <c r="X44" s="200">
        <f>('Perkins Loans'!X44*1000)/'Perkins Loans'!BD44</f>
        <v>2126.6637003311257</v>
      </c>
      <c r="Y44" s="200">
        <f>('Perkins Loans'!Y44*1000)/'Perkins Loans'!BE44</f>
        <v>1788.1084966806773</v>
      </c>
      <c r="Z44" s="200">
        <f>('Perkins Loans'!Z44*1000)/'Perkins Loans'!BF44</f>
        <v>1535.1120693609801</v>
      </c>
      <c r="AA44" s="200">
        <f>('Perkins Loans'!AA44*1000)/'Perkins Loans'!BG44</f>
        <v>1114.2466388289818</v>
      </c>
      <c r="AB44" s="200">
        <f>('Perkins Loans'!AB44*1000)/'Perkins Loans'!BH44</f>
        <v>1062.226919285949</v>
      </c>
      <c r="AC44" s="200">
        <f>('Perkins Loans'!AC44*1000)/'Perkins Loans'!BI44</f>
        <v>1332.5160209504736</v>
      </c>
      <c r="AD44" s="200">
        <f>('Perkins Loans'!AD44*1000)/'Perkins Loans'!BJ44</f>
        <v>1380.2897386625673</v>
      </c>
      <c r="AE44" s="200">
        <f>('Perkins Loans'!AE44*1000)/'Perkins Loans'!BK44</f>
        <v>1562.4399800827332</v>
      </c>
      <c r="AF44" s="200">
        <f>('Perkins Loans'!AF44*1000)/'Perkins Loans'!BL44</f>
        <v>1867.4880460329039</v>
      </c>
      <c r="AG44" s="200">
        <f>('Perkins Loans'!AG44*1000)/'Perkins Loans'!BM44</f>
        <v>1916.4035441206861</v>
      </c>
    </row>
    <row r="45" spans="1:33">
      <c r="A45" s="39" t="s">
        <v>157</v>
      </c>
      <c r="B45" s="200"/>
      <c r="C45" s="200"/>
      <c r="D45" s="200"/>
      <c r="E45" s="200"/>
      <c r="F45" s="200"/>
      <c r="G45" s="200"/>
      <c r="H45" s="200"/>
      <c r="I45" s="200"/>
      <c r="J45" s="200"/>
      <c r="K45" s="200"/>
      <c r="L45" s="200"/>
      <c r="M45" s="200"/>
      <c r="N45" s="200"/>
      <c r="O45" s="200"/>
      <c r="P45" s="200">
        <f>('Perkins Loans'!P45*1000)/'Perkins Loans'!AV45</f>
        <v>1767.9118209504923</v>
      </c>
      <c r="Q45" s="200">
        <f>('Perkins Loans'!Q45*1000)/'Perkins Loans'!AW45</f>
        <v>1884.2664280601289</v>
      </c>
      <c r="R45" s="200">
        <f>('Perkins Loans'!R45*1000)/'Perkins Loans'!AX45</f>
        <v>1914.9348595213319</v>
      </c>
      <c r="S45" s="200">
        <f>('Perkins Loans'!S45*1000)/'Perkins Loans'!AY45</f>
        <v>1995.7949937939595</v>
      </c>
      <c r="T45" s="200">
        <f>('Perkins Loans'!T45*1000)/'Perkins Loans'!AZ45</f>
        <v>2205.1592542120911</v>
      </c>
      <c r="U45" s="200">
        <f>('Perkins Loans'!U45*1000)/'Perkins Loans'!BA45</f>
        <v>2322.4178183894919</v>
      </c>
      <c r="V45" s="200">
        <f>('Perkins Loans'!V45*1000)/'Perkins Loans'!BB45</f>
        <v>2349.6531980431237</v>
      </c>
      <c r="W45" s="200">
        <f>('Perkins Loans'!W45*1000)/'Perkins Loans'!BC45</f>
        <v>2379.2033181932879</v>
      </c>
      <c r="X45" s="200">
        <f>('Perkins Loans'!X45*1000)/'Perkins Loans'!BD45</f>
        <v>2418.1129637649774</v>
      </c>
      <c r="Y45" s="200">
        <f>('Perkins Loans'!Y45*1000)/'Perkins Loans'!BE45</f>
        <v>2361.4107217181386</v>
      </c>
      <c r="Z45" s="200">
        <f>('Perkins Loans'!Z45*1000)/'Perkins Loans'!BF45</f>
        <v>2070.9994092627599</v>
      </c>
      <c r="AA45" s="200">
        <f>('Perkins Loans'!AA45*1000)/'Perkins Loans'!BG45</f>
        <v>1999.1227436823106</v>
      </c>
      <c r="AB45" s="200">
        <f>('Perkins Loans'!AB45*1000)/'Perkins Loans'!BH45</f>
        <v>1926.3241515464886</v>
      </c>
      <c r="AC45" s="200">
        <f>('Perkins Loans'!AC45*1000)/'Perkins Loans'!BI45</f>
        <v>2039.4141575628387</v>
      </c>
      <c r="AD45" s="200">
        <f>('Perkins Loans'!AD45*1000)/'Perkins Loans'!BJ45</f>
        <v>2113.8768286075492</v>
      </c>
      <c r="AE45" s="200">
        <f>('Perkins Loans'!AE45*1000)/'Perkins Loans'!BK45</f>
        <v>2226.8871687221204</v>
      </c>
      <c r="AF45" s="200">
        <f>('Perkins Loans'!AF45*1000)/'Perkins Loans'!BL45</f>
        <v>2212.7716794731064</v>
      </c>
      <c r="AG45" s="200">
        <f>('Perkins Loans'!AG45*1000)/'Perkins Loans'!BM45</f>
        <v>2356.9514154177687</v>
      </c>
    </row>
    <row r="46" spans="1:33">
      <c r="A46" s="39" t="s">
        <v>158</v>
      </c>
      <c r="B46" s="200"/>
      <c r="C46" s="200"/>
      <c r="D46" s="200"/>
      <c r="E46" s="200"/>
      <c r="F46" s="200"/>
      <c r="G46" s="200"/>
      <c r="H46" s="200"/>
      <c r="I46" s="200"/>
      <c r="J46" s="200"/>
      <c r="K46" s="200"/>
      <c r="L46" s="200"/>
      <c r="M46" s="200"/>
      <c r="N46" s="200"/>
      <c r="O46" s="200"/>
      <c r="P46" s="200">
        <f>('Perkins Loans'!P46*1000)/'Perkins Loans'!AV46</f>
        <v>1246.3154577191622</v>
      </c>
      <c r="Q46" s="200">
        <f>('Perkins Loans'!Q46*1000)/'Perkins Loans'!AW46</f>
        <v>1684.515790143894</v>
      </c>
      <c r="R46" s="200">
        <f>('Perkins Loans'!R46*1000)/'Perkins Loans'!AX46</f>
        <v>1811.8944153577661</v>
      </c>
      <c r="S46" s="200">
        <f>('Perkins Loans'!S46*1000)/'Perkins Loans'!AY46</f>
        <v>1889.3102525391162</v>
      </c>
      <c r="T46" s="200">
        <f>('Perkins Loans'!T46*1000)/'Perkins Loans'!AZ46</f>
        <v>1999.7717337307502</v>
      </c>
      <c r="U46" s="200">
        <f>('Perkins Loans'!U46*1000)/'Perkins Loans'!BA46</f>
        <v>2015.4902775373607</v>
      </c>
      <c r="V46" s="200">
        <f>('Perkins Loans'!V46*1000)/'Perkins Loans'!BB46</f>
        <v>2017.4409199912798</v>
      </c>
      <c r="W46" s="200">
        <f>('Perkins Loans'!W46*1000)/'Perkins Loans'!BC46</f>
        <v>2016.4152160300564</v>
      </c>
      <c r="X46" s="200">
        <f>('Perkins Loans'!X46*1000)/'Perkins Loans'!BD46</f>
        <v>1992.9523568810819</v>
      </c>
      <c r="Y46" s="200">
        <f>('Perkins Loans'!Y46*1000)/'Perkins Loans'!BE46</f>
        <v>1987.3570275770121</v>
      </c>
      <c r="Z46" s="200">
        <f>('Perkins Loans'!Z46*1000)/'Perkins Loans'!BF46</f>
        <v>1900.9153899453383</v>
      </c>
      <c r="AA46" s="200">
        <f>('Perkins Loans'!AA46*1000)/'Perkins Loans'!BG46</f>
        <v>2028.235510740903</v>
      </c>
      <c r="AB46" s="200">
        <f>('Perkins Loans'!AB46*1000)/'Perkins Loans'!BH46</f>
        <v>2073.2877846790889</v>
      </c>
      <c r="AC46" s="200">
        <f>('Perkins Loans'!AC46*1000)/'Perkins Loans'!BI46</f>
        <v>1959.5828353253653</v>
      </c>
      <c r="AD46" s="200">
        <f>('Perkins Loans'!AD46*1000)/'Perkins Loans'!BJ46</f>
        <v>2063.4707290892575</v>
      </c>
      <c r="AE46" s="200">
        <f>('Perkins Loans'!AE46*1000)/'Perkins Loans'!BK46</f>
        <v>2125.5189122563747</v>
      </c>
      <c r="AF46" s="200">
        <f>('Perkins Loans'!AF46*1000)/'Perkins Loans'!BL46</f>
        <v>2121.6285884657977</v>
      </c>
      <c r="AG46" s="200">
        <f>('Perkins Loans'!AG46*1000)/'Perkins Loans'!BM46</f>
        <v>2284.0629588655333</v>
      </c>
    </row>
    <row r="47" spans="1:33">
      <c r="A47" s="39" t="s">
        <v>160</v>
      </c>
      <c r="B47" s="200"/>
      <c r="C47" s="200"/>
      <c r="D47" s="200"/>
      <c r="E47" s="200"/>
      <c r="F47" s="200"/>
      <c r="G47" s="200"/>
      <c r="H47" s="200"/>
      <c r="I47" s="200"/>
      <c r="J47" s="200"/>
      <c r="K47" s="200"/>
      <c r="L47" s="200"/>
      <c r="M47" s="200"/>
      <c r="N47" s="200"/>
      <c r="O47" s="200"/>
      <c r="P47" s="200">
        <f>('Perkins Loans'!P47*1000)/'Perkins Loans'!AV47</f>
        <v>1503.6604617604617</v>
      </c>
      <c r="Q47" s="200">
        <f>('Perkins Loans'!Q47*1000)/'Perkins Loans'!AW47</f>
        <v>1499.1850250033788</v>
      </c>
      <c r="R47" s="200">
        <f>('Perkins Loans'!R47*1000)/'Perkins Loans'!AX47</f>
        <v>1535.1929321872014</v>
      </c>
      <c r="S47" s="200">
        <f>('Perkins Loans'!S47*1000)/'Perkins Loans'!AY47</f>
        <v>1725.8106874723981</v>
      </c>
      <c r="T47" s="200">
        <f>('Perkins Loans'!T47*1000)/'Perkins Loans'!AZ47</f>
        <v>1811.3907487860977</v>
      </c>
      <c r="U47" s="200">
        <f>('Perkins Loans'!U47*1000)/'Perkins Loans'!BA47</f>
        <v>1957.7013912453342</v>
      </c>
      <c r="V47" s="200">
        <f>('Perkins Loans'!V47*1000)/'Perkins Loans'!BB47</f>
        <v>1954.3865168539326</v>
      </c>
      <c r="W47" s="200">
        <f>('Perkins Loans'!W47*1000)/'Perkins Loans'!BC47</f>
        <v>1970.8281509916826</v>
      </c>
      <c r="X47" s="200">
        <f>('Perkins Loans'!X47*1000)/'Perkins Loans'!BD47</f>
        <v>2024.1534505441932</v>
      </c>
      <c r="Y47" s="200">
        <f>('Perkins Loans'!Y47*1000)/'Perkins Loans'!BE47</f>
        <v>1781.6408582089553</v>
      </c>
      <c r="Z47" s="200">
        <f>('Perkins Loans'!Z47*1000)/'Perkins Loans'!BF47</f>
        <v>1885.8762698090206</v>
      </c>
      <c r="AA47" s="200">
        <f>('Perkins Loans'!AA47*1000)/'Perkins Loans'!BG47</f>
        <v>1993.5734549138804</v>
      </c>
      <c r="AB47" s="200">
        <f>('Perkins Loans'!AB47*1000)/'Perkins Loans'!BH47</f>
        <v>1831.9045504994451</v>
      </c>
      <c r="AC47" s="200">
        <f>('Perkins Loans'!AC47*1000)/'Perkins Loans'!BI47</f>
        <v>1769.3305836254897</v>
      </c>
      <c r="AD47" s="200">
        <f>('Perkins Loans'!AD47*1000)/'Perkins Loans'!BJ47</f>
        <v>1615.6946308724832</v>
      </c>
      <c r="AE47" s="200">
        <f>('Perkins Loans'!AE47*1000)/'Perkins Loans'!BK47</f>
        <v>1787.0528936974069</v>
      </c>
      <c r="AF47" s="200">
        <f>('Perkins Loans'!AF47*1000)/'Perkins Loans'!BL47</f>
        <v>1681.8367056591844</v>
      </c>
      <c r="AG47" s="200">
        <f>('Perkins Loans'!AG47*1000)/'Perkins Loans'!BM47</f>
        <v>2110.4299704360678</v>
      </c>
    </row>
    <row r="48" spans="1:33">
      <c r="A48" s="39" t="s">
        <v>166</v>
      </c>
      <c r="B48" s="200"/>
      <c r="C48" s="200"/>
      <c r="D48" s="200"/>
      <c r="E48" s="200"/>
      <c r="F48" s="200"/>
      <c r="G48" s="200"/>
      <c r="H48" s="200"/>
      <c r="I48" s="200"/>
      <c r="J48" s="200"/>
      <c r="K48" s="200"/>
      <c r="L48" s="200"/>
      <c r="M48" s="200"/>
      <c r="N48" s="200"/>
      <c r="O48" s="200"/>
      <c r="P48" s="200">
        <f>('Perkins Loans'!P48*1000)/'Perkins Loans'!AV48</f>
        <v>1513.8099248804917</v>
      </c>
      <c r="Q48" s="200">
        <f>('Perkins Loans'!Q48*1000)/'Perkins Loans'!AW48</f>
        <v>1429.8678414096917</v>
      </c>
      <c r="R48" s="200">
        <f>('Perkins Loans'!R48*1000)/'Perkins Loans'!AX48</f>
        <v>1452.835142920452</v>
      </c>
      <c r="S48" s="200">
        <f>('Perkins Loans'!S48*1000)/'Perkins Loans'!AY48</f>
        <v>1458.9210858585859</v>
      </c>
      <c r="T48" s="200">
        <f>('Perkins Loans'!T48*1000)/'Perkins Loans'!AZ48</f>
        <v>1750.9334081556303</v>
      </c>
      <c r="U48" s="200">
        <f>('Perkins Loans'!U48*1000)/'Perkins Loans'!BA48</f>
        <v>1634.4620603463668</v>
      </c>
      <c r="V48" s="200">
        <f>('Perkins Loans'!V48*1000)/'Perkins Loans'!BB48</f>
        <v>1618.3862545594163</v>
      </c>
      <c r="W48" s="200">
        <f>('Perkins Loans'!W48*1000)/'Perkins Loans'!BC48</f>
        <v>1753.0240989103104</v>
      </c>
      <c r="X48" s="200">
        <f>('Perkins Loans'!X48*1000)/'Perkins Loans'!BD48</f>
        <v>1831.9559762271624</v>
      </c>
      <c r="Y48" s="200">
        <f>('Perkins Loans'!Y48*1000)/'Perkins Loans'!BE48</f>
        <v>1848.7452033768227</v>
      </c>
      <c r="Z48" s="200">
        <f>('Perkins Loans'!Z48*1000)/'Perkins Loans'!BF48</f>
        <v>1723.4133391838525</v>
      </c>
      <c r="AA48" s="200">
        <f>('Perkins Loans'!AA48*1000)/'Perkins Loans'!BG48</f>
        <v>1721.0624280782508</v>
      </c>
      <c r="AB48" s="200">
        <f>('Perkins Loans'!AB48*1000)/'Perkins Loans'!BH48</f>
        <v>1803.7151366503153</v>
      </c>
      <c r="AC48" s="200">
        <f>('Perkins Loans'!AC48*1000)/'Perkins Loans'!BI48</f>
        <v>1627.4093473005641</v>
      </c>
      <c r="AD48" s="200">
        <f>('Perkins Loans'!AD48*1000)/'Perkins Loans'!BJ48</f>
        <v>1709.0297500991669</v>
      </c>
      <c r="AE48" s="200">
        <f>('Perkins Loans'!AE48*1000)/'Perkins Loans'!BK48</f>
        <v>1926.4214559386974</v>
      </c>
      <c r="AF48" s="200">
        <f>('Perkins Loans'!AF48*1000)/'Perkins Loans'!BL48</f>
        <v>2024.5712841253792</v>
      </c>
      <c r="AG48" s="200">
        <f>('Perkins Loans'!AG48*1000)/'Perkins Loans'!BM48</f>
        <v>1872.7294232015554</v>
      </c>
    </row>
    <row r="49" spans="1:33">
      <c r="A49" s="39" t="s">
        <v>167</v>
      </c>
      <c r="B49" s="200"/>
      <c r="C49" s="200"/>
      <c r="D49" s="200"/>
      <c r="E49" s="200"/>
      <c r="F49" s="200"/>
      <c r="G49" s="200"/>
      <c r="H49" s="200"/>
      <c r="I49" s="200"/>
      <c r="J49" s="200"/>
      <c r="K49" s="200"/>
      <c r="L49" s="200"/>
      <c r="M49" s="200"/>
      <c r="N49" s="200"/>
      <c r="O49" s="200"/>
      <c r="P49" s="200">
        <f>('Perkins Loans'!P49*1000)/'Perkins Loans'!AV49</f>
        <v>1483.0568545045578</v>
      </c>
      <c r="Q49" s="200">
        <f>('Perkins Loans'!Q49*1000)/'Perkins Loans'!AW49</f>
        <v>1581.7242388223463</v>
      </c>
      <c r="R49" s="200">
        <f>('Perkins Loans'!R49*1000)/'Perkins Loans'!AX49</f>
        <v>1679.5766214756213</v>
      </c>
      <c r="S49" s="200">
        <f>('Perkins Loans'!S49*1000)/'Perkins Loans'!AY49</f>
        <v>1808.2633622658748</v>
      </c>
      <c r="T49" s="200">
        <f>('Perkins Loans'!T49*1000)/'Perkins Loans'!AZ49</f>
        <v>1803.6812058272033</v>
      </c>
      <c r="U49" s="200">
        <f>('Perkins Loans'!U49*1000)/'Perkins Loans'!BA49</f>
        <v>1924.8539246553034</v>
      </c>
      <c r="V49" s="200">
        <f>('Perkins Loans'!V49*1000)/'Perkins Loans'!BB49</f>
        <v>1890.7873031604449</v>
      </c>
      <c r="W49" s="200">
        <f>('Perkins Loans'!W49*1000)/'Perkins Loans'!BC49</f>
        <v>1861.571874337302</v>
      </c>
      <c r="X49" s="200">
        <f>('Perkins Loans'!X49*1000)/'Perkins Loans'!BD49</f>
        <v>1878.873056437295</v>
      </c>
      <c r="Y49" s="200">
        <f>('Perkins Loans'!Y49*1000)/'Perkins Loans'!BE49</f>
        <v>1778.9266926582834</v>
      </c>
      <c r="Z49" s="200">
        <f>('Perkins Loans'!Z49*1000)/'Perkins Loans'!BF49</f>
        <v>1705.641110376735</v>
      </c>
      <c r="AA49" s="200">
        <f>('Perkins Loans'!AA49*1000)/'Perkins Loans'!BG49</f>
        <v>1524.7290573792657</v>
      </c>
      <c r="AB49" s="200">
        <f>('Perkins Loans'!AB49*1000)/'Perkins Loans'!BH49</f>
        <v>1603.5053684978629</v>
      </c>
      <c r="AC49" s="200">
        <f>('Perkins Loans'!AC49*1000)/'Perkins Loans'!BI49</f>
        <v>1765.7521132111312</v>
      </c>
      <c r="AD49" s="200">
        <f>('Perkins Loans'!AD49*1000)/'Perkins Loans'!BJ49</f>
        <v>1709.2197097999726</v>
      </c>
      <c r="AE49" s="200">
        <f>('Perkins Loans'!AE49*1000)/'Perkins Loans'!BK49</f>
        <v>1874.3804177135678</v>
      </c>
      <c r="AF49" s="200">
        <f>('Perkins Loans'!AF49*1000)/'Perkins Loans'!BL49</f>
        <v>1934.5773115773115</v>
      </c>
      <c r="AG49" s="200">
        <f>('Perkins Loans'!AG49*1000)/'Perkins Loans'!BM49</f>
        <v>2087.3607252585571</v>
      </c>
    </row>
    <row r="50" spans="1:33">
      <c r="A50" s="39" t="s">
        <v>171</v>
      </c>
      <c r="B50" s="200"/>
      <c r="C50" s="200"/>
      <c r="D50" s="200"/>
      <c r="E50" s="200"/>
      <c r="F50" s="200"/>
      <c r="G50" s="200"/>
      <c r="H50" s="200"/>
      <c r="I50" s="200"/>
      <c r="J50" s="200"/>
      <c r="K50" s="200"/>
      <c r="L50" s="200"/>
      <c r="M50" s="200"/>
      <c r="N50" s="200"/>
      <c r="O50" s="200"/>
      <c r="P50" s="200">
        <f>('Perkins Loans'!P50*1000)/'Perkins Loans'!AV50</f>
        <v>1366.4789507086948</v>
      </c>
      <c r="Q50" s="200">
        <f>('Perkins Loans'!Q50*1000)/'Perkins Loans'!AW50</f>
        <v>1332.6240286909742</v>
      </c>
      <c r="R50" s="200">
        <f>('Perkins Loans'!R50*1000)/'Perkins Loans'!AX50</f>
        <v>1383.2286871662677</v>
      </c>
      <c r="S50" s="200">
        <f>('Perkins Loans'!S50*1000)/'Perkins Loans'!AY50</f>
        <v>1423.6843079200592</v>
      </c>
      <c r="T50" s="200">
        <f>('Perkins Loans'!T50*1000)/'Perkins Loans'!AZ50</f>
        <v>1560.682487725041</v>
      </c>
      <c r="U50" s="200">
        <f>('Perkins Loans'!U50*1000)/'Perkins Loans'!BA50</f>
        <v>1650.8680193596426</v>
      </c>
      <c r="V50" s="200">
        <f>('Perkins Loans'!V50*1000)/'Perkins Loans'!BB50</f>
        <v>1687.6934865900382</v>
      </c>
      <c r="W50" s="200">
        <f>('Perkins Loans'!W50*1000)/'Perkins Loans'!BC50</f>
        <v>1665.4433836165745</v>
      </c>
      <c r="X50" s="200">
        <f>('Perkins Loans'!X50*1000)/'Perkins Loans'!BD50</f>
        <v>1617.2929456112008</v>
      </c>
      <c r="Y50" s="200">
        <f>('Perkins Loans'!Y50*1000)/'Perkins Loans'!BE50</f>
        <v>1610.6471079557318</v>
      </c>
      <c r="Z50" s="200">
        <f>('Perkins Loans'!Z50*1000)/'Perkins Loans'!BF50</f>
        <v>1501.9243277048156</v>
      </c>
      <c r="AA50" s="200">
        <f>('Perkins Loans'!AA50*1000)/'Perkins Loans'!BG50</f>
        <v>1434.5346115537848</v>
      </c>
      <c r="AB50" s="200">
        <f>('Perkins Loans'!AB50*1000)/'Perkins Loans'!BH50</f>
        <v>1479.1500781657114</v>
      </c>
      <c r="AC50" s="200">
        <f>('Perkins Loans'!AC50*1000)/'Perkins Loans'!BI50</f>
        <v>1460.0065395095369</v>
      </c>
      <c r="AD50" s="200">
        <f>('Perkins Loans'!AD50*1000)/'Perkins Loans'!BJ50</f>
        <v>1496.2720667384285</v>
      </c>
      <c r="AE50" s="200">
        <f>('Perkins Loans'!AE50*1000)/'Perkins Loans'!BK50</f>
        <v>1742.812452924931</v>
      </c>
      <c r="AF50" s="200">
        <f>('Perkins Loans'!AF50*1000)/'Perkins Loans'!BL50</f>
        <v>1842.9024545744342</v>
      </c>
      <c r="AG50" s="200">
        <f>('Perkins Loans'!AG50*1000)/'Perkins Loans'!BM50</f>
        <v>2065.3888504155125</v>
      </c>
    </row>
    <row r="51" spans="1:33">
      <c r="A51" s="39" t="s">
        <v>175</v>
      </c>
      <c r="B51" s="200"/>
      <c r="C51" s="200"/>
      <c r="D51" s="200"/>
      <c r="E51" s="200"/>
      <c r="F51" s="200"/>
      <c r="G51" s="200"/>
      <c r="H51" s="200"/>
      <c r="I51" s="200"/>
      <c r="J51" s="200"/>
      <c r="K51" s="200"/>
      <c r="L51" s="200"/>
      <c r="M51" s="200"/>
      <c r="N51" s="200"/>
      <c r="O51" s="200"/>
      <c r="P51" s="200">
        <f>('Perkins Loans'!P51*1000)/'Perkins Loans'!AV51</f>
        <v>1662.3063857668467</v>
      </c>
      <c r="Q51" s="200">
        <f>('Perkins Loans'!Q51*1000)/'Perkins Loans'!AW51</f>
        <v>1663.4779314727016</v>
      </c>
      <c r="R51" s="200">
        <f>('Perkins Loans'!R51*1000)/'Perkins Loans'!AX51</f>
        <v>1933.4944381829764</v>
      </c>
      <c r="S51" s="200">
        <f>('Perkins Loans'!S51*1000)/'Perkins Loans'!AY51</f>
        <v>1965.101902239345</v>
      </c>
      <c r="T51" s="200">
        <f>('Perkins Loans'!T51*1000)/'Perkins Loans'!AZ51</f>
        <v>2061.5084516269926</v>
      </c>
      <c r="U51" s="200">
        <f>('Perkins Loans'!U51*1000)/'Perkins Loans'!BA51</f>
        <v>2295.4872684733868</v>
      </c>
      <c r="V51" s="200">
        <f>('Perkins Loans'!V51*1000)/'Perkins Loans'!BB51</f>
        <v>2316.2187904336574</v>
      </c>
      <c r="W51" s="200">
        <f>('Perkins Loans'!W51*1000)/'Perkins Loans'!BC51</f>
        <v>2284.4970044168454</v>
      </c>
      <c r="X51" s="200">
        <f>('Perkins Loans'!X51*1000)/'Perkins Loans'!BD51</f>
        <v>2322.9534553206609</v>
      </c>
      <c r="Y51" s="200">
        <f>('Perkins Loans'!Y51*1000)/'Perkins Loans'!BE51</f>
        <v>2121.0351239669421</v>
      </c>
      <c r="Z51" s="200">
        <f>('Perkins Loans'!Z51*1000)/'Perkins Loans'!BF51</f>
        <v>1806.1249568995242</v>
      </c>
      <c r="AA51" s="200">
        <f>('Perkins Loans'!AA51*1000)/'Perkins Loans'!BG51</f>
        <v>1624.761106286325</v>
      </c>
      <c r="AB51" s="200">
        <f>('Perkins Loans'!AB51*1000)/'Perkins Loans'!BH51</f>
        <v>1584.3195417277516</v>
      </c>
      <c r="AC51" s="200">
        <f>('Perkins Loans'!AC51*1000)/'Perkins Loans'!BI51</f>
        <v>1624.2668791185049</v>
      </c>
      <c r="AD51" s="200">
        <f>('Perkins Loans'!AD51*1000)/'Perkins Loans'!BJ51</f>
        <v>1881.7432852275006</v>
      </c>
      <c r="AE51" s="200">
        <f>('Perkins Loans'!AE51*1000)/'Perkins Loans'!BK51</f>
        <v>1971.8961026524944</v>
      </c>
      <c r="AF51" s="200">
        <f>('Perkins Loans'!AF51*1000)/'Perkins Loans'!BL51</f>
        <v>1916.9511034410627</v>
      </c>
      <c r="AG51" s="200">
        <f>('Perkins Loans'!AG51*1000)/'Perkins Loans'!BM51</f>
        <v>2125.1881329747666</v>
      </c>
    </row>
    <row r="52" spans="1:33">
      <c r="A52" s="150" t="s">
        <v>219</v>
      </c>
      <c r="B52" s="202"/>
      <c r="C52" s="202"/>
      <c r="D52" s="202"/>
      <c r="E52" s="202"/>
      <c r="F52" s="202"/>
      <c r="G52" s="202"/>
      <c r="H52" s="202"/>
      <c r="I52" s="202"/>
      <c r="J52" s="202"/>
      <c r="K52" s="202"/>
      <c r="L52" s="202"/>
      <c r="M52" s="202"/>
      <c r="N52" s="202"/>
      <c r="O52" s="202"/>
      <c r="P52" s="202">
        <f>('Perkins Loans'!P52*1000)/'Perkins Loans'!AV52</f>
        <v>1525.9534202468828</v>
      </c>
      <c r="Q52" s="202">
        <f>('Perkins Loans'!Q52*1000)/'Perkins Loans'!AW52</f>
        <v>1599.2424568740198</v>
      </c>
      <c r="R52" s="202">
        <f>('Perkins Loans'!R52*1000)/'Perkins Loans'!AX52</f>
        <v>1657.5430985738515</v>
      </c>
      <c r="S52" s="202">
        <f>('Perkins Loans'!S52*1000)/'Perkins Loans'!AY52</f>
        <v>1757.5038913821511</v>
      </c>
      <c r="T52" s="202">
        <f>('Perkins Loans'!T52*1000)/'Perkins Loans'!AZ52</f>
        <v>1894.8629757785468</v>
      </c>
      <c r="U52" s="202">
        <f>('Perkins Loans'!U52*1000)/'Perkins Loans'!BA52</f>
        <v>2064.986033737282</v>
      </c>
      <c r="V52" s="202">
        <f>('Perkins Loans'!V52*1000)/'Perkins Loans'!BB52</f>
        <v>2075.1501296586803</v>
      </c>
      <c r="W52" s="202">
        <f>('Perkins Loans'!W52*1000)/'Perkins Loans'!BC52</f>
        <v>2101.5012932025438</v>
      </c>
      <c r="X52" s="202">
        <f>('Perkins Loans'!X52*1000)/'Perkins Loans'!BD52</f>
        <v>2127.7455287722973</v>
      </c>
      <c r="Y52" s="202">
        <f>('Perkins Loans'!Y52*1000)/'Perkins Loans'!BE52</f>
        <v>2034.1797185075034</v>
      </c>
      <c r="Z52" s="202">
        <f>('Perkins Loans'!Z52*1000)/'Perkins Loans'!BF52</f>
        <v>1900.1378907524636</v>
      </c>
      <c r="AA52" s="202">
        <f>('Perkins Loans'!AA52*1000)/'Perkins Loans'!BG52</f>
        <v>1871.9189264494364</v>
      </c>
      <c r="AB52" s="202">
        <f>('Perkins Loans'!AB52*1000)/'Perkins Loans'!BH52</f>
        <v>1908.3600779127737</v>
      </c>
      <c r="AC52" s="202">
        <f>('Perkins Loans'!AC52*1000)/'Perkins Loans'!BI52</f>
        <v>1990.5369874160015</v>
      </c>
      <c r="AD52" s="202">
        <f>('Perkins Loans'!AD52*1000)/'Perkins Loans'!BJ52</f>
        <v>2014.519751636848</v>
      </c>
      <c r="AE52" s="202">
        <f>('Perkins Loans'!AE52*1000)/'Perkins Loans'!BK52</f>
        <v>2108.4712530097881</v>
      </c>
      <c r="AF52" s="202">
        <f>('Perkins Loans'!AF52*1000)/'Perkins Loans'!BL52</f>
        <v>2195.2133826103868</v>
      </c>
      <c r="AG52" s="202">
        <f>('Perkins Loans'!AG52*1000)/'Perkins Loans'!BM52</f>
        <v>2420.9663668823741</v>
      </c>
    </row>
    <row r="53" spans="1:33" s="174" customFormat="1">
      <c r="A53" s="173" t="s">
        <v>215</v>
      </c>
      <c r="B53" s="197"/>
      <c r="C53" s="197"/>
      <c r="D53" s="197"/>
      <c r="E53" s="197"/>
      <c r="F53" s="197"/>
      <c r="G53" s="197"/>
      <c r="H53" s="197"/>
      <c r="I53" s="197"/>
      <c r="J53" s="197"/>
      <c r="K53" s="197"/>
      <c r="L53" s="197"/>
      <c r="M53" s="197"/>
      <c r="N53" s="197"/>
      <c r="O53" s="197"/>
      <c r="P53" s="197">
        <f t="shared" ref="P53" si="46">(P52/P4)*100</f>
        <v>94.572208019339001</v>
      </c>
      <c r="Q53" s="197">
        <f t="shared" ref="Q53" si="47">(Q52/Q4)*100</f>
        <v>94.448447225947433</v>
      </c>
      <c r="R53" s="197">
        <f t="shared" ref="R53" si="48">(R52/R4)*100</f>
        <v>92.27048440608759</v>
      </c>
      <c r="S53" s="197">
        <f t="shared" ref="S53" si="49">(S52/S4)*100</f>
        <v>93.41312034732033</v>
      </c>
      <c r="T53" s="197">
        <f t="shared" ref="T53" si="50">(T52/T4)*100</f>
        <v>94.265774948432352</v>
      </c>
      <c r="U53" s="197">
        <f t="shared" ref="U53" si="51">(U52/U4)*100</f>
        <v>95.028412975140981</v>
      </c>
      <c r="V53" s="197">
        <f t="shared" ref="V53" si="52">(V52/V4)*100</f>
        <v>93.903414008895425</v>
      </c>
      <c r="W53" s="197">
        <f t="shared" ref="W53" si="53">(W52/W4)*100</f>
        <v>95.748592362124725</v>
      </c>
      <c r="X53" s="197">
        <f t="shared" ref="X53" si="54">(X52/X4)*100</f>
        <v>95.265864381748798</v>
      </c>
      <c r="Y53" s="197">
        <f t="shared" ref="Y53" si="55">(Y52/Y4)*100</f>
        <v>95.661858240303516</v>
      </c>
      <c r="Z53" s="197">
        <f t="shared" ref="Z53" si="56">(Z52/Z4)*100</f>
        <v>96.484264655479222</v>
      </c>
      <c r="AA53" s="197">
        <f t="shared" ref="AA53:AB53" si="57">(AA52/AA4)*100</f>
        <v>101.05882587464296</v>
      </c>
      <c r="AB53" s="197">
        <f t="shared" si="57"/>
        <v>102.57771677989489</v>
      </c>
      <c r="AC53" s="197">
        <f t="shared" ref="AC53:AD53" si="58">(AC52/AC4)*100</f>
        <v>101.5540727196512</v>
      </c>
      <c r="AD53" s="197">
        <f t="shared" si="58"/>
        <v>99.495390323559022</v>
      </c>
      <c r="AE53" s="197">
        <f t="shared" ref="AE53:AF53" si="59">(AE52/AE4)*100</f>
        <v>96.990413539302025</v>
      </c>
      <c r="AF53" s="197">
        <f t="shared" si="59"/>
        <v>99.811135352824039</v>
      </c>
      <c r="AG53" s="197">
        <f t="shared" ref="AG53" si="60">(AG52/AG4)*100</f>
        <v>97.638045803837912</v>
      </c>
    </row>
    <row r="54" spans="1:33">
      <c r="A54" s="39" t="s">
        <v>146</v>
      </c>
      <c r="B54" s="200"/>
      <c r="C54" s="200"/>
      <c r="D54" s="200"/>
      <c r="E54" s="200"/>
      <c r="F54" s="200"/>
      <c r="G54" s="200"/>
      <c r="H54" s="200"/>
      <c r="I54" s="200"/>
      <c r="J54" s="200"/>
      <c r="K54" s="200"/>
      <c r="L54" s="200"/>
      <c r="M54" s="200"/>
      <c r="N54" s="200"/>
      <c r="O54" s="200"/>
      <c r="P54" s="200">
        <f>('Perkins Loans'!P54*1000)/'Perkins Loans'!AV54</f>
        <v>1830.3714939207896</v>
      </c>
      <c r="Q54" s="200">
        <f>('Perkins Loans'!Q54*1000)/'Perkins Loans'!AW54</f>
        <v>1726.1353442622951</v>
      </c>
      <c r="R54" s="200">
        <f>('Perkins Loans'!R54*1000)/'Perkins Loans'!AX54</f>
        <v>1381.0173582580114</v>
      </c>
      <c r="S54" s="200">
        <f>('Perkins Loans'!S54*1000)/'Perkins Loans'!AY54</f>
        <v>1985.4054466785442</v>
      </c>
      <c r="T54" s="200">
        <f>('Perkins Loans'!T54*1000)/'Perkins Loans'!AZ54</f>
        <v>2055.1238401142041</v>
      </c>
      <c r="U54" s="200">
        <f>('Perkins Loans'!U54*1000)/'Perkins Loans'!BA54</f>
        <v>2268.5457299312593</v>
      </c>
      <c r="V54" s="200">
        <f>('Perkins Loans'!V54*1000)/'Perkins Loans'!BB54</f>
        <v>2387.4112498391041</v>
      </c>
      <c r="W54" s="200">
        <f>('Perkins Loans'!W54*1000)/'Perkins Loans'!BC54</f>
        <v>2213.959141512682</v>
      </c>
      <c r="X54" s="200">
        <f>('Perkins Loans'!X54*1000)/'Perkins Loans'!BD54</f>
        <v>2334.960111542192</v>
      </c>
      <c r="Y54" s="200">
        <f>('Perkins Loans'!Y54*1000)/'Perkins Loans'!BE54</f>
        <v>2183.3426872045143</v>
      </c>
      <c r="Z54" s="200">
        <f>('Perkins Loans'!Z54*1000)/'Perkins Loans'!BF54</f>
        <v>1969.5608985024958</v>
      </c>
      <c r="AA54" s="200">
        <f>('Perkins Loans'!AA54*1000)/'Perkins Loans'!BG54</f>
        <v>1930.5519519519519</v>
      </c>
      <c r="AB54" s="200">
        <f>('Perkins Loans'!AB54*1000)/'Perkins Loans'!BH54</f>
        <v>2101.7842058562555</v>
      </c>
      <c r="AC54" s="200">
        <f>('Perkins Loans'!AC54*1000)/'Perkins Loans'!BI54</f>
        <v>2426.9919338576324</v>
      </c>
      <c r="AD54" s="200">
        <f>('Perkins Loans'!AD54*1000)/'Perkins Loans'!BJ54</f>
        <v>2359.9690665701883</v>
      </c>
      <c r="AE54" s="200">
        <f>('Perkins Loans'!AE54*1000)/'Perkins Loans'!BK54</f>
        <v>2254.9091354796537</v>
      </c>
      <c r="AF54" s="200">
        <f>('Perkins Loans'!AF54*1000)/'Perkins Loans'!BL54</f>
        <v>2639.729812476081</v>
      </c>
      <c r="AG54" s="200">
        <f>('Perkins Loans'!AG54*1000)/'Perkins Loans'!BM54</f>
        <v>3239.2981698017284</v>
      </c>
    </row>
    <row r="55" spans="1:33">
      <c r="A55" s="39" t="s">
        <v>154</v>
      </c>
      <c r="B55" s="200"/>
      <c r="C55" s="200"/>
      <c r="D55" s="200"/>
      <c r="E55" s="200"/>
      <c r="F55" s="200"/>
      <c r="G55" s="200"/>
      <c r="H55" s="200"/>
      <c r="I55" s="200"/>
      <c r="J55" s="200"/>
      <c r="K55" s="200"/>
      <c r="L55" s="200"/>
      <c r="M55" s="200"/>
      <c r="N55" s="200"/>
      <c r="O55" s="200"/>
      <c r="P55" s="200">
        <f>('Perkins Loans'!P55*1000)/'Perkins Loans'!AV55</f>
        <v>1360.899352651048</v>
      </c>
      <c r="Q55" s="200">
        <f>('Perkins Loans'!Q55*1000)/'Perkins Loans'!AW55</f>
        <v>1435.4249515576091</v>
      </c>
      <c r="R55" s="200">
        <f>('Perkins Loans'!R55*1000)/'Perkins Loans'!AX55</f>
        <v>1658.152990264256</v>
      </c>
      <c r="S55" s="200">
        <f>('Perkins Loans'!S55*1000)/'Perkins Loans'!AY55</f>
        <v>1524.8045172368247</v>
      </c>
      <c r="T55" s="200">
        <f>('Perkins Loans'!T55*1000)/'Perkins Loans'!AZ55</f>
        <v>1679.1913900414938</v>
      </c>
      <c r="U55" s="200">
        <f>('Perkins Loans'!U55*1000)/'Perkins Loans'!BA55</f>
        <v>1809.5571090047392</v>
      </c>
      <c r="V55" s="200">
        <f>('Perkins Loans'!V55*1000)/'Perkins Loans'!BB55</f>
        <v>1916.668019181114</v>
      </c>
      <c r="W55" s="200">
        <f>('Perkins Loans'!W55*1000)/'Perkins Loans'!BC55</f>
        <v>1951.5715664644235</v>
      </c>
      <c r="X55" s="200">
        <f>('Perkins Loans'!X55*1000)/'Perkins Loans'!BD55</f>
        <v>2019.0572550081213</v>
      </c>
      <c r="Y55" s="200">
        <f>('Perkins Loans'!Y55*1000)/'Perkins Loans'!BE55</f>
        <v>2006.4678087080656</v>
      </c>
      <c r="Z55" s="200">
        <f>('Perkins Loans'!Z55*1000)/'Perkins Loans'!BF55</f>
        <v>1775.8599640933573</v>
      </c>
      <c r="AA55" s="200">
        <f>('Perkins Loans'!AA55*1000)/'Perkins Loans'!BG55</f>
        <v>1984.5536723163841</v>
      </c>
      <c r="AB55" s="200">
        <f>('Perkins Loans'!AB55*1000)/'Perkins Loans'!BH55</f>
        <v>1719.7707080504365</v>
      </c>
      <c r="AC55" s="200">
        <f>('Perkins Loans'!AC55*1000)/'Perkins Loans'!BI55</f>
        <v>1511.7994490358126</v>
      </c>
      <c r="AD55" s="200">
        <f>('Perkins Loans'!AD55*1000)/'Perkins Loans'!BJ55</f>
        <v>1632.8866253321523</v>
      </c>
      <c r="AE55" s="200">
        <f>('Perkins Loans'!AE55*1000)/'Perkins Loans'!BK55</f>
        <v>1815.5818431911966</v>
      </c>
      <c r="AF55" s="200">
        <f>('Perkins Loans'!AF55*1000)/'Perkins Loans'!BL55</f>
        <v>1860.5818030050084</v>
      </c>
      <c r="AG55" s="200">
        <f>('Perkins Loans'!AG55*1000)/'Perkins Loans'!BM55</f>
        <v>1924.7442329227324</v>
      </c>
    </row>
    <row r="56" spans="1:33">
      <c r="A56" s="39" t="s">
        <v>155</v>
      </c>
      <c r="B56" s="200"/>
      <c r="C56" s="200"/>
      <c r="D56" s="200"/>
      <c r="E56" s="200"/>
      <c r="F56" s="200"/>
      <c r="G56" s="200"/>
      <c r="H56" s="200"/>
      <c r="I56" s="200"/>
      <c r="J56" s="200"/>
      <c r="K56" s="200"/>
      <c r="L56" s="200"/>
      <c r="M56" s="200"/>
      <c r="N56" s="200"/>
      <c r="O56" s="200"/>
      <c r="P56" s="200">
        <f>('Perkins Loans'!P56*1000)/'Perkins Loans'!AV56</f>
        <v>1601.9074971923192</v>
      </c>
      <c r="Q56" s="200">
        <f>('Perkins Loans'!Q56*1000)/'Perkins Loans'!AW56</f>
        <v>1758.5888081438113</v>
      </c>
      <c r="R56" s="200">
        <f>('Perkins Loans'!R56*1000)/'Perkins Loans'!AX56</f>
        <v>1946.488906472543</v>
      </c>
      <c r="S56" s="200">
        <f>('Perkins Loans'!S56*1000)/'Perkins Loans'!AY56</f>
        <v>2054.1639802967152</v>
      </c>
      <c r="T56" s="200">
        <f>('Perkins Loans'!T56*1000)/'Perkins Loans'!AZ56</f>
        <v>2212.0684935092127</v>
      </c>
      <c r="U56" s="200">
        <f>('Perkins Loans'!U56*1000)/'Perkins Loans'!BA56</f>
        <v>2367.5600679317727</v>
      </c>
      <c r="V56" s="200">
        <f>('Perkins Loans'!V56*1000)/'Perkins Loans'!BB56</f>
        <v>2309.1965072133639</v>
      </c>
      <c r="W56" s="200">
        <f>('Perkins Loans'!W56*1000)/'Perkins Loans'!BC56</f>
        <v>2378.588617265088</v>
      </c>
      <c r="X56" s="200">
        <f>('Perkins Loans'!X56*1000)/'Perkins Loans'!BD56</f>
        <v>2362.9282976684767</v>
      </c>
      <c r="Y56" s="200">
        <f>('Perkins Loans'!Y56*1000)/'Perkins Loans'!BE56</f>
        <v>2259.5259414354773</v>
      </c>
      <c r="Z56" s="200">
        <f>('Perkins Loans'!Z56*1000)/'Perkins Loans'!BF56</f>
        <v>2532.5936864372306</v>
      </c>
      <c r="AA56" s="200">
        <f>('Perkins Loans'!AA56*1000)/'Perkins Loans'!BG56</f>
        <v>2391.2890294438384</v>
      </c>
      <c r="AB56" s="200">
        <f>('Perkins Loans'!AB56*1000)/'Perkins Loans'!BH56</f>
        <v>2436.5182318011875</v>
      </c>
      <c r="AC56" s="200">
        <f>('Perkins Loans'!AC56*1000)/'Perkins Loans'!BI56</f>
        <v>2445.4999794162445</v>
      </c>
      <c r="AD56" s="200">
        <f>('Perkins Loans'!AD56*1000)/'Perkins Loans'!BJ56</f>
        <v>2495.7476589854246</v>
      </c>
      <c r="AE56" s="200">
        <f>('Perkins Loans'!AE56*1000)/'Perkins Loans'!BK56</f>
        <v>2587.2513036033929</v>
      </c>
      <c r="AF56" s="200">
        <f>('Perkins Loans'!AF56*1000)/'Perkins Loans'!BL56</f>
        <v>2676.0180720417302</v>
      </c>
      <c r="AG56" s="200">
        <f>('Perkins Loans'!AG56*1000)/'Perkins Loans'!BM56</f>
        <v>2918.1746234865636</v>
      </c>
    </row>
    <row r="57" spans="1:33">
      <c r="A57" s="39" t="s">
        <v>162</v>
      </c>
      <c r="B57" s="200"/>
      <c r="C57" s="200"/>
      <c r="D57" s="200"/>
      <c r="E57" s="200"/>
      <c r="F57" s="200"/>
      <c r="G57" s="200"/>
      <c r="H57" s="200"/>
      <c r="I57" s="200"/>
      <c r="J57" s="200"/>
      <c r="K57" s="200"/>
      <c r="L57" s="200"/>
      <c r="M57" s="200"/>
      <c r="N57" s="200"/>
      <c r="O57" s="200"/>
      <c r="P57" s="200">
        <f>('Perkins Loans'!P57*1000)/'Perkins Loans'!AV57</f>
        <v>1658.6572001336451</v>
      </c>
      <c r="Q57" s="200">
        <f>('Perkins Loans'!Q57*1000)/'Perkins Loans'!AW57</f>
        <v>1798.0823529411764</v>
      </c>
      <c r="R57" s="200">
        <f>('Perkins Loans'!R57*1000)/'Perkins Loans'!AX57</f>
        <v>1800.9954190702408</v>
      </c>
      <c r="S57" s="200">
        <f>('Perkins Loans'!S57*1000)/'Perkins Loans'!AY57</f>
        <v>1755.704894661809</v>
      </c>
      <c r="T57" s="200">
        <f>('Perkins Loans'!T57*1000)/'Perkins Loans'!AZ57</f>
        <v>1819.4074886846797</v>
      </c>
      <c r="U57" s="200">
        <f>('Perkins Loans'!U57*1000)/'Perkins Loans'!BA57</f>
        <v>2081.3623062616243</v>
      </c>
      <c r="V57" s="200">
        <f>('Perkins Loans'!V57*1000)/'Perkins Loans'!BB57</f>
        <v>1966.3896256999706</v>
      </c>
      <c r="W57" s="200">
        <f>('Perkins Loans'!W57*1000)/'Perkins Loans'!BC57</f>
        <v>2011.5917962793535</v>
      </c>
      <c r="X57" s="200">
        <f>('Perkins Loans'!X57*1000)/'Perkins Loans'!BD57</f>
        <v>2073.9570423589284</v>
      </c>
      <c r="Y57" s="200">
        <f>('Perkins Loans'!Y57*1000)/'Perkins Loans'!BE57</f>
        <v>2074.0062869117928</v>
      </c>
      <c r="Z57" s="200">
        <f>('Perkins Loans'!Z57*1000)/'Perkins Loans'!BF57</f>
        <v>1985.2415551306565</v>
      </c>
      <c r="AA57" s="200">
        <f>('Perkins Loans'!AA57*1000)/'Perkins Loans'!BG57</f>
        <v>2061.3189427312777</v>
      </c>
      <c r="AB57" s="200">
        <f>('Perkins Loans'!AB57*1000)/'Perkins Loans'!BH57</f>
        <v>1907.8641651031894</v>
      </c>
      <c r="AC57" s="200">
        <f>('Perkins Loans'!AC57*1000)/'Perkins Loans'!BI57</f>
        <v>1824.6733832277873</v>
      </c>
      <c r="AD57" s="200">
        <f>('Perkins Loans'!AD57*1000)/'Perkins Loans'!BJ57</f>
        <v>1902.5085791401582</v>
      </c>
      <c r="AE57" s="200">
        <f>('Perkins Loans'!AE57*1000)/'Perkins Loans'!BK57</f>
        <v>2075.375564759036</v>
      </c>
      <c r="AF57" s="200">
        <f>('Perkins Loans'!AF57*1000)/'Perkins Loans'!BL57</f>
        <v>2149.5895460224906</v>
      </c>
      <c r="AG57" s="200">
        <f>('Perkins Loans'!AG57*1000)/'Perkins Loans'!BM57</f>
        <v>2223.6797369702872</v>
      </c>
    </row>
    <row r="58" spans="1:33">
      <c r="A58" s="39" t="s">
        <v>163</v>
      </c>
      <c r="B58" s="200"/>
      <c r="C58" s="200"/>
      <c r="D58" s="200"/>
      <c r="E58" s="200"/>
      <c r="F58" s="200"/>
      <c r="G58" s="200"/>
      <c r="H58" s="200"/>
      <c r="I58" s="200"/>
      <c r="J58" s="200"/>
      <c r="K58" s="200"/>
      <c r="L58" s="200"/>
      <c r="M58" s="200"/>
      <c r="N58" s="200"/>
      <c r="O58" s="200"/>
      <c r="P58" s="200">
        <f>('Perkins Loans'!P58*1000)/'Perkins Loans'!AV58</f>
        <v>1547.2195836777637</v>
      </c>
      <c r="Q58" s="200">
        <f>('Perkins Loans'!Q58*1000)/'Perkins Loans'!AW58</f>
        <v>1613.3331445675917</v>
      </c>
      <c r="R58" s="200">
        <f>('Perkins Loans'!R58*1000)/'Perkins Loans'!AX58</f>
        <v>1688.3391921060747</v>
      </c>
      <c r="S58" s="200">
        <f>('Perkins Loans'!S58*1000)/'Perkins Loans'!AY58</f>
        <v>1679.1156737531323</v>
      </c>
      <c r="T58" s="200">
        <f>('Perkins Loans'!T58*1000)/'Perkins Loans'!AZ58</f>
        <v>1820.4591391595172</v>
      </c>
      <c r="U58" s="200">
        <f>('Perkins Loans'!U58*1000)/'Perkins Loans'!BA58</f>
        <v>1960.1406392055389</v>
      </c>
      <c r="V58" s="200">
        <f>('Perkins Loans'!V58*1000)/'Perkins Loans'!BB58</f>
        <v>1887.0441097775399</v>
      </c>
      <c r="W58" s="200">
        <f>('Perkins Loans'!W58*1000)/'Perkins Loans'!BC58</f>
        <v>1980.8930332922318</v>
      </c>
      <c r="X58" s="200">
        <f>('Perkins Loans'!X58*1000)/'Perkins Loans'!BD58</f>
        <v>2033.0293263863043</v>
      </c>
      <c r="Y58" s="200">
        <f>('Perkins Loans'!Y58*1000)/'Perkins Loans'!BE58</f>
        <v>1878.1107784431138</v>
      </c>
      <c r="Z58" s="200">
        <f>('Perkins Loans'!Z58*1000)/'Perkins Loans'!BF58</f>
        <v>1686.5225921521996</v>
      </c>
      <c r="AA58" s="200">
        <f>('Perkins Loans'!AA58*1000)/'Perkins Loans'!BG58</f>
        <v>1687.0439453125</v>
      </c>
      <c r="AB58" s="200">
        <f>('Perkins Loans'!AB58*1000)/'Perkins Loans'!BH58</f>
        <v>1706.0036268842798</v>
      </c>
      <c r="AC58" s="200">
        <f>('Perkins Loans'!AC58*1000)/'Perkins Loans'!BI58</f>
        <v>1715.6504459861249</v>
      </c>
      <c r="AD58" s="200">
        <f>('Perkins Loans'!AD58*1000)/'Perkins Loans'!BJ58</f>
        <v>1655.2657098923628</v>
      </c>
      <c r="AE58" s="200">
        <f>('Perkins Loans'!AE58*1000)/'Perkins Loans'!BK58</f>
        <v>1619.9493536561836</v>
      </c>
      <c r="AF58" s="200">
        <f>('Perkins Loans'!AF58*1000)/'Perkins Loans'!BL58</f>
        <v>1671.9470495012586</v>
      </c>
      <c r="AG58" s="200">
        <f>('Perkins Loans'!AG58*1000)/'Perkins Loans'!BM58</f>
        <v>2194.796354992076</v>
      </c>
    </row>
    <row r="59" spans="1:33">
      <c r="A59" s="39" t="s">
        <v>165</v>
      </c>
      <c r="B59" s="200"/>
      <c r="C59" s="200"/>
      <c r="D59" s="200"/>
      <c r="E59" s="200"/>
      <c r="F59" s="200"/>
      <c r="G59" s="200"/>
      <c r="H59" s="200"/>
      <c r="I59" s="200"/>
      <c r="J59" s="200"/>
      <c r="K59" s="200"/>
      <c r="L59" s="200"/>
      <c r="M59" s="200"/>
      <c r="N59" s="200"/>
      <c r="O59" s="200"/>
      <c r="P59" s="200">
        <f>('Perkins Loans'!P59*1000)/'Perkins Loans'!AV59</f>
        <v>1566.5330550180549</v>
      </c>
      <c r="Q59" s="200">
        <f>('Perkins Loans'!Q59*1000)/'Perkins Loans'!AW59</f>
        <v>1629.7041355037395</v>
      </c>
      <c r="R59" s="200">
        <f>('Perkins Loans'!R59*1000)/'Perkins Loans'!AX59</f>
        <v>1691.7916017162968</v>
      </c>
      <c r="S59" s="200">
        <f>('Perkins Loans'!S59*1000)/'Perkins Loans'!AY59</f>
        <v>1786.3861384605857</v>
      </c>
      <c r="T59" s="200">
        <f>('Perkins Loans'!T59*1000)/'Perkins Loans'!AZ59</f>
        <v>1910.1592081458111</v>
      </c>
      <c r="U59" s="200">
        <f>('Perkins Loans'!U59*1000)/'Perkins Loans'!BA59</f>
        <v>2027.1201506433142</v>
      </c>
      <c r="V59" s="200">
        <f>('Perkins Loans'!V59*1000)/'Perkins Loans'!BB59</f>
        <v>2172.0144258832033</v>
      </c>
      <c r="W59" s="200">
        <f>('Perkins Loans'!W59*1000)/'Perkins Loans'!BC59</f>
        <v>2136.7812844192154</v>
      </c>
      <c r="X59" s="200">
        <f>('Perkins Loans'!X59*1000)/'Perkins Loans'!BD59</f>
        <v>2203.8794007699603</v>
      </c>
      <c r="Y59" s="200">
        <f>('Perkins Loans'!Y59*1000)/'Perkins Loans'!BE59</f>
        <v>2144.3165528355462</v>
      </c>
      <c r="Z59" s="200">
        <f>('Perkins Loans'!Z59*1000)/'Perkins Loans'!BF59</f>
        <v>1933.1285216096549</v>
      </c>
      <c r="AA59" s="200">
        <f>('Perkins Loans'!AA59*1000)/'Perkins Loans'!BG59</f>
        <v>1868.2385069025599</v>
      </c>
      <c r="AB59" s="200">
        <f>('Perkins Loans'!AB59*1000)/'Perkins Loans'!BH59</f>
        <v>1952.4015966189247</v>
      </c>
      <c r="AC59" s="200">
        <f>('Perkins Loans'!AC59*1000)/'Perkins Loans'!BI59</f>
        <v>2098.007729530661</v>
      </c>
      <c r="AD59" s="200">
        <f>('Perkins Loans'!AD59*1000)/'Perkins Loans'!BJ59</f>
        <v>2117.1457048126194</v>
      </c>
      <c r="AE59" s="200">
        <f>('Perkins Loans'!AE59*1000)/'Perkins Loans'!BK59</f>
        <v>2219.7991529361307</v>
      </c>
      <c r="AF59" s="200">
        <f>('Perkins Loans'!AF59*1000)/'Perkins Loans'!BL59</f>
        <v>2317.9094249081504</v>
      </c>
      <c r="AG59" s="200">
        <f>('Perkins Loans'!AG59*1000)/'Perkins Loans'!BM59</f>
        <v>2464.227184509336</v>
      </c>
    </row>
    <row r="60" spans="1:33">
      <c r="A60" s="39" t="s">
        <v>169</v>
      </c>
      <c r="B60" s="200"/>
      <c r="C60" s="200"/>
      <c r="D60" s="200"/>
      <c r="E60" s="200"/>
      <c r="F60" s="200"/>
      <c r="G60" s="200"/>
      <c r="H60" s="200"/>
      <c r="I60" s="200"/>
      <c r="J60" s="200"/>
      <c r="K60" s="200"/>
      <c r="L60" s="200"/>
      <c r="M60" s="200"/>
      <c r="N60" s="200"/>
      <c r="O60" s="200"/>
      <c r="P60" s="200">
        <f>('Perkins Loans'!P60*1000)/'Perkins Loans'!AV60</f>
        <v>1388.0596178964379</v>
      </c>
      <c r="Q60" s="200">
        <f>('Perkins Loans'!Q60*1000)/'Perkins Loans'!AW60</f>
        <v>1476.5256250682389</v>
      </c>
      <c r="R60" s="200">
        <f>('Perkins Loans'!R60*1000)/'Perkins Loans'!AX60</f>
        <v>1503.1905443815226</v>
      </c>
      <c r="S60" s="200">
        <f>('Perkins Loans'!S60*1000)/'Perkins Loans'!AY60</f>
        <v>1563.0520711366398</v>
      </c>
      <c r="T60" s="200">
        <f>('Perkins Loans'!T60*1000)/'Perkins Loans'!AZ60</f>
        <v>1709.513534774891</v>
      </c>
      <c r="U60" s="200">
        <f>('Perkins Loans'!U60*1000)/'Perkins Loans'!BA60</f>
        <v>1925.0007048067823</v>
      </c>
      <c r="V60" s="200">
        <f>('Perkins Loans'!V60*1000)/'Perkins Loans'!BB60</f>
        <v>1840.3268907255706</v>
      </c>
      <c r="W60" s="200">
        <f>('Perkins Loans'!W60*1000)/'Perkins Loans'!BC60</f>
        <v>1910.4446417526287</v>
      </c>
      <c r="X60" s="200">
        <f>('Perkins Loans'!X60*1000)/'Perkins Loans'!BD60</f>
        <v>1918.4052089759407</v>
      </c>
      <c r="Y60" s="200">
        <f>('Perkins Loans'!Y60*1000)/'Perkins Loans'!BE60</f>
        <v>1799.8119382252003</v>
      </c>
      <c r="Z60" s="200">
        <f>('Perkins Loans'!Z60*1000)/'Perkins Loans'!BF60</f>
        <v>1511.9286433679122</v>
      </c>
      <c r="AA60" s="200">
        <f>('Perkins Loans'!AA60*1000)/'Perkins Loans'!BG60</f>
        <v>1511.7702542171537</v>
      </c>
      <c r="AB60" s="200">
        <f>('Perkins Loans'!AB60*1000)/'Perkins Loans'!BH60</f>
        <v>1592.8896813304373</v>
      </c>
      <c r="AC60" s="200">
        <f>('Perkins Loans'!AC60*1000)/'Perkins Loans'!BI60</f>
        <v>1730.5785220463972</v>
      </c>
      <c r="AD60" s="200">
        <f>('Perkins Loans'!AD60*1000)/'Perkins Loans'!BJ60</f>
        <v>1742.8179746011072</v>
      </c>
      <c r="AE60" s="200">
        <f>('Perkins Loans'!AE60*1000)/'Perkins Loans'!BK60</f>
        <v>1853.1835307209283</v>
      </c>
      <c r="AF60" s="200">
        <f>('Perkins Loans'!AF60*1000)/'Perkins Loans'!BL60</f>
        <v>1954.0539192145563</v>
      </c>
      <c r="AG60" s="200">
        <f>('Perkins Loans'!AG60*1000)/'Perkins Loans'!BM60</f>
        <v>2190.6388199163621</v>
      </c>
    </row>
    <row r="61" spans="1:33">
      <c r="A61" s="39" t="s">
        <v>170</v>
      </c>
      <c r="B61" s="200"/>
      <c r="C61" s="200"/>
      <c r="D61" s="200"/>
      <c r="E61" s="200"/>
      <c r="F61" s="200"/>
      <c r="G61" s="200"/>
      <c r="H61" s="200"/>
      <c r="I61" s="200"/>
      <c r="J61" s="200"/>
      <c r="K61" s="200"/>
      <c r="L61" s="200"/>
      <c r="M61" s="200"/>
      <c r="N61" s="200"/>
      <c r="O61" s="200"/>
      <c r="P61" s="200">
        <f>('Perkins Loans'!P61*1000)/'Perkins Loans'!AV61</f>
        <v>1516.0873786407767</v>
      </c>
      <c r="Q61" s="200">
        <f>('Perkins Loans'!Q61*1000)/'Perkins Loans'!AW61</f>
        <v>1517.3380823156942</v>
      </c>
      <c r="R61" s="200">
        <f>('Perkins Loans'!R61*1000)/'Perkins Loans'!AX61</f>
        <v>1636.7495571302038</v>
      </c>
      <c r="S61" s="200">
        <f>('Perkins Loans'!S61*1000)/'Perkins Loans'!AY61</f>
        <v>1809.1326541441153</v>
      </c>
      <c r="T61" s="200">
        <f>('Perkins Loans'!T61*1000)/'Perkins Loans'!AZ61</f>
        <v>1994.838614964058</v>
      </c>
      <c r="U61" s="200">
        <f>('Perkins Loans'!U61*1000)/'Perkins Loans'!BA61</f>
        <v>2129.1087255711532</v>
      </c>
      <c r="V61" s="200">
        <f>('Perkins Loans'!V61*1000)/'Perkins Loans'!BB61</f>
        <v>2096.235272219637</v>
      </c>
      <c r="W61" s="200">
        <f>('Perkins Loans'!W61*1000)/'Perkins Loans'!BC61</f>
        <v>2259.6266945773523</v>
      </c>
      <c r="X61" s="200">
        <f>('Perkins Loans'!X61*1000)/'Perkins Loans'!BD61</f>
        <v>2156.7446787446788</v>
      </c>
      <c r="Y61" s="200">
        <f>('Perkins Loans'!Y61*1000)/'Perkins Loans'!BE61</f>
        <v>2053.0687576624437</v>
      </c>
      <c r="Z61" s="200">
        <f>('Perkins Loans'!Z61*1000)/'Perkins Loans'!BF61</f>
        <v>2150.1234007908815</v>
      </c>
      <c r="AA61" s="200">
        <f>('Perkins Loans'!AA61*1000)/'Perkins Loans'!BG61</f>
        <v>2131.8965862198324</v>
      </c>
      <c r="AB61" s="200">
        <f>('Perkins Loans'!AB61*1000)/'Perkins Loans'!BH61</f>
        <v>1742.8521469676848</v>
      </c>
      <c r="AC61" s="200">
        <f>('Perkins Loans'!AC61*1000)/'Perkins Loans'!BI61</f>
        <v>1784.2267359982668</v>
      </c>
      <c r="AD61" s="200">
        <f>('Perkins Loans'!AD61*1000)/'Perkins Loans'!BJ61</f>
        <v>1882.6429265134348</v>
      </c>
      <c r="AE61" s="200">
        <f>('Perkins Loans'!AE61*1000)/'Perkins Loans'!BK61</f>
        <v>1942.34980703259</v>
      </c>
      <c r="AF61" s="200">
        <f>('Perkins Loans'!AF61*1000)/'Perkins Loans'!BL61</f>
        <v>1850.2405879864637</v>
      </c>
      <c r="AG61" s="200">
        <f>('Perkins Loans'!AG61*1000)/'Perkins Loans'!BM61</f>
        <v>2005.4447725137566</v>
      </c>
    </row>
    <row r="62" spans="1:33">
      <c r="A62" s="39" t="s">
        <v>173</v>
      </c>
      <c r="B62" s="200"/>
      <c r="C62" s="200"/>
      <c r="D62" s="200"/>
      <c r="E62" s="200"/>
      <c r="F62" s="200"/>
      <c r="G62" s="200"/>
      <c r="H62" s="200"/>
      <c r="I62" s="200"/>
      <c r="J62" s="200"/>
      <c r="K62" s="200"/>
      <c r="L62" s="200"/>
      <c r="M62" s="200"/>
      <c r="N62" s="200"/>
      <c r="O62" s="200"/>
      <c r="P62" s="200">
        <f>('Perkins Loans'!P62*1000)/'Perkins Loans'!AV62</f>
        <v>1251.4412935323382</v>
      </c>
      <c r="Q62" s="200">
        <f>('Perkins Loans'!Q62*1000)/'Perkins Loans'!AW62</f>
        <v>1263.1333740271632</v>
      </c>
      <c r="R62" s="200">
        <f>('Perkins Loans'!R62*1000)/'Perkins Loans'!AX62</f>
        <v>1256.2370394002232</v>
      </c>
      <c r="S62" s="200">
        <f>('Perkins Loans'!S62*1000)/'Perkins Loans'!AY62</f>
        <v>1289.0695124008773</v>
      </c>
      <c r="T62" s="200">
        <f>('Perkins Loans'!T62*1000)/'Perkins Loans'!AZ62</f>
        <v>1416.1510588235294</v>
      </c>
      <c r="U62" s="200">
        <f>('Perkins Loans'!U62*1000)/'Perkins Loans'!BA62</f>
        <v>1809.0479002624672</v>
      </c>
      <c r="V62" s="200">
        <f>('Perkins Loans'!V62*1000)/'Perkins Loans'!BB62</f>
        <v>1817.8651629072681</v>
      </c>
      <c r="W62" s="200">
        <f>('Perkins Loans'!W62*1000)/'Perkins Loans'!BC62</f>
        <v>1677.256179378531</v>
      </c>
      <c r="X62" s="200">
        <f>('Perkins Loans'!X62*1000)/'Perkins Loans'!BD62</f>
        <v>1616.3797683923706</v>
      </c>
      <c r="Y62" s="200">
        <f>('Perkins Loans'!Y62*1000)/'Perkins Loans'!BE62</f>
        <v>1538.8610839366074</v>
      </c>
      <c r="Z62" s="200">
        <f>('Perkins Loans'!Z62*1000)/'Perkins Loans'!BF62</f>
        <v>1470.4810348181288</v>
      </c>
      <c r="AA62" s="200">
        <f>('Perkins Loans'!AA62*1000)/'Perkins Loans'!BG62</f>
        <v>1303.3268325487559</v>
      </c>
      <c r="AB62" s="200">
        <f>('Perkins Loans'!AB62*1000)/'Perkins Loans'!BH62</f>
        <v>1651.8473342002601</v>
      </c>
      <c r="AC62" s="200">
        <f>('Perkins Loans'!AC62*1000)/'Perkins Loans'!BI62</f>
        <v>1592.6527165932453</v>
      </c>
      <c r="AD62" s="200">
        <f>('Perkins Loans'!AD62*1000)/'Perkins Loans'!BJ62</f>
        <v>1689.1390348781654</v>
      </c>
      <c r="AE62" s="200">
        <f>('Perkins Loans'!AE62*1000)/'Perkins Loans'!BK62</f>
        <v>1754.8542737038767</v>
      </c>
      <c r="AF62" s="243">
        <f>('Perkins Loans'!AF62*1000)/'Perkins Loans'!BL62</f>
        <v>1988.3335802469135</v>
      </c>
      <c r="AG62" s="243">
        <f>('Perkins Loans'!AG62*1000)/'Perkins Loans'!BM62</f>
        <v>2315.9829988851725</v>
      </c>
    </row>
    <row r="63" spans="1:33">
      <c r="A63" s="46" t="s">
        <v>147</v>
      </c>
      <c r="B63" s="198"/>
      <c r="C63" s="198"/>
      <c r="D63" s="198"/>
      <c r="E63" s="198"/>
      <c r="F63" s="198"/>
      <c r="G63" s="198"/>
      <c r="H63" s="198"/>
      <c r="I63" s="198"/>
      <c r="J63" s="198"/>
      <c r="K63" s="198"/>
      <c r="L63" s="198"/>
      <c r="M63" s="198"/>
      <c r="N63" s="198"/>
      <c r="O63" s="198"/>
      <c r="P63" s="198">
        <f>('Perkins Loans'!P63*1000)/'Perkins Loans'!AV63</f>
        <v>1899.4347826086957</v>
      </c>
      <c r="Q63" s="198">
        <f>('Perkins Loans'!Q63*1000)/'Perkins Loans'!AW63</f>
        <v>2097.2748691099478</v>
      </c>
      <c r="R63" s="198">
        <f>('Perkins Loans'!R63*1000)/'Perkins Loans'!AX63</f>
        <v>2343.4078893019414</v>
      </c>
      <c r="S63" s="198">
        <f>('Perkins Loans'!S63*1000)/'Perkins Loans'!AY63</f>
        <v>2242.3249360362133</v>
      </c>
      <c r="T63" s="198">
        <f>('Perkins Loans'!T63*1000)/'Perkins Loans'!AZ63</f>
        <v>2843.4180761099365</v>
      </c>
      <c r="U63" s="198">
        <f>('Perkins Loans'!U63*1000)/'Perkins Loans'!BA63</f>
        <v>3224.2331597787179</v>
      </c>
      <c r="V63" s="198">
        <f>('Perkins Loans'!V63*1000)/'Perkins Loans'!BB63</f>
        <v>2805.9702391820338</v>
      </c>
      <c r="W63" s="198">
        <f>('Perkins Loans'!W63*1000)/'Perkins Loans'!BC63</f>
        <v>2770.6641681603387</v>
      </c>
      <c r="X63" s="198">
        <f>('Perkins Loans'!X63*1000)/'Perkins Loans'!BD63</f>
        <v>2656.6177875780963</v>
      </c>
      <c r="Y63" s="198">
        <f>('Perkins Loans'!Y63*1000)/'Perkins Loans'!BE63</f>
        <v>2770.7897897897897</v>
      </c>
      <c r="Z63" s="198">
        <f>('Perkins Loans'!Z63*1000)/'Perkins Loans'!BF63</f>
        <v>2493.9222076215506</v>
      </c>
      <c r="AA63" s="198">
        <f>('Perkins Loans'!AA63*1000)/'Perkins Loans'!BG63</f>
        <v>3501.9279826464208</v>
      </c>
      <c r="AB63" s="198">
        <f>('Perkins Loans'!AB63*1000)/'Perkins Loans'!BH63</f>
        <v>2743.4539808018067</v>
      </c>
      <c r="AC63" s="198">
        <f>('Perkins Loans'!AC63*1000)/'Perkins Loans'!BI63</f>
        <v>2972.6808605012197</v>
      </c>
      <c r="AD63" s="198">
        <f>('Perkins Loans'!AD63*1000)/'Perkins Loans'!BJ63</f>
        <v>2656.3885593220339</v>
      </c>
      <c r="AE63" s="198">
        <f>('Perkins Loans'!AE63*1000)/'Perkins Loans'!BK63</f>
        <v>3351.3727006688964</v>
      </c>
      <c r="AF63" s="243">
        <f>('Perkins Loans'!AF63*1000)/'Perkins Loans'!BL63</f>
        <v>3440.8979293034931</v>
      </c>
      <c r="AG63" s="243">
        <f>('Perkins Loans'!AG63*1000)/'Perkins Loans'!BM63</f>
        <v>3037.283213644524</v>
      </c>
    </row>
  </sheetData>
  <phoneticPr fontId="3"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BO112"/>
  <sheetViews>
    <sheetView zoomScale="80" zoomScaleNormal="80" workbookViewId="0">
      <pane xSplit="1" ySplit="3" topLeftCell="AN4" activePane="bottomRight" state="frozen"/>
      <selection pane="topRight" activeCell="B1" sqref="B1"/>
      <selection pane="bottomLeft" activeCell="A4" sqref="A4"/>
      <selection pane="bottomRight" activeCell="BL52" sqref="BL52:BM53"/>
    </sheetView>
  </sheetViews>
  <sheetFormatPr defaultRowHeight="12.75"/>
  <cols>
    <col min="1" max="1" width="21" style="2" customWidth="1"/>
    <col min="2" max="18" width="9.140625" style="2"/>
    <col min="19" max="19" width="9.140625" style="8"/>
    <col min="20" max="26" width="10" style="8" customWidth="1"/>
    <col min="27" max="33" width="11.140625" style="2" customWidth="1"/>
    <col min="34" max="34" width="9.140625" style="2"/>
    <col min="35" max="35" width="9.140625" style="13"/>
    <col min="36" max="42" width="9.140625" style="2"/>
    <col min="43" max="44" width="10.140625" style="2" customWidth="1"/>
    <col min="45" max="45" width="10.140625" style="144" customWidth="1"/>
    <col min="46" max="55" width="10.140625" style="2" customWidth="1"/>
    <col min="56" max="57" width="9.85546875" style="2" bestFit="1" customWidth="1"/>
    <col min="58" max="58" width="10.28515625" style="2" customWidth="1"/>
    <col min="59" max="59" width="11.28515625" style="2" customWidth="1"/>
    <col min="60" max="61" width="10.28515625" style="2" customWidth="1"/>
    <col min="62" max="63" width="9.85546875" style="2" bestFit="1" customWidth="1"/>
    <col min="64" max="65" width="9.85546875" style="2" customWidth="1"/>
    <col min="66" max="16384" width="9.140625" style="2"/>
  </cols>
  <sheetData>
    <row r="1" spans="1:65" s="125" customFormat="1">
      <c r="A1" s="128" t="s">
        <v>0</v>
      </c>
      <c r="B1" s="129" t="s">
        <v>5</v>
      </c>
      <c r="C1" s="130"/>
      <c r="D1" s="130"/>
      <c r="E1" s="131"/>
      <c r="F1" s="131"/>
      <c r="G1" s="131"/>
      <c r="H1" s="131"/>
      <c r="I1" s="131"/>
      <c r="J1" s="131"/>
      <c r="K1" s="131"/>
      <c r="L1" s="131"/>
      <c r="M1" s="131"/>
      <c r="N1" s="131"/>
      <c r="O1" s="131"/>
      <c r="P1" s="131"/>
      <c r="Q1" s="131"/>
      <c r="R1" s="131"/>
      <c r="S1" s="134"/>
      <c r="T1" s="134"/>
      <c r="U1" s="134"/>
      <c r="V1" s="134"/>
      <c r="W1" s="134"/>
      <c r="X1" s="134"/>
      <c r="Y1" s="134"/>
      <c r="Z1" s="134"/>
      <c r="AH1" s="183"/>
      <c r="AI1" s="135"/>
      <c r="AJ1" s="131"/>
      <c r="AK1" s="131"/>
      <c r="AL1" s="131"/>
      <c r="AM1" s="131"/>
      <c r="AN1" s="131"/>
      <c r="AO1" s="131"/>
      <c r="AP1" s="131"/>
      <c r="AQ1" s="131"/>
      <c r="AR1" s="131"/>
      <c r="AS1" s="132"/>
      <c r="AT1" s="131"/>
      <c r="AU1" s="131"/>
      <c r="AV1" s="131"/>
      <c r="AW1" s="130"/>
    </row>
    <row r="2" spans="1:65" s="125" customFormat="1">
      <c r="A2" s="128" t="s">
        <v>1</v>
      </c>
      <c r="B2" s="71" t="s">
        <v>225</v>
      </c>
      <c r="C2" s="131"/>
      <c r="D2" s="131"/>
      <c r="E2" s="131"/>
      <c r="F2" s="131"/>
      <c r="G2" s="131"/>
      <c r="H2" s="131"/>
      <c r="I2" s="131"/>
      <c r="J2" s="131"/>
      <c r="K2" s="131"/>
      <c r="L2" s="131"/>
      <c r="M2" s="131"/>
      <c r="N2" s="131"/>
      <c r="O2" s="131"/>
      <c r="P2" s="135"/>
      <c r="Q2" s="131"/>
      <c r="R2" s="176"/>
      <c r="S2" s="177"/>
      <c r="T2" s="177"/>
      <c r="U2" s="177"/>
      <c r="V2" s="177"/>
      <c r="W2" s="177"/>
      <c r="X2" s="177"/>
      <c r="Y2" s="177"/>
      <c r="Z2" s="177"/>
      <c r="AH2" s="194" t="s">
        <v>6</v>
      </c>
      <c r="AI2" s="135"/>
      <c r="AJ2" s="131"/>
      <c r="AK2" s="131"/>
      <c r="AL2" s="131"/>
      <c r="AM2" s="131"/>
      <c r="AN2" s="131"/>
      <c r="AO2" s="131"/>
      <c r="AP2" s="131"/>
      <c r="AQ2" s="131"/>
      <c r="AR2" s="131"/>
      <c r="AS2" s="132"/>
      <c r="AT2" s="131"/>
      <c r="AU2" s="131"/>
      <c r="AV2" s="131"/>
      <c r="AW2" s="130"/>
      <c r="AX2" s="176"/>
    </row>
    <row r="3" spans="1:65" s="178" customFormat="1">
      <c r="A3" s="187" t="s">
        <v>2</v>
      </c>
      <c r="B3" s="188" t="s">
        <v>7</v>
      </c>
      <c r="C3" s="188" t="s">
        <v>8</v>
      </c>
      <c r="D3" s="188" t="s">
        <v>9</v>
      </c>
      <c r="E3" s="188" t="s">
        <v>10</v>
      </c>
      <c r="F3" s="188" t="s">
        <v>11</v>
      </c>
      <c r="G3" s="188" t="s">
        <v>12</v>
      </c>
      <c r="H3" s="188" t="s">
        <v>13</v>
      </c>
      <c r="I3" s="188" t="s">
        <v>14</v>
      </c>
      <c r="J3" s="188" t="s">
        <v>15</v>
      </c>
      <c r="K3" s="188" t="s">
        <v>16</v>
      </c>
      <c r="L3" s="188" t="s">
        <v>17</v>
      </c>
      <c r="M3" s="189" t="s">
        <v>177</v>
      </c>
      <c r="N3" s="179" t="s">
        <v>114</v>
      </c>
      <c r="O3" s="179" t="s">
        <v>115</v>
      </c>
      <c r="P3" s="190" t="s">
        <v>132</v>
      </c>
      <c r="Q3" s="179" t="s">
        <v>136</v>
      </c>
      <c r="R3" s="178" t="s">
        <v>141</v>
      </c>
      <c r="S3" s="179" t="s">
        <v>192</v>
      </c>
      <c r="T3" s="179" t="s">
        <v>193</v>
      </c>
      <c r="U3" s="179" t="s">
        <v>202</v>
      </c>
      <c r="V3" s="179" t="s">
        <v>203</v>
      </c>
      <c r="W3" s="179" t="s">
        <v>204</v>
      </c>
      <c r="X3" s="179" t="s">
        <v>207</v>
      </c>
      <c r="Y3" s="179" t="s">
        <v>209</v>
      </c>
      <c r="Z3" s="179" t="s">
        <v>213</v>
      </c>
      <c r="AA3" s="178" t="s">
        <v>220</v>
      </c>
      <c r="AB3" s="178" t="s">
        <v>233</v>
      </c>
      <c r="AC3" s="178" t="s">
        <v>238</v>
      </c>
      <c r="AD3" s="244" t="s">
        <v>240</v>
      </c>
      <c r="AE3" s="244" t="s">
        <v>247</v>
      </c>
      <c r="AF3" s="244" t="s">
        <v>250</v>
      </c>
      <c r="AG3" s="232" t="s">
        <v>252</v>
      </c>
      <c r="AH3" s="191" t="s">
        <v>7</v>
      </c>
      <c r="AI3" s="192" t="s">
        <v>8</v>
      </c>
      <c r="AJ3" s="188" t="s">
        <v>9</v>
      </c>
      <c r="AK3" s="188" t="s">
        <v>10</v>
      </c>
      <c r="AL3" s="188" t="s">
        <v>11</v>
      </c>
      <c r="AM3" s="188" t="s">
        <v>12</v>
      </c>
      <c r="AN3" s="188" t="s">
        <v>13</v>
      </c>
      <c r="AO3" s="188" t="s">
        <v>14</v>
      </c>
      <c r="AP3" s="188" t="s">
        <v>15</v>
      </c>
      <c r="AQ3" s="188" t="s">
        <v>16</v>
      </c>
      <c r="AR3" s="188" t="s">
        <v>17</v>
      </c>
      <c r="AS3" s="193" t="s">
        <v>177</v>
      </c>
      <c r="AT3" s="179" t="s">
        <v>114</v>
      </c>
      <c r="AU3" s="179" t="s">
        <v>115</v>
      </c>
      <c r="AV3" s="190" t="s">
        <v>132</v>
      </c>
      <c r="AW3" s="179" t="s">
        <v>136</v>
      </c>
      <c r="AX3" s="178" t="s">
        <v>141</v>
      </c>
      <c r="AY3" s="179" t="s">
        <v>192</v>
      </c>
      <c r="AZ3" s="179" t="s">
        <v>193</v>
      </c>
      <c r="BA3" s="179" t="s">
        <v>202</v>
      </c>
      <c r="BB3" s="179" t="s">
        <v>203</v>
      </c>
      <c r="BC3" s="179" t="s">
        <v>204</v>
      </c>
      <c r="BD3" s="178" t="s">
        <v>207</v>
      </c>
      <c r="BE3" s="178" t="s">
        <v>209</v>
      </c>
      <c r="BF3" s="178" t="s">
        <v>213</v>
      </c>
      <c r="BG3" s="178" t="s">
        <v>220</v>
      </c>
      <c r="BH3" s="178" t="s">
        <v>233</v>
      </c>
      <c r="BI3" s="178" t="s">
        <v>238</v>
      </c>
      <c r="BJ3" s="244" t="s">
        <v>240</v>
      </c>
      <c r="BK3" s="244" t="s">
        <v>247</v>
      </c>
      <c r="BL3" s="244" t="s">
        <v>250</v>
      </c>
      <c r="BM3" s="232" t="s">
        <v>252</v>
      </c>
    </row>
    <row r="4" spans="1:65" s="8" customFormat="1">
      <c r="A4" s="22" t="s">
        <v>214</v>
      </c>
      <c r="B4" s="23">
        <f>342920-5849.831-39.075-24.846-15.411</f>
        <v>336990.83699999994</v>
      </c>
      <c r="C4" s="23">
        <v>411471</v>
      </c>
      <c r="D4" s="23">
        <f>399540-6315.615-26.433-11.472-25.677</f>
        <v>393160.80299999996</v>
      </c>
      <c r="E4" s="23">
        <f>418878832/1000-6627.354-107.206-69.217-18.825</f>
        <v>412056.23</v>
      </c>
      <c r="F4" s="23">
        <f>422470200/1000-6232.798-115.019-191.332-29.232</f>
        <v>415901.81900000002</v>
      </c>
      <c r="G4" s="23">
        <f>466140784/1000-7316.89-100.201-101.839</f>
        <v>458621.85399999999</v>
      </c>
      <c r="H4" s="23">
        <f>503140238/1000-7486.074-113.768-77.132-33.8</f>
        <v>495429.46400000004</v>
      </c>
      <c r="I4" s="23">
        <f>586319.963-10049.143</f>
        <v>576270.81999999995</v>
      </c>
      <c r="J4" s="23">
        <f>651315.928-10495.04-67.248-149.026-31.603</f>
        <v>640573.01099999994</v>
      </c>
      <c r="K4" s="23">
        <f>752656.889-11804.346-85.675-135.167-46.777</f>
        <v>740584.92399999988</v>
      </c>
      <c r="L4" s="23">
        <f>755023.839-10789.416-52.151-188.594-0</f>
        <v>743993.67800000007</v>
      </c>
      <c r="M4" s="23">
        <f t="shared" ref="M4:M22" si="0">((N4-L4)/2)+L4</f>
        <v>746877.63300000015</v>
      </c>
      <c r="N4" s="23">
        <f>762049.27-11887.653-102.565-243.073-54.391</f>
        <v>749761.58800000011</v>
      </c>
      <c r="O4" s="23">
        <f>811234.899-12675.227-135.55-192.48-64.112</f>
        <v>798167.53</v>
      </c>
      <c r="P4" s="23">
        <f t="shared" ref="P4:AA4" si="1">P5+P23+P38+P52+P63</f>
        <v>840762.94900000002</v>
      </c>
      <c r="Q4" s="23">
        <f t="shared" si="1"/>
        <v>861707.9879999999</v>
      </c>
      <c r="R4" s="23">
        <f t="shared" si="1"/>
        <v>892727.93900000001</v>
      </c>
      <c r="S4" s="23">
        <f t="shared" si="1"/>
        <v>991175.17</v>
      </c>
      <c r="T4" s="23">
        <f t="shared" si="1"/>
        <v>1016268.922</v>
      </c>
      <c r="U4" s="23">
        <f t="shared" si="1"/>
        <v>1044164.1849999998</v>
      </c>
      <c r="V4" s="23">
        <f t="shared" si="1"/>
        <v>1044348.726</v>
      </c>
      <c r="W4" s="23">
        <f t="shared" si="1"/>
        <v>1065156.4530000002</v>
      </c>
      <c r="X4" s="23">
        <f t="shared" si="1"/>
        <v>1062530.598</v>
      </c>
      <c r="Y4" s="23">
        <f t="shared" si="1"/>
        <v>1049780.3909999998</v>
      </c>
      <c r="Z4" s="23">
        <f t="shared" si="1"/>
        <v>1020738.7389999999</v>
      </c>
      <c r="AA4" s="23">
        <f t="shared" si="1"/>
        <v>1049833.6069999998</v>
      </c>
      <c r="AB4" s="23">
        <f t="shared" ref="AB4:AC4" si="2">AB5+AB23+AB38+AB52+AB63</f>
        <v>997231.79099999997</v>
      </c>
      <c r="AC4" s="23">
        <f t="shared" si="2"/>
        <v>953378.424</v>
      </c>
      <c r="AD4" s="23">
        <f t="shared" ref="AD4:AE4" si="3">AD5+AD23+AD38+AD52+AD63</f>
        <v>964184.42799999996</v>
      </c>
      <c r="AE4" s="23">
        <f t="shared" si="3"/>
        <v>910987.69200000004</v>
      </c>
      <c r="AF4" s="23">
        <f t="shared" ref="AF4:AG4" si="4">AF5+AF23+AF38+AF52+AF63</f>
        <v>967203.99600000004</v>
      </c>
      <c r="AG4" s="23">
        <f t="shared" si="4"/>
        <v>976961.39299999992</v>
      </c>
      <c r="AH4" s="106">
        <f>641901-21373-187-79-40</f>
        <v>620222</v>
      </c>
      <c r="AI4" s="23">
        <v>658369</v>
      </c>
      <c r="AJ4" s="23">
        <f>631226-21422-153-56-97</f>
        <v>609498</v>
      </c>
      <c r="AK4" s="23">
        <f>635326-21659-588-329-49</f>
        <v>612701</v>
      </c>
      <c r="AL4" s="23">
        <f>678847-26618-425-333-68</f>
        <v>651403</v>
      </c>
      <c r="AM4" s="23">
        <f>727566-26291-383-198</f>
        <v>700694</v>
      </c>
      <c r="AN4" s="23">
        <f>761276-25919-434-227-41</f>
        <v>734655</v>
      </c>
      <c r="AO4" s="23">
        <f>881344-32375</f>
        <v>848969</v>
      </c>
      <c r="AP4" s="23">
        <f>976385-35255-255-549-27</f>
        <v>940299</v>
      </c>
      <c r="AQ4" s="23">
        <f>1068102-40084-340-421-34</f>
        <v>1027223</v>
      </c>
      <c r="AR4" s="23">
        <f>1056560-34007-223-637-0</f>
        <v>1021693</v>
      </c>
      <c r="AS4" s="23">
        <f t="shared" ref="AS4:AS22" si="5">((AT4-AR4)/2)+AR4</f>
        <v>1036148</v>
      </c>
      <c r="AT4" s="23">
        <f>1086430-34555-418-827-27</f>
        <v>1050603</v>
      </c>
      <c r="AU4" s="23">
        <f>1115696-34394-483-885-36</f>
        <v>1079898</v>
      </c>
      <c r="AV4" s="23">
        <f t="shared" ref="AV4:BG4" si="6">AV5+AV23+AV38+AV52+AV63</f>
        <v>1122561</v>
      </c>
      <c r="AW4" s="23">
        <f t="shared" si="6"/>
        <v>1130222</v>
      </c>
      <c r="AX4" s="23">
        <f t="shared" si="6"/>
        <v>1125416</v>
      </c>
      <c r="AY4" s="23">
        <f t="shared" si="6"/>
        <v>1238946</v>
      </c>
      <c r="AZ4" s="23">
        <f t="shared" si="6"/>
        <v>1296698</v>
      </c>
      <c r="BA4" s="23">
        <f t="shared" si="6"/>
        <v>1328706</v>
      </c>
      <c r="BB4" s="23">
        <f t="shared" si="6"/>
        <v>1342665</v>
      </c>
      <c r="BC4" s="23">
        <f t="shared" si="6"/>
        <v>1357940</v>
      </c>
      <c r="BD4" s="23">
        <f t="shared" si="6"/>
        <v>1360495</v>
      </c>
      <c r="BE4" s="23">
        <f t="shared" si="6"/>
        <v>1392354</v>
      </c>
      <c r="BF4" s="23">
        <f t="shared" si="6"/>
        <v>1390802</v>
      </c>
      <c r="BG4" s="23">
        <f t="shared" si="6"/>
        <v>1535480</v>
      </c>
      <c r="BH4" s="23">
        <f t="shared" ref="BH4:BI4" si="7">BH5+BH23+BH38+BH52+BH63</f>
        <v>1577880</v>
      </c>
      <c r="BI4" s="23">
        <f t="shared" si="7"/>
        <v>1591965</v>
      </c>
      <c r="BJ4" s="23">
        <f t="shared" ref="BJ4:BK4" si="8">BJ5+BJ23+BJ38+BJ52+BJ63</f>
        <v>1582088</v>
      </c>
      <c r="BK4" s="23">
        <f t="shared" si="8"/>
        <v>1495834</v>
      </c>
      <c r="BL4" s="23">
        <f t="shared" ref="BL4:BM4" si="9">BL5+BL23+BL38+BL52+BL63</f>
        <v>1564880</v>
      </c>
      <c r="BM4" s="23">
        <f t="shared" si="9"/>
        <v>1475220</v>
      </c>
    </row>
    <row r="5" spans="1:65" s="8" customFormat="1">
      <c r="A5" s="26" t="s">
        <v>116</v>
      </c>
      <c r="B5" s="27">
        <f t="shared" ref="B5:L5" si="10">SUM(B7:B22)</f>
        <v>89960.608000000007</v>
      </c>
      <c r="C5" s="27">
        <f t="shared" si="10"/>
        <v>105487.948</v>
      </c>
      <c r="D5" s="27">
        <f t="shared" si="10"/>
        <v>102957.288</v>
      </c>
      <c r="E5" s="27">
        <f t="shared" si="10"/>
        <v>107151.205</v>
      </c>
      <c r="F5" s="27">
        <f t="shared" si="10"/>
        <v>109647.38399999999</v>
      </c>
      <c r="G5" s="27">
        <f t="shared" si="10"/>
        <v>119427.70999999999</v>
      </c>
      <c r="H5" s="27">
        <f t="shared" si="10"/>
        <v>130105.239</v>
      </c>
      <c r="I5" s="27">
        <f t="shared" si="10"/>
        <v>150771.27000000002</v>
      </c>
      <c r="J5" s="27">
        <f t="shared" si="10"/>
        <v>175390.99799999999</v>
      </c>
      <c r="K5" s="27">
        <f t="shared" si="10"/>
        <v>191184.73299999998</v>
      </c>
      <c r="L5" s="27">
        <f t="shared" si="10"/>
        <v>191869.33800000002</v>
      </c>
      <c r="M5" s="27">
        <f t="shared" si="0"/>
        <v>194968.69400000002</v>
      </c>
      <c r="N5" s="27">
        <f>SUM(N7:N22)</f>
        <v>198068.05000000002</v>
      </c>
      <c r="O5" s="27">
        <f>SUM(O7:O22)</f>
        <v>209341.68100000001</v>
      </c>
      <c r="P5" s="27">
        <f t="shared" ref="P5:AA5" si="11">SUM(P7:P22)</f>
        <v>223445.33800000002</v>
      </c>
      <c r="Q5" s="27">
        <f t="shared" si="11"/>
        <v>232114.109</v>
      </c>
      <c r="R5" s="27">
        <f t="shared" si="11"/>
        <v>237451.723</v>
      </c>
      <c r="S5" s="27">
        <f t="shared" si="11"/>
        <v>258780.639</v>
      </c>
      <c r="T5" s="27">
        <f t="shared" si="11"/>
        <v>275364.44800000003</v>
      </c>
      <c r="U5" s="27">
        <f t="shared" si="11"/>
        <v>287961.53600000002</v>
      </c>
      <c r="V5" s="27">
        <f t="shared" si="11"/>
        <v>292785.29700000008</v>
      </c>
      <c r="W5" s="27">
        <f t="shared" si="11"/>
        <v>310945.41200000001</v>
      </c>
      <c r="X5" s="27">
        <f t="shared" si="11"/>
        <v>313280.11799999996</v>
      </c>
      <c r="Y5" s="27">
        <f t="shared" si="11"/>
        <v>298602.19899999996</v>
      </c>
      <c r="Z5" s="27">
        <f t="shared" si="11"/>
        <v>288939.91499999998</v>
      </c>
      <c r="AA5" s="27">
        <f t="shared" si="11"/>
        <v>291453.79699999996</v>
      </c>
      <c r="AB5" s="27">
        <f t="shared" ref="AB5:AC5" si="12">SUM(AB7:AB22)</f>
        <v>277223.33699999994</v>
      </c>
      <c r="AC5" s="27">
        <f t="shared" si="12"/>
        <v>268109.06099999999</v>
      </c>
      <c r="AD5" s="27">
        <f t="shared" ref="AD5:AE5" si="13">SUM(AD7:AD22)</f>
        <v>272538.41899999999</v>
      </c>
      <c r="AE5" s="27">
        <f t="shared" si="13"/>
        <v>257437.158</v>
      </c>
      <c r="AF5" s="27">
        <f t="shared" ref="AF5:AG5" si="14">SUM(AF7:AF22)</f>
        <v>275460.72600000002</v>
      </c>
      <c r="AG5" s="27">
        <f t="shared" si="14"/>
        <v>278938.75100000005</v>
      </c>
      <c r="AH5" s="107">
        <f t="shared" ref="AH5:AR5" si="15">SUM(AH7:AH22)</f>
        <v>178901</v>
      </c>
      <c r="AI5" s="27">
        <f t="shared" si="15"/>
        <v>168507</v>
      </c>
      <c r="AJ5" s="27">
        <f t="shared" si="15"/>
        <v>174728</v>
      </c>
      <c r="AK5" s="27">
        <f t="shared" si="15"/>
        <v>177720</v>
      </c>
      <c r="AL5" s="27">
        <f t="shared" si="15"/>
        <v>182586</v>
      </c>
      <c r="AM5" s="27">
        <f t="shared" si="15"/>
        <v>199585</v>
      </c>
      <c r="AN5" s="27">
        <f t="shared" si="15"/>
        <v>209363</v>
      </c>
      <c r="AO5" s="27">
        <f t="shared" si="15"/>
        <v>242058</v>
      </c>
      <c r="AP5" s="27">
        <f t="shared" si="15"/>
        <v>274199</v>
      </c>
      <c r="AQ5" s="27">
        <f t="shared" si="15"/>
        <v>299769</v>
      </c>
      <c r="AR5" s="27">
        <f t="shared" si="15"/>
        <v>295562</v>
      </c>
      <c r="AS5" s="27">
        <f t="shared" si="5"/>
        <v>303604</v>
      </c>
      <c r="AT5" s="27">
        <f>SUM(AT7:AT22)</f>
        <v>311646</v>
      </c>
      <c r="AU5" s="27">
        <f>SUM(AU7:AU22)</f>
        <v>316306</v>
      </c>
      <c r="AV5" s="27">
        <f t="shared" ref="AV5:BG5" si="16">SUM(AV7:AV22)</f>
        <v>333659</v>
      </c>
      <c r="AW5" s="27">
        <f t="shared" si="16"/>
        <v>341100</v>
      </c>
      <c r="AX5" s="27">
        <f t="shared" si="16"/>
        <v>337953</v>
      </c>
      <c r="AY5" s="27">
        <f t="shared" si="16"/>
        <v>369919</v>
      </c>
      <c r="AZ5" s="27">
        <f t="shared" si="16"/>
        <v>393596</v>
      </c>
      <c r="BA5" s="27">
        <f t="shared" si="16"/>
        <v>410329</v>
      </c>
      <c r="BB5" s="27">
        <f t="shared" si="16"/>
        <v>422696</v>
      </c>
      <c r="BC5" s="27">
        <f t="shared" si="16"/>
        <v>437167</v>
      </c>
      <c r="BD5" s="27">
        <f t="shared" si="16"/>
        <v>432347</v>
      </c>
      <c r="BE5" s="27">
        <f t="shared" si="16"/>
        <v>429058</v>
      </c>
      <c r="BF5" s="27">
        <f t="shared" si="16"/>
        <v>438097</v>
      </c>
      <c r="BG5" s="27">
        <f t="shared" si="16"/>
        <v>470299</v>
      </c>
      <c r="BH5" s="27">
        <f t="shared" ref="BH5:BI5" si="17">SUM(BH7:BH22)</f>
        <v>464483</v>
      </c>
      <c r="BI5" s="27">
        <f t="shared" si="17"/>
        <v>466659</v>
      </c>
      <c r="BJ5" s="27">
        <f t="shared" ref="BJ5:BK5" si="18">SUM(BJ7:BJ22)</f>
        <v>446244</v>
      </c>
      <c r="BK5" s="27">
        <f t="shared" si="18"/>
        <v>422616</v>
      </c>
      <c r="BL5" s="27">
        <f t="shared" ref="BL5:BM5" si="19">SUM(BL7:BL22)</f>
        <v>450515</v>
      </c>
      <c r="BM5" s="27">
        <f t="shared" si="19"/>
        <v>427760</v>
      </c>
    </row>
    <row r="6" spans="1:65" s="8" customFormat="1">
      <c r="A6" s="30" t="s">
        <v>215</v>
      </c>
      <c r="B6" s="31">
        <f t="shared" ref="B6:L6" si="20">(B5/B4)*100</f>
        <v>26.695268275202398</v>
      </c>
      <c r="C6" s="31">
        <f t="shared" si="20"/>
        <v>25.63678801179184</v>
      </c>
      <c r="D6" s="31">
        <f t="shared" si="20"/>
        <v>26.187068297344997</v>
      </c>
      <c r="E6" s="31">
        <f t="shared" si="20"/>
        <v>26.004024984648332</v>
      </c>
      <c r="F6" s="31">
        <f t="shared" si="20"/>
        <v>26.363766396510997</v>
      </c>
      <c r="G6" s="31">
        <f t="shared" si="20"/>
        <v>26.040562384539136</v>
      </c>
      <c r="H6" s="31">
        <f t="shared" si="20"/>
        <v>26.261102428094585</v>
      </c>
      <c r="I6" s="31">
        <f t="shared" si="20"/>
        <v>26.163266430877069</v>
      </c>
      <c r="J6" s="31">
        <f t="shared" si="20"/>
        <v>27.380329016078385</v>
      </c>
      <c r="K6" s="31">
        <f t="shared" si="20"/>
        <v>25.815369285049073</v>
      </c>
      <c r="L6" s="31">
        <f t="shared" si="20"/>
        <v>25.789108654227032</v>
      </c>
      <c r="M6" s="31">
        <f t="shared" si="0"/>
        <v>26.103289821842544</v>
      </c>
      <c r="N6" s="31">
        <f>(N5/N4)*100</f>
        <v>26.417470989458053</v>
      </c>
      <c r="O6" s="31">
        <f>(O5/O4)*100</f>
        <v>26.227787166436102</v>
      </c>
      <c r="P6" s="31">
        <f t="shared" ref="P6:AA6" si="21">(P5/P4)*100</f>
        <v>26.576496771862391</v>
      </c>
      <c r="Q6" s="31">
        <f t="shared" si="21"/>
        <v>26.936515876884272</v>
      </c>
      <c r="R6" s="31">
        <f t="shared" si="21"/>
        <v>26.59844199185526</v>
      </c>
      <c r="S6" s="31">
        <f t="shared" si="21"/>
        <v>26.108466680011766</v>
      </c>
      <c r="T6" s="31">
        <f t="shared" si="21"/>
        <v>27.095628139261358</v>
      </c>
      <c r="U6" s="31">
        <f t="shared" si="21"/>
        <v>27.578185513037884</v>
      </c>
      <c r="V6" s="31">
        <f t="shared" si="21"/>
        <v>28.035204114377411</v>
      </c>
      <c r="W6" s="31">
        <f t="shared" si="21"/>
        <v>29.192463804188208</v>
      </c>
      <c r="X6" s="31">
        <f t="shared" si="21"/>
        <v>29.484338483022203</v>
      </c>
      <c r="Y6" s="31">
        <f t="shared" si="21"/>
        <v>28.444253822988397</v>
      </c>
      <c r="Z6" s="31">
        <f t="shared" si="21"/>
        <v>28.306941233862588</v>
      </c>
      <c r="AA6" s="31">
        <f t="shared" si="21"/>
        <v>27.761903891880269</v>
      </c>
      <c r="AB6" s="31">
        <f t="shared" ref="AB6:AC6" si="22">(AB5/AB4)*100</f>
        <v>27.79928793906651</v>
      </c>
      <c r="AC6" s="31">
        <f t="shared" si="22"/>
        <v>28.121997965416512</v>
      </c>
      <c r="AD6" s="31">
        <f t="shared" ref="AD6:AE6" si="23">(AD5/AD4)*100</f>
        <v>28.266212467808078</v>
      </c>
      <c r="AE6" s="31">
        <f t="shared" si="23"/>
        <v>28.259125810450573</v>
      </c>
      <c r="AF6" s="31">
        <f t="shared" ref="AF6:AG6" si="24">(AF5/AF4)*100</f>
        <v>28.480106279461655</v>
      </c>
      <c r="AG6" s="31">
        <f t="shared" si="24"/>
        <v>28.551665705381673</v>
      </c>
      <c r="AH6" s="184">
        <f t="shared" ref="AH6:AR6" si="25">(AH5/AH4)*100</f>
        <v>28.844671746568164</v>
      </c>
      <c r="AI6" s="180">
        <f t="shared" si="25"/>
        <v>25.594613355124558</v>
      </c>
      <c r="AJ6" s="75">
        <f t="shared" si="25"/>
        <v>28.667526390570604</v>
      </c>
      <c r="AK6" s="75">
        <f t="shared" si="25"/>
        <v>29.005991503196505</v>
      </c>
      <c r="AL6" s="75">
        <f t="shared" si="25"/>
        <v>28.029652918393065</v>
      </c>
      <c r="AM6" s="75">
        <f t="shared" si="25"/>
        <v>28.483903101781948</v>
      </c>
      <c r="AN6" s="75">
        <f t="shared" si="25"/>
        <v>28.498138582055521</v>
      </c>
      <c r="AO6" s="75">
        <f t="shared" si="25"/>
        <v>28.511995137631647</v>
      </c>
      <c r="AP6" s="75">
        <f t="shared" si="25"/>
        <v>29.16083075702516</v>
      </c>
      <c r="AQ6" s="75">
        <f t="shared" si="25"/>
        <v>29.18246573528825</v>
      </c>
      <c r="AR6" s="75">
        <f t="shared" si="25"/>
        <v>28.928650778658561</v>
      </c>
      <c r="AS6" s="75">
        <f t="shared" si="5"/>
        <v>29.296093431111</v>
      </c>
      <c r="AT6" s="75">
        <f>(AT5/AT4)*100</f>
        <v>29.663536083563439</v>
      </c>
      <c r="AU6" s="75">
        <f>(AU5/AU4)*100</f>
        <v>29.290358904266885</v>
      </c>
      <c r="AV6" s="31">
        <f t="shared" ref="AV6:BG6" si="26">(AV5/AV4)*100</f>
        <v>29.723017279239166</v>
      </c>
      <c r="AW6" s="31">
        <f t="shared" si="26"/>
        <v>30.179911557198498</v>
      </c>
      <c r="AX6" s="31">
        <f t="shared" si="26"/>
        <v>30.029162549670524</v>
      </c>
      <c r="AY6" s="31">
        <f t="shared" si="26"/>
        <v>29.857556342245751</v>
      </c>
      <c r="AZ6" s="31">
        <f t="shared" si="26"/>
        <v>30.353713817712375</v>
      </c>
      <c r="BA6" s="31">
        <f t="shared" si="26"/>
        <v>30.881850462028471</v>
      </c>
      <c r="BB6" s="31">
        <f t="shared" si="26"/>
        <v>31.481866288314659</v>
      </c>
      <c r="BC6" s="31">
        <f t="shared" si="26"/>
        <v>32.193395879052098</v>
      </c>
      <c r="BD6" s="31">
        <f t="shared" si="26"/>
        <v>31.778654092811809</v>
      </c>
      <c r="BE6" s="31">
        <f t="shared" si="26"/>
        <v>30.815295535474458</v>
      </c>
      <c r="BF6" s="31">
        <f t="shared" si="26"/>
        <v>31.499595197591031</v>
      </c>
      <c r="BG6" s="31">
        <f t="shared" si="26"/>
        <v>30.628793602000677</v>
      </c>
      <c r="BH6" s="31">
        <f t="shared" ref="BH6:BI6" si="27">(BH5/BH4)*100</f>
        <v>29.437156184247215</v>
      </c>
      <c r="BI6" s="31">
        <f t="shared" si="27"/>
        <v>29.313395709076516</v>
      </c>
      <c r="BJ6" s="31">
        <f t="shared" ref="BJ6:BK6" si="28">(BJ5/BJ4)*100</f>
        <v>28.206016353072648</v>
      </c>
      <c r="BK6" s="31">
        <f t="shared" si="28"/>
        <v>28.252867631033922</v>
      </c>
      <c r="BL6" s="31">
        <f t="shared" ref="BL6:BM6" si="29">(BL5/BL4)*100</f>
        <v>28.789108430039363</v>
      </c>
      <c r="BM6" s="31">
        <f t="shared" si="29"/>
        <v>28.996353086319328</v>
      </c>
    </row>
    <row r="7" spans="1:65" s="8" customFormat="1">
      <c r="A7" s="26" t="s">
        <v>18</v>
      </c>
      <c r="B7" s="145">
        <f>ROUND(5519,0)</f>
        <v>5519</v>
      </c>
      <c r="C7" s="181">
        <f>ROUND(6478,0)</f>
        <v>6478</v>
      </c>
      <c r="D7" s="145">
        <f>ROUND(6183,0)</f>
        <v>6183</v>
      </c>
      <c r="E7" s="145">
        <f>ROUND(6572210/1000,0)</f>
        <v>6572</v>
      </c>
      <c r="F7" s="145">
        <f>ROUND(6760403/1000,0)</f>
        <v>6760</v>
      </c>
      <c r="G7" s="145">
        <f>ROUND(7078313/1000,0)</f>
        <v>7078</v>
      </c>
      <c r="H7" s="145">
        <f>ROUND(7340673/1000,0)</f>
        <v>7341</v>
      </c>
      <c r="I7" s="70">
        <f>ROUND(8564.05,0)</f>
        <v>8564</v>
      </c>
      <c r="J7" s="70">
        <f>ROUND(8942.886,0)</f>
        <v>8943</v>
      </c>
      <c r="K7" s="70">
        <v>9954.723</v>
      </c>
      <c r="L7" s="70">
        <v>9836.8970000000008</v>
      </c>
      <c r="M7" s="74">
        <f t="shared" si="0"/>
        <v>9855.1870000000017</v>
      </c>
      <c r="N7" s="70">
        <v>9873.4770000000008</v>
      </c>
      <c r="O7" s="70">
        <v>9696.0830000000005</v>
      </c>
      <c r="P7" s="146">
        <v>10710.468000000001</v>
      </c>
      <c r="Q7" s="70">
        <v>11429.619000000001</v>
      </c>
      <c r="R7" s="70">
        <v>12067.028</v>
      </c>
      <c r="S7" s="70">
        <v>14072.281000000001</v>
      </c>
      <c r="T7" s="76">
        <v>15589.192999999999</v>
      </c>
      <c r="U7" s="76">
        <v>14957.487999999999</v>
      </c>
      <c r="V7" s="76">
        <v>15981.757</v>
      </c>
      <c r="W7" s="76">
        <v>16682.032999999999</v>
      </c>
      <c r="X7" s="76">
        <v>16449.987000000001</v>
      </c>
      <c r="Y7" s="76">
        <v>16182.065000000001</v>
      </c>
      <c r="Z7" s="76">
        <v>15244.018</v>
      </c>
      <c r="AA7" s="8">
        <v>13926.705</v>
      </c>
      <c r="AB7" s="8">
        <v>14436.601000000001</v>
      </c>
      <c r="AC7" s="8">
        <v>14511.472</v>
      </c>
      <c r="AD7" s="8">
        <v>15053.911</v>
      </c>
      <c r="AE7" s="8">
        <v>13575.353999999999</v>
      </c>
      <c r="AF7" s="8">
        <v>14319.111000000001</v>
      </c>
      <c r="AG7" s="8">
        <v>13858.599</v>
      </c>
      <c r="AH7" s="185">
        <f>ROUND(10588,0)</f>
        <v>10588</v>
      </c>
      <c r="AI7" s="181">
        <f>ROUND(10435,0)</f>
        <v>10435</v>
      </c>
      <c r="AJ7" s="145">
        <f>ROUND(10350,0)</f>
        <v>10350</v>
      </c>
      <c r="AK7" s="145">
        <f>ROUND(10700,0)</f>
        <v>10700</v>
      </c>
      <c r="AL7" s="145">
        <f>ROUND(10758,0)</f>
        <v>10758</v>
      </c>
      <c r="AM7" s="145">
        <f>ROUND(11433,0)</f>
        <v>11433</v>
      </c>
      <c r="AN7" s="145">
        <f>ROUND(11165,0)</f>
        <v>11165</v>
      </c>
      <c r="AO7" s="70">
        <f>ROUND(13004,0)</f>
        <v>13004</v>
      </c>
      <c r="AP7" s="70">
        <f>ROUND(13233,0)</f>
        <v>13233</v>
      </c>
      <c r="AQ7" s="70">
        <v>13964</v>
      </c>
      <c r="AR7" s="70">
        <v>13804</v>
      </c>
      <c r="AS7" s="74">
        <f t="shared" si="5"/>
        <v>14251.5</v>
      </c>
      <c r="AT7" s="70">
        <v>14699</v>
      </c>
      <c r="AU7" s="70">
        <v>14576</v>
      </c>
      <c r="AV7" s="8">
        <v>16125</v>
      </c>
      <c r="AW7" s="8">
        <v>16979</v>
      </c>
      <c r="AX7" s="76">
        <v>17390</v>
      </c>
      <c r="AY7" s="8">
        <v>19742</v>
      </c>
      <c r="AZ7" s="8">
        <v>21760</v>
      </c>
      <c r="BA7" s="8">
        <v>21106</v>
      </c>
      <c r="BB7" s="8">
        <v>21924</v>
      </c>
      <c r="BC7" s="8">
        <v>21719</v>
      </c>
      <c r="BD7" s="8">
        <v>20778</v>
      </c>
      <c r="BE7" s="8">
        <v>21018</v>
      </c>
      <c r="BF7" s="8">
        <v>20534</v>
      </c>
      <c r="BG7" s="8">
        <v>20255</v>
      </c>
      <c r="BH7" s="8">
        <v>23504</v>
      </c>
      <c r="BI7" s="8">
        <v>24469</v>
      </c>
      <c r="BJ7" s="8">
        <v>23339</v>
      </c>
      <c r="BK7" s="8">
        <v>17703</v>
      </c>
      <c r="BL7" s="8">
        <v>18200</v>
      </c>
      <c r="BM7" s="8">
        <v>17418</v>
      </c>
    </row>
    <row r="8" spans="1:65" s="8" customFormat="1">
      <c r="A8" s="26" t="s">
        <v>19</v>
      </c>
      <c r="B8" s="145">
        <f>ROUND(2163,0)</f>
        <v>2163</v>
      </c>
      <c r="C8" s="181">
        <f>ROUND(2717,0)</f>
        <v>2717</v>
      </c>
      <c r="D8" s="145">
        <f>ROUND(2432,0)</f>
        <v>2432</v>
      </c>
      <c r="E8" s="145">
        <f>ROUND(2597660/1000,0)</f>
        <v>2598</v>
      </c>
      <c r="F8" s="145">
        <f>ROUND(2604794/1000,0)</f>
        <v>2605</v>
      </c>
      <c r="G8" s="145">
        <f>ROUND(2902468/1000,0)</f>
        <v>2902</v>
      </c>
      <c r="H8" s="145">
        <f>ROUND(3138365/1000,0)</f>
        <v>3138</v>
      </c>
      <c r="I8" s="70">
        <f>ROUND(3819.066,0)</f>
        <v>3819</v>
      </c>
      <c r="J8" s="70">
        <f>ROUND(4096.694,0)</f>
        <v>4097</v>
      </c>
      <c r="K8" s="182">
        <v>4339.7979999999998</v>
      </c>
      <c r="L8" s="70">
        <v>4472.5119999999997</v>
      </c>
      <c r="M8" s="74">
        <f t="shared" si="0"/>
        <v>4612.4764999999998</v>
      </c>
      <c r="N8" s="70">
        <v>4752.4409999999998</v>
      </c>
      <c r="O8" s="70">
        <v>4711.5469999999996</v>
      </c>
      <c r="P8" s="146">
        <v>5026.9309999999996</v>
      </c>
      <c r="Q8" s="70">
        <v>5137.8890000000001</v>
      </c>
      <c r="R8" s="70">
        <v>5557.0770000000002</v>
      </c>
      <c r="S8" s="70">
        <v>5796.415</v>
      </c>
      <c r="T8" s="76">
        <v>5794.9110000000001</v>
      </c>
      <c r="U8" s="76">
        <v>6096.5929999999998</v>
      </c>
      <c r="V8" s="76">
        <v>6055.9</v>
      </c>
      <c r="W8" s="76">
        <v>6072.8459999999995</v>
      </c>
      <c r="X8" s="76">
        <v>6167.01</v>
      </c>
      <c r="Y8" s="76">
        <v>5890.9889999999996</v>
      </c>
      <c r="Z8" s="76">
        <v>5707.2089999999998</v>
      </c>
      <c r="AA8" s="8">
        <v>5681.0789999999997</v>
      </c>
      <c r="AB8" s="8">
        <v>5474.2520000000004</v>
      </c>
      <c r="AC8" s="8">
        <v>5222.3360000000002</v>
      </c>
      <c r="AD8" s="8">
        <v>5427.7839999999997</v>
      </c>
      <c r="AE8" s="8">
        <v>5188.2619999999997</v>
      </c>
      <c r="AF8" s="8">
        <v>5602.7579999999998</v>
      </c>
      <c r="AG8" s="8">
        <v>5726.8580000000002</v>
      </c>
      <c r="AH8" s="185">
        <f>ROUND(5298,0)</f>
        <v>5298</v>
      </c>
      <c r="AI8" s="181">
        <f>ROUND(4353,0)</f>
        <v>4353</v>
      </c>
      <c r="AJ8" s="145">
        <f>ROUND(5697,0)</f>
        <v>5697</v>
      </c>
      <c r="AK8" s="145">
        <f>ROUND(5949,0)</f>
        <v>5949</v>
      </c>
      <c r="AL8" s="145">
        <f>ROUND(5829,0)</f>
        <v>5829</v>
      </c>
      <c r="AM8" s="145">
        <f>ROUND(8554,0)</f>
        <v>8554</v>
      </c>
      <c r="AN8" s="145">
        <f>ROUND(6311,0)</f>
        <v>6311</v>
      </c>
      <c r="AO8" s="70">
        <f>ROUND(7504,0)</f>
        <v>7504</v>
      </c>
      <c r="AP8" s="70">
        <f>ROUND(7982,0)</f>
        <v>7982</v>
      </c>
      <c r="AQ8" s="70">
        <v>8395</v>
      </c>
      <c r="AR8" s="70">
        <v>8322</v>
      </c>
      <c r="AS8" s="74">
        <f t="shared" si="5"/>
        <v>8550</v>
      </c>
      <c r="AT8" s="70">
        <v>8778</v>
      </c>
      <c r="AU8" s="70">
        <v>8632</v>
      </c>
      <c r="AV8" s="8">
        <v>8899</v>
      </c>
      <c r="AW8" s="8">
        <v>8936</v>
      </c>
      <c r="AX8" s="76">
        <v>9547</v>
      </c>
      <c r="AY8" s="8">
        <v>10276</v>
      </c>
      <c r="AZ8" s="8">
        <v>9587</v>
      </c>
      <c r="BA8" s="8">
        <v>9790</v>
      </c>
      <c r="BB8" s="8">
        <v>10083</v>
      </c>
      <c r="BC8" s="8">
        <v>10323</v>
      </c>
      <c r="BD8" s="8">
        <v>10307</v>
      </c>
      <c r="BE8" s="8">
        <v>9720</v>
      </c>
      <c r="BF8" s="8">
        <v>9632</v>
      </c>
      <c r="BG8" s="8">
        <v>9530</v>
      </c>
      <c r="BH8" s="8">
        <v>8734</v>
      </c>
      <c r="BI8" s="8">
        <v>9398</v>
      </c>
      <c r="BJ8" s="8">
        <v>9833</v>
      </c>
      <c r="BK8" s="8">
        <v>10273</v>
      </c>
      <c r="BL8" s="8">
        <v>10051</v>
      </c>
      <c r="BM8" s="8">
        <v>9378</v>
      </c>
    </row>
    <row r="9" spans="1:65" s="8" customFormat="1">
      <c r="A9" s="26" t="s">
        <v>113</v>
      </c>
      <c r="B9" s="145">
        <v>821.60799999999995</v>
      </c>
      <c r="C9" s="74">
        <f>((D9-B9)/2)+B9</f>
        <v>924.94799999999998</v>
      </c>
      <c r="D9" s="145">
        <v>1028.288</v>
      </c>
      <c r="E9" s="145">
        <v>1052.2049999999999</v>
      </c>
      <c r="F9" s="145">
        <v>1081.384</v>
      </c>
      <c r="G9" s="145">
        <v>1146.71</v>
      </c>
      <c r="H9" s="145">
        <v>1081.239</v>
      </c>
      <c r="I9" s="70">
        <v>1213.27</v>
      </c>
      <c r="J9" s="70">
        <v>1450.998</v>
      </c>
      <c r="K9" s="182">
        <v>1729.0150000000001</v>
      </c>
      <c r="L9" s="70">
        <v>1577.6130000000001</v>
      </c>
      <c r="M9" s="74">
        <f t="shared" si="0"/>
        <v>1689.875</v>
      </c>
      <c r="N9" s="70">
        <v>1802.1369999999999</v>
      </c>
      <c r="O9" s="70">
        <v>1932.4190000000001</v>
      </c>
      <c r="P9" s="146">
        <v>2051.4490000000001</v>
      </c>
      <c r="Q9" s="70">
        <v>2025.473</v>
      </c>
      <c r="R9" s="70">
        <v>2249.386</v>
      </c>
      <c r="S9" s="70">
        <v>2481.123</v>
      </c>
      <c r="T9" s="76">
        <v>2729.1950000000002</v>
      </c>
      <c r="U9" s="76">
        <v>2031.1279999999999</v>
      </c>
      <c r="V9" s="76">
        <v>1786.9259999999999</v>
      </c>
      <c r="W9" s="76">
        <v>1792.443</v>
      </c>
      <c r="X9" s="76">
        <v>1993.0260000000001</v>
      </c>
      <c r="Y9" s="76">
        <v>2121.0940000000001</v>
      </c>
      <c r="Z9" s="76">
        <v>2130.9110000000001</v>
      </c>
      <c r="AA9" s="8">
        <v>2087.8409999999999</v>
      </c>
      <c r="AB9" s="8">
        <v>2201.7809999999999</v>
      </c>
      <c r="AC9" s="8">
        <v>2067.3850000000002</v>
      </c>
      <c r="AD9" s="8">
        <v>2159.7449999999999</v>
      </c>
      <c r="AE9" s="8">
        <v>1965.979</v>
      </c>
      <c r="AF9" s="8">
        <v>2251.2750000000001</v>
      </c>
      <c r="AG9" s="8">
        <v>2294.8150000000001</v>
      </c>
      <c r="AH9" s="185">
        <v>1528</v>
      </c>
      <c r="AI9" s="74">
        <f>((AJ9-AH9)/2)+AH9</f>
        <v>1472</v>
      </c>
      <c r="AJ9" s="145">
        <v>1416</v>
      </c>
      <c r="AK9" s="145">
        <v>1938</v>
      </c>
      <c r="AL9" s="145">
        <v>2069</v>
      </c>
      <c r="AM9" s="145">
        <v>1947</v>
      </c>
      <c r="AN9" s="145">
        <v>1841</v>
      </c>
      <c r="AO9" s="70">
        <v>2413</v>
      </c>
      <c r="AP9" s="70">
        <v>2950</v>
      </c>
      <c r="AQ9" s="70">
        <v>3006</v>
      </c>
      <c r="AR9" s="70">
        <v>3019</v>
      </c>
      <c r="AS9" s="74">
        <f t="shared" si="5"/>
        <v>3090.5</v>
      </c>
      <c r="AT9" s="70">
        <v>3162</v>
      </c>
      <c r="AU9" s="70">
        <v>3543</v>
      </c>
      <c r="AV9" s="8">
        <v>3739</v>
      </c>
      <c r="AW9" s="8">
        <v>3541</v>
      </c>
      <c r="AX9" s="76">
        <v>3718</v>
      </c>
      <c r="AY9" s="8">
        <v>3511</v>
      </c>
      <c r="AZ9" s="8">
        <v>3988</v>
      </c>
      <c r="BA9" s="8">
        <v>3591</v>
      </c>
      <c r="BB9" s="8">
        <v>3447</v>
      </c>
      <c r="BC9" s="8">
        <v>3277</v>
      </c>
      <c r="BD9" s="8">
        <v>3660</v>
      </c>
      <c r="BE9" s="8">
        <v>4049</v>
      </c>
      <c r="BF9" s="8">
        <v>4082</v>
      </c>
      <c r="BG9" s="8">
        <v>4569</v>
      </c>
      <c r="BH9" s="8">
        <v>4006</v>
      </c>
      <c r="BI9" s="8">
        <v>3953</v>
      </c>
      <c r="BJ9" s="8">
        <v>3039</v>
      </c>
      <c r="BK9" s="8">
        <v>3340</v>
      </c>
      <c r="BL9" s="8">
        <v>3317</v>
      </c>
      <c r="BM9" s="8">
        <v>3729</v>
      </c>
    </row>
    <row r="10" spans="1:65" s="8" customFormat="1">
      <c r="A10" s="26" t="s">
        <v>20</v>
      </c>
      <c r="B10" s="145">
        <f>ROUND(10069,0)</f>
        <v>10069</v>
      </c>
      <c r="C10" s="181">
        <f>ROUND(11653,0)</f>
        <v>11653</v>
      </c>
      <c r="D10" s="145">
        <f>ROUND(11417,0)</f>
        <v>11417</v>
      </c>
      <c r="E10" s="145">
        <f>ROUND(11640694/1000,0)</f>
        <v>11641</v>
      </c>
      <c r="F10" s="145">
        <f>ROUND(12028814/1000,0)</f>
        <v>12029</v>
      </c>
      <c r="G10" s="145">
        <f>ROUND(13521108/1000,0)</f>
        <v>13521</v>
      </c>
      <c r="H10" s="145">
        <f>ROUND(15009896/1000,0)</f>
        <v>15010</v>
      </c>
      <c r="I10" s="70">
        <f>ROUND(18911.235,0)</f>
        <v>18911</v>
      </c>
      <c r="J10" s="70">
        <f>ROUND(28599.794,0)</f>
        <v>28600</v>
      </c>
      <c r="K10" s="70">
        <v>26510.307000000001</v>
      </c>
      <c r="L10" s="70">
        <v>26337.86</v>
      </c>
      <c r="M10" s="74">
        <f t="shared" si="0"/>
        <v>26864.694</v>
      </c>
      <c r="N10" s="70">
        <v>27391.527999999998</v>
      </c>
      <c r="O10" s="70">
        <v>28809.438999999998</v>
      </c>
      <c r="P10" s="146">
        <v>31763.988000000001</v>
      </c>
      <c r="Q10" s="70">
        <v>32812.067999999999</v>
      </c>
      <c r="R10" s="70">
        <v>33609.243999999999</v>
      </c>
      <c r="S10" s="70">
        <v>36810.347999999998</v>
      </c>
      <c r="T10" s="76">
        <v>40358.932000000001</v>
      </c>
      <c r="U10" s="76">
        <v>44291.59</v>
      </c>
      <c r="V10" s="76">
        <v>45310.313000000002</v>
      </c>
      <c r="W10" s="76">
        <v>45292.974999999999</v>
      </c>
      <c r="X10" s="76">
        <v>46276.042000000001</v>
      </c>
      <c r="Y10" s="76">
        <v>45959.474999999999</v>
      </c>
      <c r="Z10" s="76">
        <v>45470.224999999999</v>
      </c>
      <c r="AA10" s="8">
        <v>47392.476999999999</v>
      </c>
      <c r="AB10" s="8">
        <v>46352.631000000001</v>
      </c>
      <c r="AC10" s="8">
        <v>45508.796000000002</v>
      </c>
      <c r="AD10" s="8">
        <v>47476.44</v>
      </c>
      <c r="AE10" s="8">
        <v>44400.646000000001</v>
      </c>
      <c r="AF10" s="8">
        <v>49891.88</v>
      </c>
      <c r="AG10" s="8">
        <v>47986.432000000001</v>
      </c>
      <c r="AH10" s="185">
        <f>ROUND(17495,0)</f>
        <v>17495</v>
      </c>
      <c r="AI10" s="181">
        <f>ROUND(18262,0)</f>
        <v>18262</v>
      </c>
      <c r="AJ10" s="145">
        <f>ROUND(17531,0)</f>
        <v>17531</v>
      </c>
      <c r="AK10" s="145">
        <f>ROUND(17074,0)</f>
        <v>17074</v>
      </c>
      <c r="AL10" s="145">
        <f>ROUND(17655,0)</f>
        <v>17655</v>
      </c>
      <c r="AM10" s="145">
        <f>ROUND(19689,0)</f>
        <v>19689</v>
      </c>
      <c r="AN10" s="145">
        <f>ROUND(23268,0)</f>
        <v>23268</v>
      </c>
      <c r="AO10" s="70">
        <f>ROUND(30579,0)</f>
        <v>30579</v>
      </c>
      <c r="AP10" s="70">
        <f>ROUND(39374,0)</f>
        <v>39374</v>
      </c>
      <c r="AQ10" s="70">
        <v>40362</v>
      </c>
      <c r="AR10" s="70">
        <v>43536</v>
      </c>
      <c r="AS10" s="74">
        <f t="shared" si="5"/>
        <v>45822.5</v>
      </c>
      <c r="AT10" s="70">
        <v>48109</v>
      </c>
      <c r="AU10" s="70">
        <v>47885</v>
      </c>
      <c r="AV10" s="8">
        <v>50063</v>
      </c>
      <c r="AW10" s="8">
        <v>52582</v>
      </c>
      <c r="AX10" s="76">
        <v>51702</v>
      </c>
      <c r="AY10" s="8">
        <v>55802</v>
      </c>
      <c r="AZ10" s="8">
        <v>62095</v>
      </c>
      <c r="BA10" s="8">
        <v>69717</v>
      </c>
      <c r="BB10" s="8">
        <v>71259</v>
      </c>
      <c r="BC10" s="8">
        <v>71861</v>
      </c>
      <c r="BD10" s="8">
        <v>74276</v>
      </c>
      <c r="BE10" s="8">
        <v>77486</v>
      </c>
      <c r="BF10" s="8">
        <v>84358</v>
      </c>
      <c r="BG10" s="8">
        <v>92294</v>
      </c>
      <c r="BH10" s="8">
        <v>94435</v>
      </c>
      <c r="BI10" s="8">
        <v>97221</v>
      </c>
      <c r="BJ10" s="8">
        <v>94529</v>
      </c>
      <c r="BK10" s="8">
        <v>88067</v>
      </c>
      <c r="BL10" s="8">
        <v>96231</v>
      </c>
      <c r="BM10" s="8">
        <v>88175</v>
      </c>
    </row>
    <row r="11" spans="1:65" s="8" customFormat="1">
      <c r="A11" s="26" t="s">
        <v>21</v>
      </c>
      <c r="B11" s="145">
        <f>ROUND(5576,0)</f>
        <v>5576</v>
      </c>
      <c r="C11" s="181">
        <f>ROUND(6552,0)</f>
        <v>6552</v>
      </c>
      <c r="D11" s="145">
        <f>ROUND(6693,0)</f>
        <v>6693</v>
      </c>
      <c r="E11" s="145">
        <f>ROUND(7096104/1000,0)</f>
        <v>7096</v>
      </c>
      <c r="F11" s="145">
        <f>ROUND(6865691/1000,0)</f>
        <v>6866</v>
      </c>
      <c r="G11" s="145">
        <f>ROUND(7791914/1000,0)</f>
        <v>7792</v>
      </c>
      <c r="H11" s="145">
        <f>ROUND(8924343/1000,0)</f>
        <v>8924</v>
      </c>
      <c r="I11" s="70">
        <f>ROUND(9749.662,0)</f>
        <v>9750</v>
      </c>
      <c r="J11" s="70">
        <f>ROUND(11329.09,0)</f>
        <v>11329</v>
      </c>
      <c r="K11" s="70">
        <v>12769.751</v>
      </c>
      <c r="L11" s="70">
        <v>13838.939</v>
      </c>
      <c r="M11" s="74">
        <f t="shared" si="0"/>
        <v>13692.297999999999</v>
      </c>
      <c r="N11" s="70">
        <v>13545.656999999999</v>
      </c>
      <c r="O11" s="70">
        <v>14853.492</v>
      </c>
      <c r="P11" s="146">
        <v>16671.413</v>
      </c>
      <c r="Q11" s="70">
        <v>16308.133</v>
      </c>
      <c r="R11" s="70">
        <v>17142.005000000001</v>
      </c>
      <c r="S11" s="70">
        <v>18287.133999999998</v>
      </c>
      <c r="T11" s="76">
        <v>21457.553</v>
      </c>
      <c r="U11" s="76">
        <v>23734.528999999999</v>
      </c>
      <c r="V11" s="76">
        <v>25370.587</v>
      </c>
      <c r="W11" s="76">
        <v>29175.592000000001</v>
      </c>
      <c r="X11" s="76">
        <v>30933.776000000002</v>
      </c>
      <c r="Y11" s="76">
        <v>28971.608</v>
      </c>
      <c r="Z11" s="76">
        <v>23382.312999999998</v>
      </c>
      <c r="AA11" s="8">
        <v>23606.776000000002</v>
      </c>
      <c r="AB11" s="8">
        <v>24032.367999999999</v>
      </c>
      <c r="AC11" s="8">
        <v>22789.330999999998</v>
      </c>
      <c r="AD11" s="8">
        <v>25011.364000000001</v>
      </c>
      <c r="AE11" s="8">
        <v>23406.984</v>
      </c>
      <c r="AF11" s="8">
        <v>24292.896000000001</v>
      </c>
      <c r="AG11" s="8">
        <v>25602.175999999999</v>
      </c>
      <c r="AH11" s="185">
        <f>ROUND(11691,0)</f>
        <v>11691</v>
      </c>
      <c r="AI11" s="181">
        <f>ROUND(10342,0)</f>
        <v>10342</v>
      </c>
      <c r="AJ11" s="145">
        <f>ROUND(11531,0)</f>
        <v>11531</v>
      </c>
      <c r="AK11" s="145">
        <f>ROUND(11614,0)</f>
        <v>11614</v>
      </c>
      <c r="AL11" s="145">
        <f>ROUND(12027,0)</f>
        <v>12027</v>
      </c>
      <c r="AM11" s="145">
        <f>ROUND(12845,0)</f>
        <v>12845</v>
      </c>
      <c r="AN11" s="145">
        <f>ROUND(13743,0)</f>
        <v>13743</v>
      </c>
      <c r="AO11" s="70">
        <f>ROUND(15924,0)</f>
        <v>15924</v>
      </c>
      <c r="AP11" s="70">
        <f>ROUND(17748,0)</f>
        <v>17748</v>
      </c>
      <c r="AQ11" s="70">
        <v>18416</v>
      </c>
      <c r="AR11" s="70">
        <v>19273</v>
      </c>
      <c r="AS11" s="74">
        <f t="shared" si="5"/>
        <v>19515.5</v>
      </c>
      <c r="AT11" s="70">
        <v>19758</v>
      </c>
      <c r="AU11" s="70">
        <v>20647</v>
      </c>
      <c r="AV11" s="8">
        <v>23390</v>
      </c>
      <c r="AW11" s="8">
        <v>25222</v>
      </c>
      <c r="AX11" s="76">
        <v>23664</v>
      </c>
      <c r="AY11" s="8">
        <v>26851</v>
      </c>
      <c r="AZ11" s="8">
        <v>32782</v>
      </c>
      <c r="BA11" s="8">
        <v>35441</v>
      </c>
      <c r="BB11" s="8">
        <v>40551</v>
      </c>
      <c r="BC11" s="8">
        <v>45118</v>
      </c>
      <c r="BD11" s="8">
        <v>40402</v>
      </c>
      <c r="BE11" s="8">
        <v>39723</v>
      </c>
      <c r="BF11" s="8">
        <v>35868</v>
      </c>
      <c r="BG11" s="8">
        <v>38872</v>
      </c>
      <c r="BH11" s="8">
        <v>37654</v>
      </c>
      <c r="BI11" s="8">
        <v>39577</v>
      </c>
      <c r="BJ11" s="8">
        <v>40406</v>
      </c>
      <c r="BK11" s="8">
        <v>40589</v>
      </c>
      <c r="BL11" s="8">
        <v>41571</v>
      </c>
      <c r="BM11" s="8">
        <v>40069</v>
      </c>
    </row>
    <row r="12" spans="1:65" s="8" customFormat="1">
      <c r="A12" s="26" t="s">
        <v>22</v>
      </c>
      <c r="B12" s="145">
        <f>ROUND(3265,0)</f>
        <v>3265</v>
      </c>
      <c r="C12" s="181">
        <f>ROUND(4380,0)</f>
        <v>4380</v>
      </c>
      <c r="D12" s="145">
        <f>ROUND(3998,0)</f>
        <v>3998</v>
      </c>
      <c r="E12" s="145">
        <f>ROUND(4112876/1000,0)</f>
        <v>4113</v>
      </c>
      <c r="F12" s="145">
        <f>ROUND(4244557/1000,0)</f>
        <v>4245</v>
      </c>
      <c r="G12" s="145">
        <f>ROUND(4790502/1000,0)</f>
        <v>4791</v>
      </c>
      <c r="H12" s="145">
        <f>ROUND(5418203/1000,0)</f>
        <v>5418</v>
      </c>
      <c r="I12" s="70">
        <f>ROUND(5991.033,0)</f>
        <v>5991</v>
      </c>
      <c r="J12" s="70">
        <f>ROUND(6533.456,0)</f>
        <v>6533</v>
      </c>
      <c r="K12" s="70">
        <v>8180.64</v>
      </c>
      <c r="L12" s="70">
        <v>8352.7180000000008</v>
      </c>
      <c r="M12" s="74">
        <f t="shared" si="0"/>
        <v>8686.0404999999992</v>
      </c>
      <c r="N12" s="70">
        <v>9019.3629999999994</v>
      </c>
      <c r="O12" s="70">
        <v>9546.34</v>
      </c>
      <c r="P12" s="146">
        <v>9914.06</v>
      </c>
      <c r="Q12" s="70">
        <v>9817.0509999999995</v>
      </c>
      <c r="R12" s="70">
        <v>10006.802</v>
      </c>
      <c r="S12" s="70">
        <v>11094.960999999999</v>
      </c>
      <c r="T12" s="76">
        <v>11244.298000000001</v>
      </c>
      <c r="U12" s="76">
        <v>11761.815000000001</v>
      </c>
      <c r="V12" s="76">
        <v>12005.929</v>
      </c>
      <c r="W12" s="76">
        <v>12756.189</v>
      </c>
      <c r="X12" s="76">
        <v>11579.522999999999</v>
      </c>
      <c r="Y12" s="76">
        <v>11906.575000000001</v>
      </c>
      <c r="Z12" s="76">
        <v>11882.659</v>
      </c>
      <c r="AA12" s="8">
        <v>12930.361999999999</v>
      </c>
      <c r="AB12" s="8">
        <v>12284.63</v>
      </c>
      <c r="AC12" s="8">
        <v>12654.888000000001</v>
      </c>
      <c r="AD12" s="8">
        <v>13236.332</v>
      </c>
      <c r="AE12" s="8">
        <v>11338.786</v>
      </c>
      <c r="AF12" s="8">
        <v>12421.424000000001</v>
      </c>
      <c r="AG12" s="8">
        <v>11777.123</v>
      </c>
      <c r="AH12" s="185">
        <f>ROUND(8035,0)</f>
        <v>8035</v>
      </c>
      <c r="AI12" s="181">
        <f>ROUND(7034,0)</f>
        <v>7034</v>
      </c>
      <c r="AJ12" s="145">
        <f>ROUND(8763,0)</f>
        <v>8763</v>
      </c>
      <c r="AK12" s="145">
        <f>ROUND(8658,0)</f>
        <v>8658</v>
      </c>
      <c r="AL12" s="145">
        <f>ROUND(8800,0)</f>
        <v>8800</v>
      </c>
      <c r="AM12" s="145">
        <f>ROUND(9717,0)</f>
        <v>9717</v>
      </c>
      <c r="AN12" s="145">
        <f>ROUND(10635,0)</f>
        <v>10635</v>
      </c>
      <c r="AO12" s="70">
        <f>ROUND(11649,0)</f>
        <v>11649</v>
      </c>
      <c r="AP12" s="70">
        <f>ROUND(12505,0)</f>
        <v>12505</v>
      </c>
      <c r="AQ12" s="70">
        <v>15447</v>
      </c>
      <c r="AR12" s="70">
        <v>14708</v>
      </c>
      <c r="AS12" s="74">
        <f t="shared" si="5"/>
        <v>14837.5</v>
      </c>
      <c r="AT12" s="70">
        <v>14967</v>
      </c>
      <c r="AU12" s="70">
        <v>15443</v>
      </c>
      <c r="AV12" s="8">
        <v>15606</v>
      </c>
      <c r="AW12" s="8">
        <v>16205</v>
      </c>
      <c r="AX12" s="76">
        <v>16102</v>
      </c>
      <c r="AY12" s="8">
        <v>18397</v>
      </c>
      <c r="AZ12" s="8">
        <v>18887</v>
      </c>
      <c r="BA12" s="8">
        <v>19613</v>
      </c>
      <c r="BB12" s="8">
        <v>20292</v>
      </c>
      <c r="BC12" s="8">
        <v>23935</v>
      </c>
      <c r="BD12" s="8">
        <v>19865</v>
      </c>
      <c r="BE12" s="8">
        <v>20022</v>
      </c>
      <c r="BF12" s="8">
        <v>20610</v>
      </c>
      <c r="BG12" s="8">
        <v>25026</v>
      </c>
      <c r="BH12" s="8">
        <v>23726</v>
      </c>
      <c r="BI12" s="8">
        <v>21833</v>
      </c>
      <c r="BJ12" s="8">
        <v>22299</v>
      </c>
      <c r="BK12" s="8">
        <v>18776</v>
      </c>
      <c r="BL12" s="8">
        <v>20154</v>
      </c>
      <c r="BM12" s="8">
        <v>19589</v>
      </c>
    </row>
    <row r="13" spans="1:65" s="8" customFormat="1">
      <c r="A13" s="26" t="s">
        <v>23</v>
      </c>
      <c r="B13" s="145">
        <f>ROUND(4550,0)</f>
        <v>4550</v>
      </c>
      <c r="C13" s="181">
        <f>ROUND(4928,0)</f>
        <v>4928</v>
      </c>
      <c r="D13" s="145">
        <f>ROUND(5045,0)</f>
        <v>5045</v>
      </c>
      <c r="E13" s="145">
        <f>ROUND(4678095/1000,0)</f>
        <v>4678</v>
      </c>
      <c r="F13" s="145">
        <f>ROUND(5050126/1000,0)</f>
        <v>5050</v>
      </c>
      <c r="G13" s="145">
        <f>ROUND(5622995/1000,0)</f>
        <v>5623</v>
      </c>
      <c r="H13" s="145">
        <f>ROUND(6122261/1000,0)</f>
        <v>6122</v>
      </c>
      <c r="I13" s="70">
        <f>ROUND(7596.981,0)</f>
        <v>7597</v>
      </c>
      <c r="J13" s="70">
        <f>ROUND(9989.527,0)</f>
        <v>9990</v>
      </c>
      <c r="K13" s="70">
        <v>10066.687</v>
      </c>
      <c r="L13" s="70">
        <v>9108.9349999999995</v>
      </c>
      <c r="M13" s="74">
        <f t="shared" si="0"/>
        <v>9048.777</v>
      </c>
      <c r="N13" s="70">
        <v>8988.6190000000006</v>
      </c>
      <c r="O13" s="70">
        <v>10364.73</v>
      </c>
      <c r="P13" s="146">
        <v>9910.35</v>
      </c>
      <c r="Q13" s="70">
        <v>10085.566999999999</v>
      </c>
      <c r="R13" s="70">
        <v>10646.831</v>
      </c>
      <c r="S13" s="70">
        <v>12309.338</v>
      </c>
      <c r="T13" s="76">
        <v>13149.242</v>
      </c>
      <c r="U13" s="76">
        <v>13643.826999999999</v>
      </c>
      <c r="V13" s="76">
        <v>12700.24</v>
      </c>
      <c r="W13" s="76">
        <v>25692.055</v>
      </c>
      <c r="X13" s="76">
        <v>22147.933000000001</v>
      </c>
      <c r="Y13" s="76">
        <v>12395.203</v>
      </c>
      <c r="Z13" s="76">
        <v>12795.099</v>
      </c>
      <c r="AA13" s="8">
        <v>10938.453</v>
      </c>
      <c r="AB13" s="8">
        <v>9240.5360000000001</v>
      </c>
      <c r="AC13" s="8">
        <v>9067.8719999999994</v>
      </c>
      <c r="AD13" s="8">
        <v>8634.3109999999997</v>
      </c>
      <c r="AE13" s="8">
        <v>8150.826</v>
      </c>
      <c r="AF13" s="8">
        <v>9059.7009999999991</v>
      </c>
      <c r="AG13" s="8">
        <v>9704.5390000000007</v>
      </c>
      <c r="AH13" s="185">
        <f>ROUND(10731,0)</f>
        <v>10731</v>
      </c>
      <c r="AI13" s="181">
        <f>ROUND(7886,0)</f>
        <v>7886</v>
      </c>
      <c r="AJ13" s="145">
        <f>ROUND(11106,0)</f>
        <v>11106</v>
      </c>
      <c r="AK13" s="145">
        <f>ROUND(10921,0)</f>
        <v>10921</v>
      </c>
      <c r="AL13" s="145">
        <f>ROUND(11621,0)</f>
        <v>11621</v>
      </c>
      <c r="AM13" s="145">
        <f>ROUND(12255,0)</f>
        <v>12255</v>
      </c>
      <c r="AN13" s="145">
        <f>ROUND(12284,0)</f>
        <v>12284</v>
      </c>
      <c r="AO13" s="70">
        <f>ROUND(12999,0)</f>
        <v>12999</v>
      </c>
      <c r="AP13" s="70">
        <f>ROUND(14916,0)</f>
        <v>14916</v>
      </c>
      <c r="AQ13" s="70">
        <v>14088</v>
      </c>
      <c r="AR13" s="70">
        <v>12556</v>
      </c>
      <c r="AS13" s="74">
        <f t="shared" si="5"/>
        <v>13168.5</v>
      </c>
      <c r="AT13" s="70">
        <v>13781</v>
      </c>
      <c r="AU13" s="70">
        <v>17114</v>
      </c>
      <c r="AV13" s="8">
        <v>14303</v>
      </c>
      <c r="AW13" s="8">
        <v>14021</v>
      </c>
      <c r="AX13" s="76">
        <v>15456</v>
      </c>
      <c r="AY13" s="8">
        <v>18158</v>
      </c>
      <c r="AZ13" s="8">
        <v>18868</v>
      </c>
      <c r="BA13" s="8">
        <v>19776</v>
      </c>
      <c r="BB13" s="8">
        <v>18978</v>
      </c>
      <c r="BC13" s="8">
        <v>24626</v>
      </c>
      <c r="BD13" s="8">
        <v>22819</v>
      </c>
      <c r="BE13" s="8">
        <v>18045</v>
      </c>
      <c r="BF13" s="8">
        <v>18652</v>
      </c>
      <c r="BG13" s="8">
        <v>17213</v>
      </c>
      <c r="BH13" s="8">
        <v>15171</v>
      </c>
      <c r="BI13" s="8">
        <v>17293</v>
      </c>
      <c r="BJ13" s="8">
        <v>15785</v>
      </c>
      <c r="BK13" s="8">
        <v>13901</v>
      </c>
      <c r="BL13" s="8">
        <v>13913</v>
      </c>
      <c r="BM13" s="8">
        <v>13424</v>
      </c>
    </row>
    <row r="14" spans="1:65" s="8" customFormat="1">
      <c r="A14" s="26" t="s">
        <v>24</v>
      </c>
      <c r="B14" s="145">
        <f>ROUND(5338,0)</f>
        <v>5338</v>
      </c>
      <c r="C14" s="181">
        <f>ROUND(6428,0)</f>
        <v>6428</v>
      </c>
      <c r="D14" s="145">
        <f>ROUND(6438,0)</f>
        <v>6438</v>
      </c>
      <c r="E14" s="145">
        <f>ROUND(6726196/1000,0)</f>
        <v>6726</v>
      </c>
      <c r="F14" s="145">
        <f>ROUND(6739685/1000,0)</f>
        <v>6740</v>
      </c>
      <c r="G14" s="145">
        <f>ROUND(7180420/1000,0)</f>
        <v>7180</v>
      </c>
      <c r="H14" s="145">
        <f>ROUND(7424818/1000,0)</f>
        <v>7425</v>
      </c>
      <c r="I14" s="70">
        <f>ROUND(8569.172,0)</f>
        <v>8569</v>
      </c>
      <c r="J14" s="70">
        <f>ROUND(9195.358,0)</f>
        <v>9195</v>
      </c>
      <c r="K14" s="70">
        <v>10083.732</v>
      </c>
      <c r="L14" s="70">
        <v>10218.753000000001</v>
      </c>
      <c r="M14" s="74">
        <f t="shared" si="0"/>
        <v>10778.901000000002</v>
      </c>
      <c r="N14" s="70">
        <v>11339.049000000001</v>
      </c>
      <c r="O14" s="70">
        <v>11945.123</v>
      </c>
      <c r="P14" s="146">
        <v>12627.036</v>
      </c>
      <c r="Q14" s="70">
        <v>13588.415000000001</v>
      </c>
      <c r="R14" s="70">
        <v>13888.78</v>
      </c>
      <c r="S14" s="70">
        <v>15167.855</v>
      </c>
      <c r="T14" s="76">
        <v>15267.546</v>
      </c>
      <c r="U14" s="76">
        <v>16013.377</v>
      </c>
      <c r="V14" s="76">
        <v>16173.724</v>
      </c>
      <c r="W14" s="76">
        <v>15738.736000000001</v>
      </c>
      <c r="X14" s="76">
        <v>15223.954</v>
      </c>
      <c r="Y14" s="76">
        <v>14858.934999999999</v>
      </c>
      <c r="Z14" s="76">
        <v>15165.222</v>
      </c>
      <c r="AA14" s="8">
        <v>15423.143</v>
      </c>
      <c r="AB14" s="8">
        <v>14855.163</v>
      </c>
      <c r="AC14" s="8">
        <v>13800.438</v>
      </c>
      <c r="AD14" s="8">
        <v>14054.643</v>
      </c>
      <c r="AE14" s="8">
        <v>13729.537</v>
      </c>
      <c r="AF14" s="8">
        <v>14551.109</v>
      </c>
      <c r="AG14" s="8">
        <v>14741.886</v>
      </c>
      <c r="AH14" s="185">
        <f>ROUND(10507,0)</f>
        <v>10507</v>
      </c>
      <c r="AI14" s="181">
        <f>ROUND(10264,0)</f>
        <v>10264</v>
      </c>
      <c r="AJ14" s="145">
        <f>ROUND(9252,0)</f>
        <v>9252</v>
      </c>
      <c r="AK14" s="145">
        <f>ROUND(9587,0)</f>
        <v>9587</v>
      </c>
      <c r="AL14" s="145">
        <f>ROUND(10137,0)</f>
        <v>10137</v>
      </c>
      <c r="AM14" s="145">
        <f>ROUND(11053,0)</f>
        <v>11053</v>
      </c>
      <c r="AN14" s="145">
        <f>ROUND(10953,0)</f>
        <v>10953</v>
      </c>
      <c r="AO14" s="70">
        <f>ROUND(13346,0)</f>
        <v>13346</v>
      </c>
      <c r="AP14" s="70">
        <f>ROUND(14801,0)</f>
        <v>14801</v>
      </c>
      <c r="AQ14" s="70">
        <v>17065</v>
      </c>
      <c r="AR14" s="70">
        <v>17467</v>
      </c>
      <c r="AS14" s="74">
        <f t="shared" si="5"/>
        <v>18096</v>
      </c>
      <c r="AT14" s="70">
        <v>18725</v>
      </c>
      <c r="AU14" s="70">
        <v>18951</v>
      </c>
      <c r="AV14" s="8">
        <v>19681</v>
      </c>
      <c r="AW14" s="8">
        <v>20355</v>
      </c>
      <c r="AX14" s="76">
        <v>19264</v>
      </c>
      <c r="AY14" s="8">
        <v>20496</v>
      </c>
      <c r="AZ14" s="8">
        <v>19578</v>
      </c>
      <c r="BA14" s="8">
        <v>20882</v>
      </c>
      <c r="BB14" s="8">
        <v>23386</v>
      </c>
      <c r="BC14" s="8">
        <v>21254</v>
      </c>
      <c r="BD14" s="8">
        <v>21561</v>
      </c>
      <c r="BE14" s="8">
        <v>20749</v>
      </c>
      <c r="BF14" s="8">
        <v>21743</v>
      </c>
      <c r="BG14" s="8">
        <v>23391</v>
      </c>
      <c r="BH14" s="8">
        <v>23740</v>
      </c>
      <c r="BI14" s="8">
        <v>22904</v>
      </c>
      <c r="BJ14" s="8">
        <v>22682</v>
      </c>
      <c r="BK14" s="8">
        <v>21251</v>
      </c>
      <c r="BL14" s="8">
        <v>22654</v>
      </c>
      <c r="BM14" s="8">
        <v>21079</v>
      </c>
    </row>
    <row r="15" spans="1:65" s="8" customFormat="1">
      <c r="A15" s="26" t="s">
        <v>25</v>
      </c>
      <c r="B15" s="145">
        <f>ROUND(4621,0)</f>
        <v>4621</v>
      </c>
      <c r="C15" s="181">
        <f>ROUND(5073,0)</f>
        <v>5073</v>
      </c>
      <c r="D15" s="145">
        <f>ROUND(4932,0)</f>
        <v>4932</v>
      </c>
      <c r="E15" s="145">
        <f>ROUND(5208570/1000,0)</f>
        <v>5209</v>
      </c>
      <c r="F15" s="145">
        <f>ROUND(5535892/1000,0)</f>
        <v>5536</v>
      </c>
      <c r="G15" s="145">
        <f>ROUND(5776719/1000,0)</f>
        <v>5777</v>
      </c>
      <c r="H15" s="145">
        <f>ROUND(6127072/1000,0)</f>
        <v>6127</v>
      </c>
      <c r="I15" s="70">
        <f>ROUND(7013.073,0)</f>
        <v>7013</v>
      </c>
      <c r="J15" s="70">
        <f>ROUND(7210.711,0)</f>
        <v>7211</v>
      </c>
      <c r="K15" s="70">
        <v>7856.9279999999999</v>
      </c>
      <c r="L15" s="70">
        <v>7930.6679999999997</v>
      </c>
      <c r="M15" s="74">
        <f t="shared" si="0"/>
        <v>7988.6659999999993</v>
      </c>
      <c r="N15" s="70">
        <v>8046.6639999999998</v>
      </c>
      <c r="O15" s="70">
        <v>8050.1639999999998</v>
      </c>
      <c r="P15" s="146">
        <v>8117.723</v>
      </c>
      <c r="Q15" s="70">
        <v>8904.0190000000002</v>
      </c>
      <c r="R15" s="70">
        <v>8930.6650000000009</v>
      </c>
      <c r="S15" s="70">
        <v>10076.267</v>
      </c>
      <c r="T15" s="76">
        <v>10908.912</v>
      </c>
      <c r="U15" s="76">
        <v>10306.812</v>
      </c>
      <c r="V15" s="76">
        <v>10015.937</v>
      </c>
      <c r="W15" s="76">
        <v>10408.543</v>
      </c>
      <c r="X15" s="76">
        <v>9559.2289999999994</v>
      </c>
      <c r="Y15" s="76">
        <v>9499.2890000000007</v>
      </c>
      <c r="Z15" s="76">
        <v>9277.3559999999998</v>
      </c>
      <c r="AA15" s="8">
        <v>9436.3870000000006</v>
      </c>
      <c r="AB15" s="8">
        <v>9055.4770000000008</v>
      </c>
      <c r="AC15" s="8">
        <v>9165.19</v>
      </c>
      <c r="AD15" s="8">
        <v>9008.6869999999999</v>
      </c>
      <c r="AE15" s="8">
        <v>8964.0259999999998</v>
      </c>
      <c r="AF15" s="8">
        <v>9468.6610000000001</v>
      </c>
      <c r="AG15" s="8">
        <v>10003.81</v>
      </c>
      <c r="AH15" s="185">
        <f>ROUND(9495,0)</f>
        <v>9495</v>
      </c>
      <c r="AI15" s="181">
        <f>ROUND(8155,0)</f>
        <v>8155</v>
      </c>
      <c r="AJ15" s="145">
        <f>ROUND(8973,0)</f>
        <v>8973</v>
      </c>
      <c r="AK15" s="145">
        <f>ROUND(8401,0)</f>
        <v>8401</v>
      </c>
      <c r="AL15" s="145">
        <f>ROUND(10856,0)</f>
        <v>10856</v>
      </c>
      <c r="AM15" s="145">
        <f>ROUND(10272,0)</f>
        <v>10272</v>
      </c>
      <c r="AN15" s="145">
        <f>ROUND(10612,0)</f>
        <v>10612</v>
      </c>
      <c r="AO15" s="70">
        <f>ROUND(10852,0)</f>
        <v>10852</v>
      </c>
      <c r="AP15" s="70">
        <f>ROUND(12170,0)</f>
        <v>12170</v>
      </c>
      <c r="AQ15" s="70">
        <v>11942</v>
      </c>
      <c r="AR15" s="70">
        <v>11060</v>
      </c>
      <c r="AS15" s="74">
        <f t="shared" si="5"/>
        <v>11291</v>
      </c>
      <c r="AT15" s="70">
        <v>11522</v>
      </c>
      <c r="AU15" s="70">
        <v>12328</v>
      </c>
      <c r="AV15" s="8">
        <v>12954</v>
      </c>
      <c r="AW15" s="8">
        <v>12529</v>
      </c>
      <c r="AX15" s="76">
        <v>13686</v>
      </c>
      <c r="AY15" s="8">
        <v>14962</v>
      </c>
      <c r="AZ15" s="8">
        <v>17116</v>
      </c>
      <c r="BA15" s="8">
        <v>16980</v>
      </c>
      <c r="BB15" s="8">
        <v>15713</v>
      </c>
      <c r="BC15" s="8">
        <v>15926</v>
      </c>
      <c r="BD15" s="8">
        <v>15169</v>
      </c>
      <c r="BE15" s="8">
        <v>14177</v>
      </c>
      <c r="BF15" s="8">
        <v>14766</v>
      </c>
      <c r="BG15" s="8">
        <v>15999</v>
      </c>
      <c r="BH15" s="8">
        <v>14360</v>
      </c>
      <c r="BI15" s="8">
        <v>14114</v>
      </c>
      <c r="BJ15" s="8">
        <v>11963</v>
      </c>
      <c r="BK15" s="8">
        <v>13065</v>
      </c>
      <c r="BL15" s="8">
        <v>20049</v>
      </c>
      <c r="BM15" s="8">
        <v>14195</v>
      </c>
    </row>
    <row r="16" spans="1:65" s="8" customFormat="1">
      <c r="A16" s="26" t="s">
        <v>26</v>
      </c>
      <c r="B16" s="145">
        <f>ROUND(8808,0)</f>
        <v>8808</v>
      </c>
      <c r="C16" s="181">
        <f>ROUND(9771,0)</f>
        <v>9771</v>
      </c>
      <c r="D16" s="145">
        <f>ROUND(9283,0)</f>
        <v>9283</v>
      </c>
      <c r="E16" s="145">
        <f>ROUND(10612088/1000,0)</f>
        <v>10612</v>
      </c>
      <c r="F16" s="145">
        <f>ROUND(10357365/1000,0)</f>
        <v>10357</v>
      </c>
      <c r="G16" s="145">
        <f>ROUND(11320788/1000,0)</f>
        <v>11321</v>
      </c>
      <c r="H16" s="145">
        <f>ROUND(12090504/1000,0)</f>
        <v>12091</v>
      </c>
      <c r="I16" s="70">
        <f>ROUND(13939.342,0)</f>
        <v>13939</v>
      </c>
      <c r="J16" s="70">
        <f>ROUND(13819.899,0)</f>
        <v>13820</v>
      </c>
      <c r="K16" s="70">
        <v>16222.727000000001</v>
      </c>
      <c r="L16" s="70">
        <v>16486.348000000002</v>
      </c>
      <c r="M16" s="74">
        <f t="shared" si="0"/>
        <v>16558.181499999999</v>
      </c>
      <c r="N16" s="70">
        <v>16630.014999999999</v>
      </c>
      <c r="O16" s="70">
        <v>17767.13</v>
      </c>
      <c r="P16" s="146">
        <v>19583.005000000001</v>
      </c>
      <c r="Q16" s="70">
        <v>22122.905999999999</v>
      </c>
      <c r="R16" s="70">
        <v>23117.887999999999</v>
      </c>
      <c r="S16" s="70">
        <v>21154.268</v>
      </c>
      <c r="T16" s="76">
        <v>21502.641</v>
      </c>
      <c r="U16" s="76">
        <v>23187.002</v>
      </c>
      <c r="V16" s="76">
        <v>23634.996999999999</v>
      </c>
      <c r="W16" s="76">
        <v>23660.027999999998</v>
      </c>
      <c r="X16" s="76">
        <v>23724.420999999998</v>
      </c>
      <c r="Y16" s="76">
        <v>23817.069</v>
      </c>
      <c r="Z16" s="76">
        <v>22576.001</v>
      </c>
      <c r="AA16" s="8">
        <v>23535.83</v>
      </c>
      <c r="AB16" s="8">
        <v>22272.044000000002</v>
      </c>
      <c r="AC16" s="8">
        <v>21227.975999999999</v>
      </c>
      <c r="AD16" s="8">
        <v>21282.715</v>
      </c>
      <c r="AE16" s="8">
        <v>21031.896000000001</v>
      </c>
      <c r="AF16" s="8">
        <v>22654.778999999999</v>
      </c>
      <c r="AG16" s="8">
        <v>22942.523000000001</v>
      </c>
      <c r="AH16" s="185">
        <f>ROUND(14979,0)</f>
        <v>14979</v>
      </c>
      <c r="AI16" s="181">
        <f>ROUND(15752,0)</f>
        <v>15752</v>
      </c>
      <c r="AJ16" s="145">
        <f>ROUND(13753,0)</f>
        <v>13753</v>
      </c>
      <c r="AK16" s="145">
        <f>ROUND(13988,0)</f>
        <v>13988</v>
      </c>
      <c r="AL16" s="145">
        <f>ROUND(14243,0)</f>
        <v>14243</v>
      </c>
      <c r="AM16" s="145">
        <f>ROUND(15756,0)</f>
        <v>15756</v>
      </c>
      <c r="AN16" s="145">
        <f>ROUND(16899,0)</f>
        <v>16899</v>
      </c>
      <c r="AO16" s="70">
        <f>ROUND(18803,0)</f>
        <v>18803</v>
      </c>
      <c r="AP16" s="70">
        <f>ROUND(20864,0)</f>
        <v>20864</v>
      </c>
      <c r="AQ16" s="70">
        <v>23697</v>
      </c>
      <c r="AR16" s="70">
        <v>22657</v>
      </c>
      <c r="AS16" s="74">
        <f t="shared" si="5"/>
        <v>23107</v>
      </c>
      <c r="AT16" s="70">
        <v>23557</v>
      </c>
      <c r="AU16" s="70">
        <v>23585</v>
      </c>
      <c r="AV16" s="8">
        <v>22945</v>
      </c>
      <c r="AW16" s="8">
        <v>23070</v>
      </c>
      <c r="AX16" s="76">
        <v>22200</v>
      </c>
      <c r="AY16" s="8">
        <v>22953</v>
      </c>
      <c r="AZ16" s="8">
        <v>23537</v>
      </c>
      <c r="BA16" s="8">
        <v>23860</v>
      </c>
      <c r="BB16" s="8">
        <v>25399</v>
      </c>
      <c r="BC16" s="8">
        <v>26361</v>
      </c>
      <c r="BD16" s="8">
        <v>26737</v>
      </c>
      <c r="BE16" s="8">
        <v>25394</v>
      </c>
      <c r="BF16" s="8">
        <v>26047</v>
      </c>
      <c r="BG16" s="8">
        <v>27788</v>
      </c>
      <c r="BH16" s="8">
        <v>28539</v>
      </c>
      <c r="BI16" s="8">
        <v>30959</v>
      </c>
      <c r="BJ16" s="8">
        <v>30609</v>
      </c>
      <c r="BK16" s="8">
        <v>30705</v>
      </c>
      <c r="BL16" s="8">
        <v>32048</v>
      </c>
      <c r="BM16" s="8">
        <v>29983</v>
      </c>
    </row>
    <row r="17" spans="1:65" s="8" customFormat="1">
      <c r="A17" s="26" t="s">
        <v>27</v>
      </c>
      <c r="B17" s="145">
        <f>ROUND(3531,0)</f>
        <v>3531</v>
      </c>
      <c r="C17" s="181">
        <f>ROUND(4428,0)</f>
        <v>4428</v>
      </c>
      <c r="D17" s="145">
        <f>ROUND(4210,0)</f>
        <v>4210</v>
      </c>
      <c r="E17" s="145">
        <f>ROUND(4514347/1000,0)</f>
        <v>4514</v>
      </c>
      <c r="F17" s="145">
        <f>ROUND(4467882/1000,0)</f>
        <v>4468</v>
      </c>
      <c r="G17" s="145">
        <f>ROUND(4970986/1000,0)</f>
        <v>4971</v>
      </c>
      <c r="H17" s="145">
        <f>ROUND(5644763/1000,0)</f>
        <v>5645</v>
      </c>
      <c r="I17" s="70">
        <f>ROUND(6734.212,0)</f>
        <v>6734</v>
      </c>
      <c r="J17" s="70">
        <f>ROUND(7384.251,0)</f>
        <v>7384</v>
      </c>
      <c r="K17" s="70">
        <v>8359.2819999999992</v>
      </c>
      <c r="L17" s="70">
        <v>8059.52</v>
      </c>
      <c r="M17" s="74">
        <f t="shared" si="0"/>
        <v>8101.8440000000001</v>
      </c>
      <c r="N17" s="70">
        <v>8144.1679999999997</v>
      </c>
      <c r="O17" s="70">
        <v>8069.2160000000003</v>
      </c>
      <c r="P17" s="146">
        <v>7983.8209999999999</v>
      </c>
      <c r="Q17" s="70">
        <v>8449.6309999999994</v>
      </c>
      <c r="R17" s="70">
        <v>8108.759</v>
      </c>
      <c r="S17" s="70">
        <v>9494.5830000000005</v>
      </c>
      <c r="T17" s="76">
        <v>9341.402</v>
      </c>
      <c r="U17" s="76">
        <v>9113.8469999999998</v>
      </c>
      <c r="V17" s="76">
        <v>8949.8089999999993</v>
      </c>
      <c r="W17" s="76">
        <v>8962.3150000000005</v>
      </c>
      <c r="X17" s="76">
        <v>9375.4950000000008</v>
      </c>
      <c r="Y17" s="76">
        <v>9399.7569999999996</v>
      </c>
      <c r="Z17" s="76">
        <v>9009.1350000000002</v>
      </c>
      <c r="AA17" s="8">
        <v>8711.9310000000005</v>
      </c>
      <c r="AB17" s="8">
        <v>8268.4339999999993</v>
      </c>
      <c r="AC17" s="8">
        <v>7921.3869999999997</v>
      </c>
      <c r="AD17" s="8">
        <v>8141.6</v>
      </c>
      <c r="AE17" s="8">
        <v>8119.1580000000004</v>
      </c>
      <c r="AF17" s="8">
        <v>7983.8829999999998</v>
      </c>
      <c r="AG17" s="8">
        <v>7884.3819999999996</v>
      </c>
      <c r="AH17" s="185">
        <f>ROUND(9162,0)</f>
        <v>9162</v>
      </c>
      <c r="AI17" s="181">
        <f>ROUND(7135,0)</f>
        <v>7135</v>
      </c>
      <c r="AJ17" s="145">
        <f>ROUND(9887,0)</f>
        <v>9887</v>
      </c>
      <c r="AK17" s="145">
        <f>ROUND(10124,0)</f>
        <v>10124</v>
      </c>
      <c r="AL17" s="145">
        <f>ROUND(9856,0)</f>
        <v>9856</v>
      </c>
      <c r="AM17" s="145">
        <f>ROUND(10797,0)</f>
        <v>10797</v>
      </c>
      <c r="AN17" s="145">
        <f>ROUND(11445,0)</f>
        <v>11445</v>
      </c>
      <c r="AO17" s="70">
        <f>ROUND(13045,0)</f>
        <v>13045</v>
      </c>
      <c r="AP17" s="70">
        <f>ROUND(13226,0)</f>
        <v>13226</v>
      </c>
      <c r="AQ17" s="70">
        <v>17339</v>
      </c>
      <c r="AR17" s="70">
        <v>12805</v>
      </c>
      <c r="AS17" s="74">
        <f t="shared" si="5"/>
        <v>13098.5</v>
      </c>
      <c r="AT17" s="70">
        <v>13392</v>
      </c>
      <c r="AU17" s="70">
        <v>13184</v>
      </c>
      <c r="AV17" s="8">
        <v>13837</v>
      </c>
      <c r="AW17" s="8">
        <v>13688</v>
      </c>
      <c r="AX17" s="76">
        <v>13896</v>
      </c>
      <c r="AY17" s="8">
        <v>15306</v>
      </c>
      <c r="AZ17" s="8">
        <v>15041</v>
      </c>
      <c r="BA17" s="8">
        <v>15122</v>
      </c>
      <c r="BB17" s="8">
        <v>15673</v>
      </c>
      <c r="BC17" s="8">
        <v>15723</v>
      </c>
      <c r="BD17" s="8">
        <v>15189</v>
      </c>
      <c r="BE17" s="8">
        <v>15040</v>
      </c>
      <c r="BF17" s="8">
        <v>14588</v>
      </c>
      <c r="BG17" s="8">
        <v>14133</v>
      </c>
      <c r="BH17" s="8">
        <v>14550</v>
      </c>
      <c r="BI17" s="8">
        <v>14587</v>
      </c>
      <c r="BJ17" s="8">
        <v>14859</v>
      </c>
      <c r="BK17" s="8">
        <v>13638</v>
      </c>
      <c r="BL17" s="8">
        <v>14254</v>
      </c>
      <c r="BM17" s="8">
        <v>14781</v>
      </c>
    </row>
    <row r="18" spans="1:65" s="8" customFormat="1">
      <c r="A18" s="26" t="s">
        <v>28</v>
      </c>
      <c r="B18" s="145">
        <f>ROUND(4152,0)</f>
        <v>4152</v>
      </c>
      <c r="C18" s="181">
        <f>ROUND(4871,0)</f>
        <v>4871</v>
      </c>
      <c r="D18" s="145">
        <f>ROUND(4801,0)</f>
        <v>4801</v>
      </c>
      <c r="E18" s="145">
        <f>ROUND(5086587/1000,0)</f>
        <v>5087</v>
      </c>
      <c r="F18" s="145">
        <f>ROUND(5044491/1000,0)</f>
        <v>5044</v>
      </c>
      <c r="G18" s="145">
        <f>ROUND(5462951/1000,0)</f>
        <v>5463</v>
      </c>
      <c r="H18" s="145">
        <f>ROUND(5948837/1000,0)</f>
        <v>5949</v>
      </c>
      <c r="I18" s="70">
        <f>ROUND(5701.406,0)</f>
        <v>5701</v>
      </c>
      <c r="J18" s="70">
        <f>ROUND(7014.704,0)</f>
        <v>7015</v>
      </c>
      <c r="K18" s="70">
        <v>8421.1740000000009</v>
      </c>
      <c r="L18" s="70">
        <v>8574.52</v>
      </c>
      <c r="M18" s="74">
        <f t="shared" si="0"/>
        <v>8561.2865000000002</v>
      </c>
      <c r="N18" s="70">
        <v>8548.0529999999999</v>
      </c>
      <c r="O18" s="70">
        <v>9034.76</v>
      </c>
      <c r="P18" s="146">
        <v>8800.5689999999995</v>
      </c>
      <c r="Q18" s="70">
        <v>10741.967000000001</v>
      </c>
      <c r="R18" s="70">
        <v>11474.157999999999</v>
      </c>
      <c r="S18" s="70">
        <v>12124.995999999999</v>
      </c>
      <c r="T18" s="76">
        <v>12826.721</v>
      </c>
      <c r="U18" s="76">
        <v>12713.074000000001</v>
      </c>
      <c r="V18" s="76">
        <v>12989.662</v>
      </c>
      <c r="W18" s="76">
        <v>13319.388000000001</v>
      </c>
      <c r="X18" s="76">
        <v>13867.584999999999</v>
      </c>
      <c r="Y18" s="76">
        <v>12900.657999999999</v>
      </c>
      <c r="Z18" s="76">
        <v>13528.130999999999</v>
      </c>
      <c r="AA18" s="8">
        <v>13391.691000000001</v>
      </c>
      <c r="AB18" s="8">
        <v>12220.778</v>
      </c>
      <c r="AC18" s="8">
        <v>11993.502</v>
      </c>
      <c r="AD18" s="8">
        <v>12177.638999999999</v>
      </c>
      <c r="AE18" s="8">
        <v>11419.352999999999</v>
      </c>
      <c r="AF18" s="8">
        <v>11908.561</v>
      </c>
      <c r="AG18" s="8">
        <v>12714.284</v>
      </c>
      <c r="AH18" s="185">
        <f>ROUND(8681,0)</f>
        <v>8681</v>
      </c>
      <c r="AI18" s="181">
        <f>ROUND(7614,0)</f>
        <v>7614</v>
      </c>
      <c r="AJ18" s="145">
        <f>ROUND(9120,0)</f>
        <v>9120</v>
      </c>
      <c r="AK18" s="145">
        <f>ROUND(9132,0)</f>
        <v>9132</v>
      </c>
      <c r="AL18" s="145">
        <f>ROUND(8923,0)</f>
        <v>8923</v>
      </c>
      <c r="AM18" s="145">
        <f>ROUND(9888,0)</f>
        <v>9888</v>
      </c>
      <c r="AN18" s="145">
        <f>ROUND(10667,0)</f>
        <v>10667</v>
      </c>
      <c r="AO18" s="70">
        <f>ROUND(10218,0)</f>
        <v>10218</v>
      </c>
      <c r="AP18" s="70">
        <f>ROUND(11384,0)</f>
        <v>11384</v>
      </c>
      <c r="AQ18" s="70">
        <v>13728</v>
      </c>
      <c r="AR18" s="70">
        <v>14315</v>
      </c>
      <c r="AS18" s="74">
        <f t="shared" si="5"/>
        <v>13864.5</v>
      </c>
      <c r="AT18" s="70">
        <v>13414</v>
      </c>
      <c r="AU18" s="70">
        <v>13326</v>
      </c>
      <c r="AV18" s="8">
        <v>13335</v>
      </c>
      <c r="AW18" s="8">
        <v>15101</v>
      </c>
      <c r="AX18" s="76">
        <v>15606</v>
      </c>
      <c r="AY18" s="8">
        <v>16059</v>
      </c>
      <c r="AZ18" s="8">
        <v>16837</v>
      </c>
      <c r="BA18" s="8">
        <v>17449</v>
      </c>
      <c r="BB18" s="8">
        <v>17300</v>
      </c>
      <c r="BC18" s="8">
        <v>16574</v>
      </c>
      <c r="BD18" s="8">
        <v>15857</v>
      </c>
      <c r="BE18" s="8">
        <v>15246</v>
      </c>
      <c r="BF18" s="8">
        <v>15759</v>
      </c>
      <c r="BG18" s="8">
        <v>15053</v>
      </c>
      <c r="BH18" s="8">
        <v>14490</v>
      </c>
      <c r="BI18" s="8">
        <v>14719</v>
      </c>
      <c r="BJ18" s="8">
        <v>14510</v>
      </c>
      <c r="BK18" s="8">
        <v>14043</v>
      </c>
      <c r="BL18" s="8">
        <v>14940</v>
      </c>
      <c r="BM18" s="8">
        <v>15092</v>
      </c>
    </row>
    <row r="19" spans="1:65" s="8" customFormat="1">
      <c r="A19" s="26" t="s">
        <v>29</v>
      </c>
      <c r="B19" s="145">
        <f>ROUND(5970,0)</f>
        <v>5970</v>
      </c>
      <c r="C19" s="181">
        <f>ROUND(6872,0)</f>
        <v>6872</v>
      </c>
      <c r="D19" s="145">
        <f>ROUND(6825,0)</f>
        <v>6825</v>
      </c>
      <c r="E19" s="145">
        <f>ROUND(6978780/1000,0)</f>
        <v>6979</v>
      </c>
      <c r="F19" s="145">
        <f>ROUND(7276333/1000,0)</f>
        <v>7276</v>
      </c>
      <c r="G19" s="145">
        <f>ROUND(7912894/1000,0)</f>
        <v>7913</v>
      </c>
      <c r="H19" s="145">
        <f>ROUND(8835721/1000,0)</f>
        <v>8836</v>
      </c>
      <c r="I19" s="70">
        <f>ROUND(10498.841,0)</f>
        <v>10499</v>
      </c>
      <c r="J19" s="70">
        <f>ROUND(12061.549,0)</f>
        <v>12062</v>
      </c>
      <c r="K19" s="70">
        <v>13127.267</v>
      </c>
      <c r="L19" s="70">
        <v>13102.814</v>
      </c>
      <c r="M19" s="74">
        <f t="shared" si="0"/>
        <v>12793.979500000001</v>
      </c>
      <c r="N19" s="70">
        <v>12485.145</v>
      </c>
      <c r="O19" s="70">
        <v>13172.365</v>
      </c>
      <c r="P19" s="146">
        <v>13819.111000000001</v>
      </c>
      <c r="Q19" s="70">
        <v>14968.731</v>
      </c>
      <c r="R19" s="70">
        <v>14945.757</v>
      </c>
      <c r="S19" s="70">
        <v>16199.66</v>
      </c>
      <c r="T19" s="76">
        <v>17549.685000000001</v>
      </c>
      <c r="U19" s="76">
        <v>18960.603999999999</v>
      </c>
      <c r="V19" s="76">
        <v>18796.293000000001</v>
      </c>
      <c r="W19" s="76">
        <v>17571.606</v>
      </c>
      <c r="X19" s="76">
        <v>18438.766</v>
      </c>
      <c r="Y19" s="76">
        <v>18537.091</v>
      </c>
      <c r="Z19" s="76">
        <v>17518.963</v>
      </c>
      <c r="AA19" s="8">
        <v>19366.472000000002</v>
      </c>
      <c r="AB19" s="8">
        <v>16549.447</v>
      </c>
      <c r="AC19" s="8">
        <v>15742.698</v>
      </c>
      <c r="AD19" s="8">
        <v>14993.843999999999</v>
      </c>
      <c r="AE19" s="8">
        <v>14076.04</v>
      </c>
      <c r="AF19" s="8">
        <v>15333.793</v>
      </c>
      <c r="AG19" s="8">
        <v>15165.287</v>
      </c>
      <c r="AH19" s="185">
        <f>ROUND(11411,0)</f>
        <v>11411</v>
      </c>
      <c r="AI19" s="181">
        <f>ROUND(11057,0)</f>
        <v>11057</v>
      </c>
      <c r="AJ19" s="145">
        <f>ROUND(10718,0)</f>
        <v>10718</v>
      </c>
      <c r="AK19" s="145">
        <f>ROUND(11276,0)</f>
        <v>11276</v>
      </c>
      <c r="AL19" s="145">
        <f>ROUND(12455,0)</f>
        <v>12455</v>
      </c>
      <c r="AM19" s="145">
        <f>ROUND(13688,0)</f>
        <v>13688</v>
      </c>
      <c r="AN19" s="145">
        <f>ROUND(14904,0)</f>
        <v>14904</v>
      </c>
      <c r="AO19" s="70">
        <f>ROUND(17628,0)</f>
        <v>17628</v>
      </c>
      <c r="AP19" s="70">
        <f>ROUND(18487,0)</f>
        <v>18487</v>
      </c>
      <c r="AQ19" s="70">
        <v>20049</v>
      </c>
      <c r="AR19" s="70">
        <v>17511</v>
      </c>
      <c r="AS19" s="74">
        <f t="shared" si="5"/>
        <v>17913</v>
      </c>
      <c r="AT19" s="70">
        <v>18315</v>
      </c>
      <c r="AU19" s="70">
        <v>18656</v>
      </c>
      <c r="AV19" s="8">
        <v>20520</v>
      </c>
      <c r="AW19" s="8">
        <v>20944</v>
      </c>
      <c r="AX19" s="76">
        <v>21853</v>
      </c>
      <c r="AY19" s="8">
        <v>23126</v>
      </c>
      <c r="AZ19" s="8">
        <v>24397</v>
      </c>
      <c r="BA19" s="8">
        <v>25162</v>
      </c>
      <c r="BB19" s="8">
        <v>26648</v>
      </c>
      <c r="BC19" s="8">
        <v>25658</v>
      </c>
      <c r="BD19" s="8">
        <v>27363</v>
      </c>
      <c r="BE19" s="8">
        <v>27639</v>
      </c>
      <c r="BF19" s="8">
        <v>26962</v>
      </c>
      <c r="BG19" s="8">
        <v>31310</v>
      </c>
      <c r="BH19" s="8">
        <v>29367</v>
      </c>
      <c r="BI19" s="8">
        <v>28342</v>
      </c>
      <c r="BJ19" s="8">
        <v>23266</v>
      </c>
      <c r="BK19" s="8">
        <v>22095</v>
      </c>
      <c r="BL19" s="8">
        <v>22002</v>
      </c>
      <c r="BM19" s="8">
        <v>20953</v>
      </c>
    </row>
    <row r="20" spans="1:65" s="8" customFormat="1">
      <c r="A20" s="26" t="s">
        <v>30</v>
      </c>
      <c r="B20" s="145">
        <f>ROUND(16697,0)</f>
        <v>16697</v>
      </c>
      <c r="C20" s="181">
        <f>ROUND(19767,0)</f>
        <v>19767</v>
      </c>
      <c r="D20" s="145">
        <f>ROUND(19080,0)</f>
        <v>19080</v>
      </c>
      <c r="E20" s="145">
        <f>ROUND(19073031/1000,0)</f>
        <v>19073</v>
      </c>
      <c r="F20" s="145">
        <f>ROUND(20224083/1000,0)</f>
        <v>20224</v>
      </c>
      <c r="G20" s="145">
        <f>ROUND(21672753/1000,0)</f>
        <v>21673</v>
      </c>
      <c r="H20" s="145">
        <f>ROUND(23552449/1000,0)</f>
        <v>23552</v>
      </c>
      <c r="I20" s="70">
        <f>ROUND(26420.098,0)</f>
        <v>26420</v>
      </c>
      <c r="J20" s="70">
        <f>ROUND(29369.886,0)</f>
        <v>29370</v>
      </c>
      <c r="K20" s="70">
        <v>33774.9</v>
      </c>
      <c r="L20" s="70">
        <v>33900.377</v>
      </c>
      <c r="M20" s="74">
        <f t="shared" si="0"/>
        <v>35434.190999999999</v>
      </c>
      <c r="N20" s="70">
        <v>36968.004999999997</v>
      </c>
      <c r="O20" s="70">
        <v>39267.209000000003</v>
      </c>
      <c r="P20" s="146">
        <v>43637.792000000001</v>
      </c>
      <c r="Q20" s="70">
        <v>42046.031000000003</v>
      </c>
      <c r="R20" s="70">
        <v>42607.209000000003</v>
      </c>
      <c r="S20" s="70">
        <v>49283.275000000001</v>
      </c>
      <c r="T20" s="76">
        <v>52038.578999999998</v>
      </c>
      <c r="U20" s="76">
        <v>54455.131999999998</v>
      </c>
      <c r="V20" s="76">
        <v>57447.245000000003</v>
      </c>
      <c r="W20" s="76">
        <v>59040.288</v>
      </c>
      <c r="X20" s="76">
        <v>60817.178999999996</v>
      </c>
      <c r="Y20" s="76">
        <v>59754.489000000001</v>
      </c>
      <c r="Z20" s="76">
        <v>58326.900999999998</v>
      </c>
      <c r="AA20" s="8">
        <v>57732.775000000001</v>
      </c>
      <c r="AB20" s="8">
        <v>53360.892999999996</v>
      </c>
      <c r="AC20" s="8">
        <v>49516.142</v>
      </c>
      <c r="AD20" s="8">
        <v>48680.584999999999</v>
      </c>
      <c r="AE20" s="8">
        <v>47069.606</v>
      </c>
      <c r="AF20" s="8">
        <v>48116.885000000002</v>
      </c>
      <c r="AG20" s="8">
        <v>50037.955999999998</v>
      </c>
      <c r="AH20" s="185">
        <f>ROUND(32949,0)</f>
        <v>32949</v>
      </c>
      <c r="AI20" s="181">
        <f>ROUND(31629,0)</f>
        <v>31629</v>
      </c>
      <c r="AJ20" s="145">
        <f>ROUND(30726,0)</f>
        <v>30726</v>
      </c>
      <c r="AK20" s="145">
        <f>ROUND(32792,0)</f>
        <v>32792</v>
      </c>
      <c r="AL20" s="145">
        <f>ROUND(31806,0)</f>
        <v>31806</v>
      </c>
      <c r="AM20" s="145">
        <f>ROUND(34638,0)</f>
        <v>34638</v>
      </c>
      <c r="AN20" s="145">
        <f>ROUND(36726,0)</f>
        <v>36726</v>
      </c>
      <c r="AO20" s="70">
        <f>ROUND(41679,0)</f>
        <v>41679</v>
      </c>
      <c r="AP20" s="70">
        <f>ROUND(46813,0)</f>
        <v>46813</v>
      </c>
      <c r="AQ20" s="70">
        <v>54052</v>
      </c>
      <c r="AR20" s="70">
        <v>56614</v>
      </c>
      <c r="AS20" s="74">
        <f t="shared" si="5"/>
        <v>57121</v>
      </c>
      <c r="AT20" s="70">
        <v>57628</v>
      </c>
      <c r="AU20" s="70">
        <v>56947</v>
      </c>
      <c r="AV20" s="8">
        <v>64133</v>
      </c>
      <c r="AW20" s="8">
        <v>60869</v>
      </c>
      <c r="AX20" s="76">
        <v>59226</v>
      </c>
      <c r="AY20" s="8">
        <v>69646</v>
      </c>
      <c r="AZ20" s="8">
        <v>72361</v>
      </c>
      <c r="BA20" s="8">
        <v>73422</v>
      </c>
      <c r="BB20" s="8">
        <v>74367</v>
      </c>
      <c r="BC20" s="8">
        <v>77923</v>
      </c>
      <c r="BD20" s="8">
        <v>77991</v>
      </c>
      <c r="BE20" s="8">
        <v>80648</v>
      </c>
      <c r="BF20" s="8">
        <v>84161</v>
      </c>
      <c r="BG20" s="8">
        <v>87596</v>
      </c>
      <c r="BH20" s="8">
        <v>83956</v>
      </c>
      <c r="BI20" s="8">
        <v>80258</v>
      </c>
      <c r="BJ20" s="8">
        <v>73860</v>
      </c>
      <c r="BK20" s="8">
        <v>72445</v>
      </c>
      <c r="BL20" s="8">
        <v>71990</v>
      </c>
      <c r="BM20" s="8">
        <v>67489</v>
      </c>
    </row>
    <row r="21" spans="1:65" s="8" customFormat="1">
      <c r="A21" s="26" t="s">
        <v>31</v>
      </c>
      <c r="B21" s="145">
        <f>ROUND(6315,0)</f>
        <v>6315</v>
      </c>
      <c r="C21" s="181">
        <f>ROUND(7635,0)</f>
        <v>7635</v>
      </c>
      <c r="D21" s="145">
        <f>ROUND(7667,0)</f>
        <v>7667</v>
      </c>
      <c r="E21" s="145">
        <f>ROUND(8115258/1000,0)</f>
        <v>8115</v>
      </c>
      <c r="F21" s="145">
        <f>ROUND(8044214/1000,0)</f>
        <v>8044</v>
      </c>
      <c r="G21" s="145">
        <f>ROUND(8855019/1000,0)</f>
        <v>8855</v>
      </c>
      <c r="H21" s="145">
        <f>ROUND(9610523/1000,0)</f>
        <v>9611</v>
      </c>
      <c r="I21" s="70">
        <f>ROUND(11471.454,0)</f>
        <v>11471</v>
      </c>
      <c r="J21" s="70">
        <f>ROUND(13287.396,0)</f>
        <v>13287</v>
      </c>
      <c r="K21" s="70">
        <v>14086.392</v>
      </c>
      <c r="L21" s="70">
        <v>14396.312</v>
      </c>
      <c r="M21" s="74">
        <f t="shared" si="0"/>
        <v>14516.787</v>
      </c>
      <c r="N21" s="70">
        <v>14637.262000000001</v>
      </c>
      <c r="O21" s="70">
        <v>16184.869000000001</v>
      </c>
      <c r="P21" s="146">
        <v>16599.298999999999</v>
      </c>
      <c r="Q21" s="70">
        <v>17691.771000000001</v>
      </c>
      <c r="R21" s="70">
        <v>17064.458999999999</v>
      </c>
      <c r="S21" s="70">
        <v>18157.05</v>
      </c>
      <c r="T21" s="76">
        <v>18844.678</v>
      </c>
      <c r="U21" s="76">
        <v>19828.607</v>
      </c>
      <c r="V21" s="76">
        <v>18762.937000000002</v>
      </c>
      <c r="W21" s="76">
        <v>17832.887999999999</v>
      </c>
      <c r="X21" s="76">
        <v>19936.561000000002</v>
      </c>
      <c r="Y21" s="76">
        <v>19467.977999999999</v>
      </c>
      <c r="Z21" s="76">
        <v>19265.600999999999</v>
      </c>
      <c r="AA21" s="8">
        <v>20613.184000000001</v>
      </c>
      <c r="AB21" s="8">
        <v>19767.246999999999</v>
      </c>
      <c r="AC21" s="8">
        <v>20038.508000000002</v>
      </c>
      <c r="AD21" s="8">
        <v>20858.557000000001</v>
      </c>
      <c r="AE21" s="8">
        <v>19238.607</v>
      </c>
      <c r="AF21" s="8">
        <v>21724.737000000001</v>
      </c>
      <c r="AG21" s="8">
        <v>22538.286</v>
      </c>
      <c r="AH21" s="185">
        <f>ROUND(11194,0)</f>
        <v>11194</v>
      </c>
      <c r="AI21" s="181">
        <f>ROUND(12263,0)</f>
        <v>12263</v>
      </c>
      <c r="AJ21" s="145">
        <f>ROUND(10815,0)</f>
        <v>10815</v>
      </c>
      <c r="AK21" s="145">
        <f>ROUND(11104,0)</f>
        <v>11104</v>
      </c>
      <c r="AL21" s="145">
        <f>ROUND(10828,0)</f>
        <v>10828</v>
      </c>
      <c r="AM21" s="145">
        <f>ROUND(12400,0)</f>
        <v>12400</v>
      </c>
      <c r="AN21" s="145">
        <f>ROUND(12970,0)</f>
        <v>12970</v>
      </c>
      <c r="AO21" s="70">
        <f>ROUND(16458,0)</f>
        <v>16458</v>
      </c>
      <c r="AP21" s="70">
        <f>ROUND(20547,0)</f>
        <v>20547</v>
      </c>
      <c r="AQ21" s="70">
        <v>20917</v>
      </c>
      <c r="AR21" s="70">
        <v>20987</v>
      </c>
      <c r="AS21" s="74">
        <f t="shared" si="5"/>
        <v>22830.5</v>
      </c>
      <c r="AT21" s="70">
        <v>24674</v>
      </c>
      <c r="AU21" s="70">
        <v>24459</v>
      </c>
      <c r="AV21" s="8">
        <v>26400</v>
      </c>
      <c r="AW21" s="8">
        <v>30038</v>
      </c>
      <c r="AX21" s="76">
        <v>27662</v>
      </c>
      <c r="AY21" s="8">
        <v>26946</v>
      </c>
      <c r="AZ21" s="8">
        <v>29111</v>
      </c>
      <c r="BA21" s="8">
        <v>30756</v>
      </c>
      <c r="BB21" s="8">
        <v>30147</v>
      </c>
      <c r="BC21" s="8">
        <v>28836</v>
      </c>
      <c r="BD21" s="8">
        <v>32234</v>
      </c>
      <c r="BE21" s="8">
        <v>31085</v>
      </c>
      <c r="BF21" s="8">
        <v>31623</v>
      </c>
      <c r="BG21" s="8">
        <v>38214</v>
      </c>
      <c r="BH21" s="8">
        <v>39332</v>
      </c>
      <c r="BI21" s="8">
        <v>38199</v>
      </c>
      <c r="BJ21" s="8">
        <v>37589</v>
      </c>
      <c r="BK21" s="8">
        <v>35501</v>
      </c>
      <c r="BL21" s="8">
        <v>41472</v>
      </c>
      <c r="BM21" s="8">
        <v>44909</v>
      </c>
    </row>
    <row r="22" spans="1:65" s="8" customFormat="1">
      <c r="A22" s="36" t="s">
        <v>32</v>
      </c>
      <c r="B22" s="145">
        <f>ROUND(2565,0)</f>
        <v>2565</v>
      </c>
      <c r="C22" s="181">
        <f>ROUND(3010,0)</f>
        <v>3010</v>
      </c>
      <c r="D22" s="145">
        <f>ROUND(2925,0)</f>
        <v>2925</v>
      </c>
      <c r="E22" s="145">
        <f>ROUND(3085872/1000,0)</f>
        <v>3086</v>
      </c>
      <c r="F22" s="145">
        <f>ROUND(3321741/1000,0)</f>
        <v>3322</v>
      </c>
      <c r="G22" s="145">
        <f>ROUND(3420803/1000,0)</f>
        <v>3421</v>
      </c>
      <c r="H22" s="145">
        <f>ROUND(3835281/1000,0)</f>
        <v>3835</v>
      </c>
      <c r="I22" s="70">
        <f>ROUND(4580.482,0)</f>
        <v>4580</v>
      </c>
      <c r="J22" s="70">
        <f>ROUND(5103.65,0)</f>
        <v>5104</v>
      </c>
      <c r="K22" s="70">
        <v>5701.41</v>
      </c>
      <c r="L22" s="70">
        <v>5674.5519999999997</v>
      </c>
      <c r="M22" s="74">
        <f t="shared" si="0"/>
        <v>5785.5095000000001</v>
      </c>
      <c r="N22" s="70">
        <v>5896.4669999999996</v>
      </c>
      <c r="O22" s="70">
        <v>5936.7950000000001</v>
      </c>
      <c r="P22" s="146">
        <v>6228.3230000000003</v>
      </c>
      <c r="Q22" s="70">
        <v>5984.8379999999997</v>
      </c>
      <c r="R22" s="70">
        <v>6035.6750000000002</v>
      </c>
      <c r="S22" s="70">
        <v>6271.085</v>
      </c>
      <c r="T22" s="76">
        <v>6760.96</v>
      </c>
      <c r="U22" s="76">
        <v>6866.1109999999999</v>
      </c>
      <c r="V22" s="76">
        <v>6803.0410000000002</v>
      </c>
      <c r="W22" s="76">
        <v>6947.4870000000001</v>
      </c>
      <c r="X22" s="76">
        <v>6789.6310000000003</v>
      </c>
      <c r="Y22" s="76">
        <v>6939.924</v>
      </c>
      <c r="Z22" s="76">
        <v>7660.1710000000003</v>
      </c>
      <c r="AA22" s="8">
        <v>6678.6909999999998</v>
      </c>
      <c r="AB22" s="8">
        <v>6851.0550000000003</v>
      </c>
      <c r="AC22" s="8">
        <v>6881.14</v>
      </c>
      <c r="AD22" s="8">
        <v>6340.2619999999997</v>
      </c>
      <c r="AE22" s="8">
        <v>5762.098</v>
      </c>
      <c r="AF22" s="8">
        <v>5879.2730000000001</v>
      </c>
      <c r="AG22" s="8">
        <v>5959.7950000000001</v>
      </c>
      <c r="AH22" s="185">
        <f>ROUND(5157,0)</f>
        <v>5157</v>
      </c>
      <c r="AI22" s="181">
        <f>ROUND(4854,0)</f>
        <v>4854</v>
      </c>
      <c r="AJ22" s="145">
        <f>ROUND(5090,0)</f>
        <v>5090</v>
      </c>
      <c r="AK22" s="145">
        <f>ROUND(4462,0)</f>
        <v>4462</v>
      </c>
      <c r="AL22" s="145">
        <f>ROUND(4723,0)</f>
        <v>4723</v>
      </c>
      <c r="AM22" s="145">
        <f>ROUND(4653,0)</f>
        <v>4653</v>
      </c>
      <c r="AN22" s="145">
        <f>ROUND(4940,0)</f>
        <v>4940</v>
      </c>
      <c r="AO22" s="70">
        <f>ROUND(5957,0)</f>
        <v>5957</v>
      </c>
      <c r="AP22" s="70">
        <f>ROUND(7199,0)</f>
        <v>7199</v>
      </c>
      <c r="AQ22" s="70">
        <v>7302</v>
      </c>
      <c r="AR22" s="70">
        <v>6928</v>
      </c>
      <c r="AS22" s="74">
        <f t="shared" si="5"/>
        <v>7046.5</v>
      </c>
      <c r="AT22" s="70">
        <v>7165</v>
      </c>
      <c r="AU22" s="70">
        <v>7030</v>
      </c>
      <c r="AV22" s="8">
        <v>7729</v>
      </c>
      <c r="AW22" s="8">
        <v>7020</v>
      </c>
      <c r="AX22" s="76">
        <v>6981</v>
      </c>
      <c r="AY22" s="8">
        <v>7688</v>
      </c>
      <c r="AZ22" s="8">
        <v>7651</v>
      </c>
      <c r="BA22" s="8">
        <v>7662</v>
      </c>
      <c r="BB22" s="8">
        <v>7529</v>
      </c>
      <c r="BC22" s="8">
        <v>8053</v>
      </c>
      <c r="BD22" s="8">
        <v>8139</v>
      </c>
      <c r="BE22" s="8">
        <v>9017</v>
      </c>
      <c r="BF22" s="8">
        <v>8712</v>
      </c>
      <c r="BG22" s="8">
        <v>9056</v>
      </c>
      <c r="BH22" s="8">
        <v>8919</v>
      </c>
      <c r="BI22" s="8">
        <v>8833</v>
      </c>
      <c r="BJ22" s="231">
        <v>7676</v>
      </c>
      <c r="BK22" s="231">
        <v>7224</v>
      </c>
      <c r="BL22" s="8">
        <v>7669</v>
      </c>
      <c r="BM22" s="231">
        <v>7497</v>
      </c>
    </row>
    <row r="23" spans="1:65" s="8" customFormat="1">
      <c r="A23" s="40" t="s">
        <v>217</v>
      </c>
      <c r="B23" s="41">
        <f t="shared" ref="B23:BF23" si="30">SUM(B25:B37)</f>
        <v>0</v>
      </c>
      <c r="C23" s="41">
        <f t="shared" si="30"/>
        <v>0</v>
      </c>
      <c r="D23" s="41">
        <f t="shared" si="30"/>
        <v>0</v>
      </c>
      <c r="E23" s="41">
        <f t="shared" si="30"/>
        <v>0</v>
      </c>
      <c r="F23" s="41">
        <f t="shared" si="30"/>
        <v>0</v>
      </c>
      <c r="G23" s="41">
        <f t="shared" si="30"/>
        <v>0</v>
      </c>
      <c r="H23" s="41">
        <f t="shared" si="30"/>
        <v>0</v>
      </c>
      <c r="I23" s="41">
        <f t="shared" si="30"/>
        <v>0</v>
      </c>
      <c r="J23" s="41">
        <f t="shared" si="30"/>
        <v>0</v>
      </c>
      <c r="K23" s="41">
        <f t="shared" si="30"/>
        <v>0</v>
      </c>
      <c r="L23" s="41">
        <f t="shared" si="30"/>
        <v>0</v>
      </c>
      <c r="M23" s="41">
        <f t="shared" si="30"/>
        <v>0</v>
      </c>
      <c r="N23" s="41">
        <f t="shared" si="30"/>
        <v>0</v>
      </c>
      <c r="O23" s="41">
        <f t="shared" si="30"/>
        <v>0</v>
      </c>
      <c r="P23" s="41">
        <f t="shared" si="30"/>
        <v>158785.56</v>
      </c>
      <c r="Q23" s="41">
        <f t="shared" si="30"/>
        <v>162057.71900000001</v>
      </c>
      <c r="R23" s="41">
        <f t="shared" si="30"/>
        <v>170856.75999999995</v>
      </c>
      <c r="S23" s="41">
        <f t="shared" si="30"/>
        <v>191893.30399999995</v>
      </c>
      <c r="T23" s="41">
        <f t="shared" si="30"/>
        <v>193604.05500000002</v>
      </c>
      <c r="U23" s="41">
        <f t="shared" si="30"/>
        <v>199353.48099999994</v>
      </c>
      <c r="V23" s="41">
        <f t="shared" si="30"/>
        <v>195839.52100000001</v>
      </c>
      <c r="W23" s="41">
        <f t="shared" si="30"/>
        <v>199871.51200000005</v>
      </c>
      <c r="X23" s="41">
        <f t="shared" si="30"/>
        <v>200923.51199999999</v>
      </c>
      <c r="Y23" s="41">
        <f t="shared" si="30"/>
        <v>203789.82999999996</v>
      </c>
      <c r="Z23" s="41">
        <f t="shared" si="30"/>
        <v>196912.44000000003</v>
      </c>
      <c r="AA23" s="41">
        <f t="shared" ref="AA23:AB23" si="31">SUM(AA25:AA37)</f>
        <v>201184.11399999997</v>
      </c>
      <c r="AB23" s="41">
        <f t="shared" si="31"/>
        <v>195681.23099999997</v>
      </c>
      <c r="AC23" s="41">
        <f t="shared" ref="AC23:AD23" si="32">SUM(AC25:AC37)</f>
        <v>190523.36299999998</v>
      </c>
      <c r="AD23" s="41">
        <f t="shared" si="32"/>
        <v>201953.67400000003</v>
      </c>
      <c r="AE23" s="41">
        <f t="shared" ref="AE23:AF23" si="33">SUM(AE25:AE37)</f>
        <v>195126.86499999999</v>
      </c>
      <c r="AF23" s="41">
        <f t="shared" si="33"/>
        <v>209150.052</v>
      </c>
      <c r="AG23" s="41">
        <f t="shared" ref="AG23" si="34">SUM(AG25:AG37)</f>
        <v>210671.08799999993</v>
      </c>
      <c r="AH23" s="111">
        <f t="shared" si="30"/>
        <v>0</v>
      </c>
      <c r="AI23" s="41">
        <f t="shared" si="30"/>
        <v>0</v>
      </c>
      <c r="AJ23" s="41">
        <f t="shared" si="30"/>
        <v>0</v>
      </c>
      <c r="AK23" s="41">
        <f t="shared" si="30"/>
        <v>0</v>
      </c>
      <c r="AL23" s="41">
        <f t="shared" si="30"/>
        <v>0</v>
      </c>
      <c r="AM23" s="41">
        <f t="shared" si="30"/>
        <v>0</v>
      </c>
      <c r="AN23" s="41">
        <f t="shared" si="30"/>
        <v>0</v>
      </c>
      <c r="AO23" s="41">
        <f t="shared" si="30"/>
        <v>0</v>
      </c>
      <c r="AP23" s="41">
        <f t="shared" si="30"/>
        <v>0</v>
      </c>
      <c r="AQ23" s="41">
        <f t="shared" si="30"/>
        <v>0</v>
      </c>
      <c r="AR23" s="41">
        <f t="shared" si="30"/>
        <v>0</v>
      </c>
      <c r="AS23" s="41">
        <f t="shared" si="30"/>
        <v>0</v>
      </c>
      <c r="AT23" s="41">
        <f t="shared" si="30"/>
        <v>0</v>
      </c>
      <c r="AU23" s="41">
        <f t="shared" si="30"/>
        <v>0</v>
      </c>
      <c r="AV23" s="41">
        <f t="shared" si="30"/>
        <v>239334</v>
      </c>
      <c r="AW23" s="41">
        <f t="shared" si="30"/>
        <v>239285</v>
      </c>
      <c r="AX23" s="41">
        <f t="shared" si="30"/>
        <v>246040</v>
      </c>
      <c r="AY23" s="41">
        <f t="shared" si="30"/>
        <v>272497</v>
      </c>
      <c r="AZ23" s="41">
        <f t="shared" si="30"/>
        <v>284101</v>
      </c>
      <c r="BA23" s="41">
        <f t="shared" si="30"/>
        <v>290436</v>
      </c>
      <c r="BB23" s="41">
        <f t="shared" si="30"/>
        <v>288778</v>
      </c>
      <c r="BC23" s="41">
        <f t="shared" si="30"/>
        <v>290259</v>
      </c>
      <c r="BD23" s="41">
        <f t="shared" si="30"/>
        <v>291997</v>
      </c>
      <c r="BE23" s="41">
        <f t="shared" si="30"/>
        <v>308052</v>
      </c>
      <c r="BF23" s="41">
        <f t="shared" si="30"/>
        <v>302813</v>
      </c>
      <c r="BG23" s="41">
        <f t="shared" ref="BG23:BH23" si="35">SUM(BG25:BG37)</f>
        <v>337862</v>
      </c>
      <c r="BH23" s="41">
        <f t="shared" si="35"/>
        <v>361364</v>
      </c>
      <c r="BI23" s="41">
        <f t="shared" ref="BI23:BJ23" si="36">SUM(BI25:BI37)</f>
        <v>382131</v>
      </c>
      <c r="BJ23" s="41">
        <f t="shared" si="36"/>
        <v>384912</v>
      </c>
      <c r="BK23" s="41">
        <f t="shared" ref="BK23:BL23" si="37">SUM(BK25:BK37)</f>
        <v>361571</v>
      </c>
      <c r="BL23" s="41">
        <f t="shared" si="37"/>
        <v>386711</v>
      </c>
      <c r="BM23" s="41">
        <f t="shared" ref="BM23" si="38">SUM(BM25:BM37)</f>
        <v>369587</v>
      </c>
    </row>
    <row r="24" spans="1:65" s="8" customFormat="1">
      <c r="A24" s="30" t="s">
        <v>215</v>
      </c>
      <c r="B24" s="31">
        <f t="shared" ref="B24:BG24" si="39">(B23/B4)*100</f>
        <v>0</v>
      </c>
      <c r="C24" s="31">
        <f t="shared" si="39"/>
        <v>0</v>
      </c>
      <c r="D24" s="31">
        <f t="shared" si="39"/>
        <v>0</v>
      </c>
      <c r="E24" s="31">
        <f t="shared" si="39"/>
        <v>0</v>
      </c>
      <c r="F24" s="31">
        <f t="shared" si="39"/>
        <v>0</v>
      </c>
      <c r="G24" s="31">
        <f t="shared" si="39"/>
        <v>0</v>
      </c>
      <c r="H24" s="31">
        <f t="shared" si="39"/>
        <v>0</v>
      </c>
      <c r="I24" s="31">
        <f t="shared" si="39"/>
        <v>0</v>
      </c>
      <c r="J24" s="31">
        <f t="shared" si="39"/>
        <v>0</v>
      </c>
      <c r="K24" s="31">
        <f t="shared" si="39"/>
        <v>0</v>
      </c>
      <c r="L24" s="31">
        <f t="shared" si="39"/>
        <v>0</v>
      </c>
      <c r="M24" s="31">
        <f t="shared" si="39"/>
        <v>0</v>
      </c>
      <c r="N24" s="31">
        <f t="shared" si="39"/>
        <v>0</v>
      </c>
      <c r="O24" s="31">
        <f t="shared" si="39"/>
        <v>0</v>
      </c>
      <c r="P24" s="31">
        <f t="shared" si="39"/>
        <v>18.885889320986241</v>
      </c>
      <c r="Q24" s="31">
        <f t="shared" si="39"/>
        <v>18.80657035292564</v>
      </c>
      <c r="R24" s="31">
        <f t="shared" si="39"/>
        <v>19.138726652980885</v>
      </c>
      <c r="S24" s="31">
        <f t="shared" si="39"/>
        <v>19.360180703477461</v>
      </c>
      <c r="T24" s="31">
        <f t="shared" si="39"/>
        <v>19.050474811233087</v>
      </c>
      <c r="U24" s="31">
        <f t="shared" si="39"/>
        <v>19.092158480804429</v>
      </c>
      <c r="V24" s="31">
        <f t="shared" si="39"/>
        <v>18.752310997696377</v>
      </c>
      <c r="W24" s="31">
        <f t="shared" si="39"/>
        <v>18.764521534565588</v>
      </c>
      <c r="X24" s="31">
        <f t="shared" si="39"/>
        <v>18.90990361860619</v>
      </c>
      <c r="Y24" s="31">
        <f t="shared" si="39"/>
        <v>19.412615414341456</v>
      </c>
      <c r="Z24" s="31">
        <f t="shared" si="39"/>
        <v>19.291169471329336</v>
      </c>
      <c r="AA24" s="31">
        <f t="shared" si="39"/>
        <v>19.163428628933193</v>
      </c>
      <c r="AB24" s="31">
        <f t="shared" ref="AB24:AC24" si="40">(AB23/AB4)*100</f>
        <v>19.622442120881001</v>
      </c>
      <c r="AC24" s="31">
        <f t="shared" si="40"/>
        <v>19.984022944492395</v>
      </c>
      <c r="AD24" s="31">
        <f t="shared" ref="AD24:AE24" si="41">(AD23/AD4)*100</f>
        <v>20.945544040667709</v>
      </c>
      <c r="AE24" s="31">
        <f t="shared" si="41"/>
        <v>21.419264685301588</v>
      </c>
      <c r="AF24" s="31">
        <f t="shared" ref="AF24:AG24" si="42">(AF23/AF4)*100</f>
        <v>21.624192297071527</v>
      </c>
      <c r="AG24" s="31">
        <f t="shared" si="42"/>
        <v>21.563911277300591</v>
      </c>
      <c r="AH24" s="108">
        <f t="shared" si="39"/>
        <v>0</v>
      </c>
      <c r="AI24" s="31">
        <f t="shared" si="39"/>
        <v>0</v>
      </c>
      <c r="AJ24" s="31">
        <f t="shared" si="39"/>
        <v>0</v>
      </c>
      <c r="AK24" s="31">
        <f t="shared" si="39"/>
        <v>0</v>
      </c>
      <c r="AL24" s="31">
        <f t="shared" si="39"/>
        <v>0</v>
      </c>
      <c r="AM24" s="31">
        <f t="shared" si="39"/>
        <v>0</v>
      </c>
      <c r="AN24" s="31">
        <f t="shared" si="39"/>
        <v>0</v>
      </c>
      <c r="AO24" s="31">
        <f t="shared" si="39"/>
        <v>0</v>
      </c>
      <c r="AP24" s="31">
        <f t="shared" si="39"/>
        <v>0</v>
      </c>
      <c r="AQ24" s="31">
        <f t="shared" si="39"/>
        <v>0</v>
      </c>
      <c r="AR24" s="31">
        <f t="shared" si="39"/>
        <v>0</v>
      </c>
      <c r="AS24" s="31">
        <f t="shared" si="39"/>
        <v>0</v>
      </c>
      <c r="AT24" s="31">
        <f t="shared" si="39"/>
        <v>0</v>
      </c>
      <c r="AU24" s="31">
        <f t="shared" si="39"/>
        <v>0</v>
      </c>
      <c r="AV24" s="31">
        <f t="shared" si="39"/>
        <v>21.320355864848324</v>
      </c>
      <c r="AW24" s="31">
        <f t="shared" si="39"/>
        <v>21.171504359320558</v>
      </c>
      <c r="AX24" s="31">
        <f t="shared" si="39"/>
        <v>21.862138089382061</v>
      </c>
      <c r="AY24" s="31">
        <f t="shared" si="39"/>
        <v>21.994259636820328</v>
      </c>
      <c r="AZ24" s="31">
        <f t="shared" si="39"/>
        <v>21.909573393342168</v>
      </c>
      <c r="BA24" s="31">
        <f t="shared" si="39"/>
        <v>21.858560132941374</v>
      </c>
      <c r="BB24" s="31">
        <f t="shared" si="39"/>
        <v>21.507822129868583</v>
      </c>
      <c r="BC24" s="31">
        <f t="shared" si="39"/>
        <v>21.374950292354598</v>
      </c>
      <c r="BD24" s="31">
        <f t="shared" si="39"/>
        <v>21.46255590795997</v>
      </c>
      <c r="BE24" s="31">
        <f t="shared" si="39"/>
        <v>22.124545912892842</v>
      </c>
      <c r="BF24" s="31">
        <f t="shared" si="39"/>
        <v>21.772545624754638</v>
      </c>
      <c r="BG24" s="31">
        <f t="shared" si="39"/>
        <v>22.003673118503659</v>
      </c>
      <c r="BH24" s="31">
        <f t="shared" ref="BH24:BI24" si="43">(BH23/BH4)*100</f>
        <v>22.901868329657514</v>
      </c>
      <c r="BI24" s="31">
        <f t="shared" si="43"/>
        <v>24.003731237809877</v>
      </c>
      <c r="BJ24" s="31">
        <f t="shared" ref="BJ24:BK24" si="44">(BJ23/BJ4)*100</f>
        <v>24.329367266549013</v>
      </c>
      <c r="BK24" s="31">
        <f t="shared" si="44"/>
        <v>24.171866664349118</v>
      </c>
      <c r="BL24" s="31">
        <f t="shared" ref="BL24:BM24" si="45">(BL23/BL4)*100</f>
        <v>24.711862890445275</v>
      </c>
      <c r="BM24" s="31">
        <f t="shared" si="45"/>
        <v>25.053009042719054</v>
      </c>
    </row>
    <row r="25" spans="1:65" s="8" customFormat="1">
      <c r="A25" s="42" t="s">
        <v>142</v>
      </c>
      <c r="P25" s="146">
        <v>918.54100000000005</v>
      </c>
      <c r="Q25" s="70">
        <v>783.68</v>
      </c>
      <c r="R25" s="70">
        <v>929.43799999999999</v>
      </c>
      <c r="S25" s="70">
        <v>1136.068</v>
      </c>
      <c r="T25" s="76">
        <v>982.66499999999996</v>
      </c>
      <c r="U25" s="76">
        <v>1063.7380000000001</v>
      </c>
      <c r="V25" s="76">
        <v>1021.761</v>
      </c>
      <c r="W25" s="76">
        <v>980.60699999999997</v>
      </c>
      <c r="X25" s="76">
        <v>973.83199999999999</v>
      </c>
      <c r="Y25" s="76">
        <v>1123.201</v>
      </c>
      <c r="Z25" s="76">
        <v>965.03</v>
      </c>
      <c r="AA25" s="8">
        <v>1011.164</v>
      </c>
      <c r="AB25" s="8">
        <v>1002.08</v>
      </c>
      <c r="AC25" s="8">
        <v>1175.954</v>
      </c>
      <c r="AD25" s="8">
        <v>1422.1780000000001</v>
      </c>
      <c r="AE25" s="8">
        <v>1182.135</v>
      </c>
      <c r="AF25" s="8">
        <v>892.99699999999996</v>
      </c>
      <c r="AG25" s="8">
        <v>1014.162</v>
      </c>
      <c r="AH25" s="186"/>
      <c r="AI25" s="62"/>
      <c r="AS25" s="170"/>
      <c r="AV25" s="8">
        <v>1230</v>
      </c>
      <c r="AW25" s="8">
        <v>1447</v>
      </c>
      <c r="AX25" s="76">
        <v>1529</v>
      </c>
      <c r="AY25" s="8">
        <v>2086</v>
      </c>
      <c r="AZ25" s="8">
        <v>1650</v>
      </c>
      <c r="BA25" s="8">
        <v>1759</v>
      </c>
      <c r="BB25" s="8">
        <v>1716</v>
      </c>
      <c r="BC25" s="8">
        <v>1556</v>
      </c>
      <c r="BD25" s="8">
        <v>1608</v>
      </c>
      <c r="BE25" s="8">
        <v>1375</v>
      </c>
      <c r="BF25" s="8">
        <v>1566</v>
      </c>
      <c r="BG25" s="8">
        <v>2964</v>
      </c>
      <c r="BH25" s="8">
        <v>2171</v>
      </c>
      <c r="BI25" s="8">
        <v>3168</v>
      </c>
      <c r="BJ25" s="8">
        <v>3030</v>
      </c>
      <c r="BK25" s="8">
        <v>3670</v>
      </c>
      <c r="BL25" s="8">
        <v>1209</v>
      </c>
      <c r="BM25" s="8">
        <v>1189</v>
      </c>
    </row>
    <row r="26" spans="1:65" s="8" customFormat="1">
      <c r="A26" s="42" t="s">
        <v>143</v>
      </c>
      <c r="P26" s="146">
        <v>11614.106</v>
      </c>
      <c r="Q26" s="70">
        <v>11938.972</v>
      </c>
      <c r="R26" s="70">
        <v>12368.516</v>
      </c>
      <c r="S26" s="70">
        <v>15296.466</v>
      </c>
      <c r="T26" s="76">
        <v>15931.968999999999</v>
      </c>
      <c r="U26" s="76">
        <v>17965.548999999999</v>
      </c>
      <c r="V26" s="76">
        <v>18995.41</v>
      </c>
      <c r="W26" s="76">
        <v>22358.059000000001</v>
      </c>
      <c r="X26" s="76">
        <v>23834.05</v>
      </c>
      <c r="Y26" s="76">
        <v>24385.205999999998</v>
      </c>
      <c r="Z26" s="76">
        <v>23820.414000000001</v>
      </c>
      <c r="AA26" s="8">
        <v>23878.203000000001</v>
      </c>
      <c r="AB26" s="8">
        <v>27494.136999999999</v>
      </c>
      <c r="AC26" s="8">
        <v>25821.076000000001</v>
      </c>
      <c r="AD26" s="8">
        <v>28885.128000000001</v>
      </c>
      <c r="AE26" s="8">
        <v>25037.33</v>
      </c>
      <c r="AF26" s="8">
        <v>30695.351999999999</v>
      </c>
      <c r="AG26" s="8">
        <v>28825.453000000001</v>
      </c>
      <c r="AH26" s="186"/>
      <c r="AI26" s="62"/>
      <c r="AS26" s="170"/>
      <c r="AV26" s="8">
        <v>18114</v>
      </c>
      <c r="AW26" s="8">
        <v>18086</v>
      </c>
      <c r="AX26" s="76">
        <v>19732</v>
      </c>
      <c r="AY26" s="8">
        <v>25624</v>
      </c>
      <c r="AZ26" s="8">
        <v>25793</v>
      </c>
      <c r="BA26" s="8">
        <v>28517</v>
      </c>
      <c r="BB26" s="8">
        <v>28790</v>
      </c>
      <c r="BC26" s="8">
        <v>30470</v>
      </c>
      <c r="BD26" s="8">
        <v>33763</v>
      </c>
      <c r="BE26" s="8">
        <v>31649</v>
      </c>
      <c r="BF26" s="8">
        <v>30490</v>
      </c>
      <c r="BG26" s="8">
        <v>32619</v>
      </c>
      <c r="BH26" s="8">
        <v>49468</v>
      </c>
      <c r="BI26" s="8">
        <v>56459</v>
      </c>
      <c r="BJ26" s="8">
        <v>57348</v>
      </c>
      <c r="BK26" s="8">
        <v>49380</v>
      </c>
      <c r="BL26" s="8">
        <v>56094</v>
      </c>
      <c r="BM26" s="8">
        <v>49983</v>
      </c>
    </row>
    <row r="27" spans="1:65" s="8" customFormat="1">
      <c r="A27" s="42" t="s">
        <v>144</v>
      </c>
      <c r="P27" s="146">
        <v>87548.816000000006</v>
      </c>
      <c r="Q27" s="70">
        <v>89464.501000000004</v>
      </c>
      <c r="R27" s="70">
        <v>95940.932000000001</v>
      </c>
      <c r="S27" s="70">
        <v>108054.212</v>
      </c>
      <c r="T27" s="76">
        <v>108259.391</v>
      </c>
      <c r="U27" s="76">
        <v>111749.095</v>
      </c>
      <c r="V27" s="76">
        <v>106773.16499999999</v>
      </c>
      <c r="W27" s="76">
        <v>105835.95600000001</v>
      </c>
      <c r="X27" s="76">
        <v>105015.02099999999</v>
      </c>
      <c r="Y27" s="76">
        <v>105805.226</v>
      </c>
      <c r="Z27" s="76">
        <v>100955.77099999999</v>
      </c>
      <c r="AA27" s="8">
        <v>105054.41499999999</v>
      </c>
      <c r="AB27" s="8">
        <v>99832.111999999994</v>
      </c>
      <c r="AC27" s="8">
        <v>97377.687999999995</v>
      </c>
      <c r="AD27" s="8">
        <v>102584.507</v>
      </c>
      <c r="AE27" s="8">
        <v>99847.92</v>
      </c>
      <c r="AF27" s="8">
        <v>105221.069</v>
      </c>
      <c r="AG27" s="8">
        <v>107481.016</v>
      </c>
      <c r="AH27" s="186"/>
      <c r="AI27" s="62"/>
      <c r="AS27" s="170"/>
      <c r="AV27" s="8">
        <v>135123</v>
      </c>
      <c r="AW27" s="8">
        <v>135747</v>
      </c>
      <c r="AX27" s="76">
        <v>139590</v>
      </c>
      <c r="AY27" s="8">
        <v>152879</v>
      </c>
      <c r="AZ27" s="8">
        <v>161424</v>
      </c>
      <c r="BA27" s="8">
        <v>166194</v>
      </c>
      <c r="BB27" s="8">
        <v>164103</v>
      </c>
      <c r="BC27" s="8">
        <v>158683</v>
      </c>
      <c r="BD27" s="8">
        <v>158726</v>
      </c>
      <c r="BE27" s="8">
        <v>175007</v>
      </c>
      <c r="BF27" s="8">
        <v>174775</v>
      </c>
      <c r="BG27" s="8">
        <v>197378</v>
      </c>
      <c r="BH27" s="8">
        <v>199091</v>
      </c>
      <c r="BI27" s="8">
        <v>210997</v>
      </c>
      <c r="BJ27" s="8">
        <v>210107</v>
      </c>
      <c r="BK27" s="8">
        <v>200555</v>
      </c>
      <c r="BL27" s="8">
        <v>212854</v>
      </c>
      <c r="BM27" s="8">
        <v>201601</v>
      </c>
    </row>
    <row r="28" spans="1:65" s="8" customFormat="1">
      <c r="A28" s="42" t="s">
        <v>145</v>
      </c>
      <c r="P28" s="146">
        <v>10503.508</v>
      </c>
      <c r="Q28" s="70">
        <v>10995.129000000001</v>
      </c>
      <c r="R28" s="70">
        <v>11468.284</v>
      </c>
      <c r="S28" s="70">
        <v>12942.571</v>
      </c>
      <c r="T28" s="76">
        <v>13419.037</v>
      </c>
      <c r="U28" s="76">
        <v>12531.216</v>
      </c>
      <c r="V28" s="76">
        <v>13358.642</v>
      </c>
      <c r="W28" s="76">
        <v>13408.76</v>
      </c>
      <c r="X28" s="76">
        <v>13962.718999999999</v>
      </c>
      <c r="Y28" s="76">
        <v>16512.105</v>
      </c>
      <c r="Z28" s="76">
        <v>15635.097</v>
      </c>
      <c r="AA28" s="8">
        <v>16066.587</v>
      </c>
      <c r="AB28" s="8">
        <v>13876.789000000001</v>
      </c>
      <c r="AC28" s="8">
        <v>13180.905000000001</v>
      </c>
      <c r="AD28" s="8">
        <v>14439.717000000001</v>
      </c>
      <c r="AE28" s="8">
        <v>14868.119000000001</v>
      </c>
      <c r="AF28" s="8">
        <v>13833.094999999999</v>
      </c>
      <c r="AG28" s="8">
        <v>14083.732</v>
      </c>
      <c r="AH28" s="186"/>
      <c r="AI28" s="62"/>
      <c r="AS28" s="170"/>
      <c r="AV28" s="8">
        <v>11102</v>
      </c>
      <c r="AW28" s="8">
        <v>11447</v>
      </c>
      <c r="AX28" s="76">
        <v>11828</v>
      </c>
      <c r="AY28" s="8">
        <v>13345</v>
      </c>
      <c r="AZ28" s="8">
        <v>14119</v>
      </c>
      <c r="BA28" s="8">
        <v>14029</v>
      </c>
      <c r="BB28" s="8">
        <v>14967</v>
      </c>
      <c r="BC28" s="8">
        <v>15031</v>
      </c>
      <c r="BD28" s="8">
        <v>15208</v>
      </c>
      <c r="BE28" s="8">
        <v>17597</v>
      </c>
      <c r="BF28" s="8">
        <v>16061</v>
      </c>
      <c r="BG28" s="8">
        <v>20150</v>
      </c>
      <c r="BH28" s="8">
        <v>19263</v>
      </c>
      <c r="BI28" s="8">
        <v>16756</v>
      </c>
      <c r="BJ28" s="8">
        <v>16873</v>
      </c>
      <c r="BK28" s="8">
        <v>16789</v>
      </c>
      <c r="BL28" s="8">
        <v>15129</v>
      </c>
      <c r="BM28" s="8">
        <v>13763</v>
      </c>
    </row>
    <row r="29" spans="1:65" s="8" customFormat="1">
      <c r="A29" s="42" t="s">
        <v>148</v>
      </c>
      <c r="P29" s="146">
        <v>2302.8890000000001</v>
      </c>
      <c r="Q29" s="70">
        <v>2329.192</v>
      </c>
      <c r="R29" s="70">
        <v>2341.942</v>
      </c>
      <c r="S29" s="70">
        <v>2434.0230000000001</v>
      </c>
      <c r="T29" s="76">
        <v>2467.8319999999999</v>
      </c>
      <c r="U29" s="76">
        <v>2475.6260000000002</v>
      </c>
      <c r="V29" s="76">
        <v>2466.8960000000002</v>
      </c>
      <c r="W29" s="76">
        <v>2297.2959999999998</v>
      </c>
      <c r="X29" s="76">
        <v>2329.98</v>
      </c>
      <c r="Y29" s="76">
        <v>2309.2829999999999</v>
      </c>
      <c r="Z29" s="76">
        <v>2364.857</v>
      </c>
      <c r="AA29" s="8">
        <v>2473.3760000000002</v>
      </c>
      <c r="AB29" s="8">
        <v>2248.6509999999998</v>
      </c>
      <c r="AC29" s="8">
        <v>2114.0010000000002</v>
      </c>
      <c r="AD29" s="8">
        <v>2471.4369999999999</v>
      </c>
      <c r="AE29" s="8">
        <v>2539.8330000000001</v>
      </c>
      <c r="AF29" s="8">
        <v>2232.3150000000001</v>
      </c>
      <c r="AG29" s="8">
        <v>2328.4540000000002</v>
      </c>
      <c r="AH29" s="186"/>
      <c r="AI29" s="62"/>
      <c r="AS29" s="170"/>
      <c r="AV29" s="8">
        <v>3216</v>
      </c>
      <c r="AW29" s="8">
        <v>3172</v>
      </c>
      <c r="AX29" s="76">
        <v>3240</v>
      </c>
      <c r="AY29" s="8">
        <v>3478</v>
      </c>
      <c r="AZ29" s="8">
        <v>3528</v>
      </c>
      <c r="BA29" s="8">
        <v>3704</v>
      </c>
      <c r="BB29" s="8">
        <v>3285</v>
      </c>
      <c r="BC29" s="8">
        <v>3027</v>
      </c>
      <c r="BD29" s="8">
        <v>2895</v>
      </c>
      <c r="BE29" s="8">
        <v>2558</v>
      </c>
      <c r="BF29" s="8">
        <v>1853</v>
      </c>
      <c r="BG29" s="8">
        <v>2097</v>
      </c>
      <c r="BH29" s="8">
        <v>2302</v>
      </c>
      <c r="BI29" s="8">
        <v>2169</v>
      </c>
      <c r="BJ29" s="8">
        <v>2492</v>
      </c>
      <c r="BK29" s="8">
        <v>2510</v>
      </c>
      <c r="BL29" s="8">
        <v>2761</v>
      </c>
      <c r="BM29" s="8">
        <v>2962</v>
      </c>
    </row>
    <row r="30" spans="1:65" s="8" customFormat="1">
      <c r="A30" s="42" t="s">
        <v>149</v>
      </c>
      <c r="P30" s="146">
        <v>2440.377</v>
      </c>
      <c r="Q30" s="70">
        <v>2463.09</v>
      </c>
      <c r="R30" s="70">
        <v>2558.2860000000001</v>
      </c>
      <c r="S30" s="70">
        <v>2553.7860000000001</v>
      </c>
      <c r="T30" s="76">
        <v>2801.018</v>
      </c>
      <c r="U30" s="76">
        <v>2598.7049999999999</v>
      </c>
      <c r="V30" s="76">
        <v>2628.5050000000001</v>
      </c>
      <c r="W30" s="76">
        <v>2873.1709999999998</v>
      </c>
      <c r="X30" s="76">
        <v>2690.68</v>
      </c>
      <c r="Y30" s="76">
        <v>2768.8330000000001</v>
      </c>
      <c r="Z30" s="76">
        <v>2663.9639999999999</v>
      </c>
      <c r="AA30" s="8">
        <v>2662.5720000000001</v>
      </c>
      <c r="AB30" s="8">
        <v>2571.64</v>
      </c>
      <c r="AC30" s="8">
        <v>2486.1979999999999</v>
      </c>
      <c r="AD30" s="8">
        <v>2630.7310000000002</v>
      </c>
      <c r="AE30" s="8">
        <v>2935.4110000000001</v>
      </c>
      <c r="AF30" s="8">
        <v>3194.029</v>
      </c>
      <c r="AG30" s="8">
        <v>2830.5279999999998</v>
      </c>
      <c r="AH30" s="186"/>
      <c r="AI30" s="62"/>
      <c r="AS30" s="170"/>
      <c r="AV30" s="8">
        <v>5806</v>
      </c>
      <c r="AW30" s="8">
        <v>5592</v>
      </c>
      <c r="AX30" s="76">
        <v>6394</v>
      </c>
      <c r="AY30" s="8">
        <v>5837</v>
      </c>
      <c r="AZ30" s="8">
        <v>6741</v>
      </c>
      <c r="BA30" s="8">
        <v>6210</v>
      </c>
      <c r="BB30" s="8">
        <v>6549</v>
      </c>
      <c r="BC30" s="8">
        <v>6813</v>
      </c>
      <c r="BD30" s="8">
        <v>5929</v>
      </c>
      <c r="BE30" s="8">
        <v>6162</v>
      </c>
      <c r="BF30" s="8">
        <v>5537</v>
      </c>
      <c r="BG30" s="8">
        <v>5633</v>
      </c>
      <c r="BH30" s="8">
        <v>6747</v>
      </c>
      <c r="BI30" s="8">
        <v>5162</v>
      </c>
      <c r="BJ30" s="8">
        <v>5753</v>
      </c>
      <c r="BK30" s="8">
        <v>6344</v>
      </c>
      <c r="BL30" s="8">
        <v>6828</v>
      </c>
      <c r="BM30" s="8">
        <v>6096</v>
      </c>
    </row>
    <row r="31" spans="1:65" s="8" customFormat="1">
      <c r="A31" s="42" t="s">
        <v>159</v>
      </c>
      <c r="P31" s="146">
        <v>2641.1660000000002</v>
      </c>
      <c r="Q31" s="70">
        <v>2499.9360000000001</v>
      </c>
      <c r="R31" s="70">
        <v>2534.8789999999999</v>
      </c>
      <c r="S31" s="70">
        <v>2936.498</v>
      </c>
      <c r="T31" s="76">
        <v>2886.8440000000001</v>
      </c>
      <c r="U31" s="76">
        <v>3024.5</v>
      </c>
      <c r="V31" s="76">
        <v>3041.9079999999999</v>
      </c>
      <c r="W31" s="76">
        <v>3107.7620000000002</v>
      </c>
      <c r="X31" s="76">
        <v>2978.5630000000001</v>
      </c>
      <c r="Y31" s="76">
        <v>2977.0659999999998</v>
      </c>
      <c r="Z31" s="76">
        <v>2806.8989999999999</v>
      </c>
      <c r="AA31" s="8">
        <v>2572.6480000000001</v>
      </c>
      <c r="AB31" s="8">
        <v>2284.6840000000002</v>
      </c>
      <c r="AC31" s="8">
        <v>2294.8040000000001</v>
      </c>
      <c r="AD31" s="8">
        <v>2288.105</v>
      </c>
      <c r="AE31" s="8">
        <v>2271.2089999999998</v>
      </c>
      <c r="AF31" s="8">
        <v>2541.6909999999998</v>
      </c>
      <c r="AG31" s="8">
        <v>2339.4789999999998</v>
      </c>
      <c r="AH31" s="186"/>
      <c r="AI31" s="62"/>
      <c r="AS31" s="170"/>
      <c r="AV31" s="8">
        <v>4860</v>
      </c>
      <c r="AW31" s="8">
        <v>4403</v>
      </c>
      <c r="AX31" s="76">
        <v>4930</v>
      </c>
      <c r="AY31" s="8">
        <v>5185</v>
      </c>
      <c r="AZ31" s="8">
        <v>5151</v>
      </c>
      <c r="BA31" s="8">
        <v>4974</v>
      </c>
      <c r="BB31" s="8">
        <v>4566</v>
      </c>
      <c r="BC31" s="8">
        <v>4534</v>
      </c>
      <c r="BD31" s="8">
        <v>4110</v>
      </c>
      <c r="BE31" s="8">
        <v>3883</v>
      </c>
      <c r="BF31" s="8">
        <v>3610</v>
      </c>
      <c r="BG31" s="8">
        <v>3398</v>
      </c>
      <c r="BH31" s="8">
        <v>3534</v>
      </c>
      <c r="BI31" s="8">
        <v>4123</v>
      </c>
      <c r="BJ31" s="8">
        <v>4243</v>
      </c>
      <c r="BK31" s="8">
        <v>4074</v>
      </c>
      <c r="BL31" s="8">
        <v>4249</v>
      </c>
      <c r="BM31" s="8">
        <v>4093</v>
      </c>
    </row>
    <row r="32" spans="1:65" s="8" customFormat="1">
      <c r="A32" s="42" t="s">
        <v>161</v>
      </c>
      <c r="P32" s="146">
        <v>1229.7280000000001</v>
      </c>
      <c r="Q32" s="70">
        <v>1133.2760000000001</v>
      </c>
      <c r="R32" s="70">
        <v>1735.779</v>
      </c>
      <c r="S32" s="70">
        <v>2567.4459999999999</v>
      </c>
      <c r="T32" s="76">
        <v>2292.5189999999998</v>
      </c>
      <c r="U32" s="76">
        <v>2384.87</v>
      </c>
      <c r="V32" s="76">
        <v>2465.3470000000002</v>
      </c>
      <c r="W32" s="76">
        <v>2745.355</v>
      </c>
      <c r="X32" s="76">
        <v>2357.4989999999998</v>
      </c>
      <c r="Y32" s="76">
        <v>2473.96</v>
      </c>
      <c r="Z32" s="76">
        <v>2292.8629999999998</v>
      </c>
      <c r="AA32" s="8">
        <v>2406.8829999999998</v>
      </c>
      <c r="AB32" s="8">
        <v>2349.4349999999999</v>
      </c>
      <c r="AC32" s="8">
        <v>2360.6909999999998</v>
      </c>
      <c r="AD32" s="8">
        <v>2502.268</v>
      </c>
      <c r="AE32" s="8">
        <v>2838.2449999999999</v>
      </c>
      <c r="AF32" s="8">
        <v>3055.35</v>
      </c>
      <c r="AG32" s="8">
        <v>3247.8240000000001</v>
      </c>
      <c r="AH32" s="186"/>
      <c r="AI32" s="62"/>
      <c r="AS32" s="170"/>
      <c r="AV32" s="8">
        <v>1471</v>
      </c>
      <c r="AW32" s="8">
        <v>1371</v>
      </c>
      <c r="AX32" s="76">
        <v>2379</v>
      </c>
      <c r="AY32" s="8">
        <v>2979</v>
      </c>
      <c r="AZ32" s="8">
        <v>2217</v>
      </c>
      <c r="BA32" s="8">
        <v>2256</v>
      </c>
      <c r="BB32" s="8">
        <v>2682</v>
      </c>
      <c r="BC32" s="8">
        <v>2551</v>
      </c>
      <c r="BD32" s="8">
        <v>2700</v>
      </c>
      <c r="BE32" s="8">
        <v>2546</v>
      </c>
      <c r="BF32" s="8">
        <v>3018</v>
      </c>
      <c r="BG32" s="8">
        <v>3721</v>
      </c>
      <c r="BH32" s="8">
        <v>4391</v>
      </c>
      <c r="BI32" s="8">
        <v>4378</v>
      </c>
      <c r="BJ32" s="8">
        <v>5657</v>
      </c>
      <c r="BK32" s="8">
        <v>4490</v>
      </c>
      <c r="BL32" s="8">
        <v>4752</v>
      </c>
      <c r="BM32" s="8">
        <v>4342</v>
      </c>
    </row>
    <row r="33" spans="1:65" s="8" customFormat="1">
      <c r="A33" s="42" t="s">
        <v>164</v>
      </c>
      <c r="B33" s="70"/>
      <c r="C33" s="70"/>
      <c r="D33" s="70"/>
      <c r="E33" s="70"/>
      <c r="F33" s="70"/>
      <c r="G33" s="70"/>
      <c r="H33" s="70"/>
      <c r="I33" s="70"/>
      <c r="J33" s="70"/>
      <c r="K33" s="70"/>
      <c r="L33" s="70"/>
      <c r="M33" s="70"/>
      <c r="N33" s="70"/>
      <c r="O33" s="70"/>
      <c r="P33" s="146">
        <v>4247.7550000000001</v>
      </c>
      <c r="Q33" s="70">
        <v>4539.607</v>
      </c>
      <c r="R33" s="70">
        <v>4364.3760000000002</v>
      </c>
      <c r="S33" s="70">
        <v>5302.0429999999997</v>
      </c>
      <c r="T33" s="76">
        <v>5131.4139999999998</v>
      </c>
      <c r="U33" s="76">
        <v>5154.616</v>
      </c>
      <c r="V33" s="76">
        <v>5691.2929999999997</v>
      </c>
      <c r="W33" s="76">
        <v>5594.915</v>
      </c>
      <c r="X33" s="76">
        <v>5528.8469999999998</v>
      </c>
      <c r="Y33" s="76">
        <v>4637.9780000000001</v>
      </c>
      <c r="Z33" s="76">
        <v>5352.7330000000002</v>
      </c>
      <c r="AA33" s="8">
        <v>4986.4009999999998</v>
      </c>
      <c r="AB33" s="8">
        <v>5262.3109999999997</v>
      </c>
      <c r="AC33" s="8">
        <v>5273.7089999999998</v>
      </c>
      <c r="AD33" s="8">
        <v>5614.125</v>
      </c>
      <c r="AE33" s="8">
        <v>5635.8389999999999</v>
      </c>
      <c r="AF33" s="8">
        <v>5949.7389999999996</v>
      </c>
      <c r="AG33" s="8">
        <v>5882.5230000000001</v>
      </c>
      <c r="AH33" s="104"/>
      <c r="AI33" s="83"/>
      <c r="AJ33" s="70"/>
      <c r="AK33" s="70"/>
      <c r="AL33" s="70"/>
      <c r="AM33" s="70"/>
      <c r="AN33" s="70"/>
      <c r="AO33" s="70"/>
      <c r="AP33" s="70"/>
      <c r="AQ33" s="70"/>
      <c r="AR33" s="70"/>
      <c r="AS33" s="74"/>
      <c r="AT33" s="70"/>
      <c r="AU33" s="70"/>
      <c r="AV33" s="8">
        <v>6031</v>
      </c>
      <c r="AW33" s="8">
        <v>5781</v>
      </c>
      <c r="AX33" s="76">
        <v>5001</v>
      </c>
      <c r="AY33" s="8">
        <v>5954</v>
      </c>
      <c r="AZ33" s="8">
        <v>6047</v>
      </c>
      <c r="BA33" s="8">
        <v>6306</v>
      </c>
      <c r="BB33" s="8">
        <v>7102</v>
      </c>
      <c r="BC33" s="8">
        <v>7069</v>
      </c>
      <c r="BD33" s="8">
        <v>6931</v>
      </c>
      <c r="BE33" s="8">
        <v>6315</v>
      </c>
      <c r="BF33" s="8">
        <v>5911</v>
      </c>
      <c r="BG33" s="8">
        <v>6586</v>
      </c>
      <c r="BH33" s="8">
        <v>6813</v>
      </c>
      <c r="BI33" s="8">
        <v>7545</v>
      </c>
      <c r="BJ33" s="8">
        <v>8216</v>
      </c>
      <c r="BK33" s="8">
        <v>8139</v>
      </c>
      <c r="BL33" s="8">
        <v>8445</v>
      </c>
      <c r="BM33" s="8">
        <v>8289</v>
      </c>
    </row>
    <row r="34" spans="1:65" s="8" customFormat="1">
      <c r="A34" s="42" t="s">
        <v>168</v>
      </c>
      <c r="B34" s="70"/>
      <c r="C34" s="70"/>
      <c r="D34" s="70"/>
      <c r="E34" s="70"/>
      <c r="F34" s="70"/>
      <c r="G34" s="70"/>
      <c r="H34" s="70"/>
      <c r="I34" s="70"/>
      <c r="J34" s="70"/>
      <c r="K34" s="70"/>
      <c r="L34" s="70"/>
      <c r="M34" s="70"/>
      <c r="N34" s="70"/>
      <c r="O34" s="70"/>
      <c r="P34" s="146">
        <v>12696.249</v>
      </c>
      <c r="Q34" s="70">
        <v>12978.593000000001</v>
      </c>
      <c r="R34" s="70">
        <v>13037.361999999999</v>
      </c>
      <c r="S34" s="70">
        <v>13341.255999999999</v>
      </c>
      <c r="T34" s="76">
        <v>13646.742</v>
      </c>
      <c r="U34" s="76">
        <v>14524.096</v>
      </c>
      <c r="V34" s="76">
        <v>13936.130999999999</v>
      </c>
      <c r="W34" s="76">
        <v>14176.892</v>
      </c>
      <c r="X34" s="76">
        <v>14833.998</v>
      </c>
      <c r="Y34" s="76">
        <v>14701.034</v>
      </c>
      <c r="Z34" s="76">
        <v>13957.93</v>
      </c>
      <c r="AA34" s="8">
        <v>14079.647000000001</v>
      </c>
      <c r="AB34" s="8">
        <v>13545.966</v>
      </c>
      <c r="AC34" s="8">
        <v>12639.603999999999</v>
      </c>
      <c r="AD34" s="8">
        <v>13053.025</v>
      </c>
      <c r="AE34" s="8">
        <v>12755.781000000001</v>
      </c>
      <c r="AF34" s="8">
        <v>13078.93</v>
      </c>
      <c r="AG34" s="8">
        <v>13338.385</v>
      </c>
      <c r="AH34" s="104"/>
      <c r="AI34" s="83"/>
      <c r="AJ34" s="70"/>
      <c r="AK34" s="70"/>
      <c r="AL34" s="70"/>
      <c r="AM34" s="70"/>
      <c r="AN34" s="70"/>
      <c r="AO34" s="70"/>
      <c r="AP34" s="70"/>
      <c r="AQ34" s="70"/>
      <c r="AR34" s="70"/>
      <c r="AS34" s="74"/>
      <c r="AT34" s="70"/>
      <c r="AU34" s="70"/>
      <c r="AV34" s="8">
        <v>18283</v>
      </c>
      <c r="AW34" s="8">
        <v>18833</v>
      </c>
      <c r="AX34" s="76">
        <v>19403</v>
      </c>
      <c r="AY34" s="8">
        <v>19747</v>
      </c>
      <c r="AZ34" s="8">
        <v>20702</v>
      </c>
      <c r="BA34" s="8">
        <v>19404</v>
      </c>
      <c r="BB34" s="8">
        <v>19914</v>
      </c>
      <c r="BC34" s="8">
        <v>20484</v>
      </c>
      <c r="BD34" s="8">
        <v>19828</v>
      </c>
      <c r="BE34" s="8">
        <v>19707</v>
      </c>
      <c r="BF34" s="8">
        <v>18441</v>
      </c>
      <c r="BG34" s="8">
        <v>18417</v>
      </c>
      <c r="BH34" s="8">
        <v>20928</v>
      </c>
      <c r="BI34" s="8">
        <v>19499</v>
      </c>
      <c r="BJ34" s="8">
        <v>19030</v>
      </c>
      <c r="BK34" s="8">
        <v>17630</v>
      </c>
      <c r="BL34" s="8">
        <v>18315</v>
      </c>
      <c r="BM34" s="8">
        <v>22016</v>
      </c>
    </row>
    <row r="35" spans="1:65" s="8" customFormat="1">
      <c r="A35" s="42" t="s">
        <v>172</v>
      </c>
      <c r="B35" s="70"/>
      <c r="C35" s="70"/>
      <c r="D35" s="70"/>
      <c r="E35" s="70"/>
      <c r="F35" s="70"/>
      <c r="G35" s="70"/>
      <c r="H35" s="70"/>
      <c r="I35" s="70"/>
      <c r="J35" s="70"/>
      <c r="K35" s="70"/>
      <c r="L35" s="70"/>
      <c r="M35" s="70"/>
      <c r="N35" s="70"/>
      <c r="O35" s="70"/>
      <c r="P35" s="146">
        <v>4561.884</v>
      </c>
      <c r="Q35" s="70">
        <v>4543.5749999999998</v>
      </c>
      <c r="R35" s="70">
        <v>4777.8109999999997</v>
      </c>
      <c r="S35" s="70">
        <v>5750.2049999999999</v>
      </c>
      <c r="T35" s="76">
        <v>6078.3090000000002</v>
      </c>
      <c r="U35" s="76">
        <v>5605.5910000000003</v>
      </c>
      <c r="V35" s="76">
        <v>5880.2430000000004</v>
      </c>
      <c r="W35" s="76">
        <v>6342.3010000000004</v>
      </c>
      <c r="X35" s="76">
        <v>6710.5410000000002</v>
      </c>
      <c r="Y35" s="76">
        <v>6222.3379999999997</v>
      </c>
      <c r="Z35" s="76">
        <v>6044.4229999999998</v>
      </c>
      <c r="AA35" s="8">
        <v>5779.4930000000004</v>
      </c>
      <c r="AB35" s="8">
        <v>5987.74</v>
      </c>
      <c r="AC35" s="8">
        <v>6078.47</v>
      </c>
      <c r="AD35" s="8">
        <v>6519.5730000000003</v>
      </c>
      <c r="AE35" s="8">
        <v>6065.223</v>
      </c>
      <c r="AF35" s="8">
        <v>8446.2669999999998</v>
      </c>
      <c r="AG35" s="8">
        <v>8522.2540000000008</v>
      </c>
      <c r="AH35" s="104"/>
      <c r="AI35" s="83"/>
      <c r="AJ35" s="70"/>
      <c r="AK35" s="70"/>
      <c r="AL35" s="70"/>
      <c r="AM35" s="70"/>
      <c r="AN35" s="70"/>
      <c r="AO35" s="70"/>
      <c r="AP35" s="70"/>
      <c r="AQ35" s="70"/>
      <c r="AR35" s="70"/>
      <c r="AS35" s="74"/>
      <c r="AT35" s="70"/>
      <c r="AU35" s="70"/>
      <c r="AV35" s="8">
        <v>7934</v>
      </c>
      <c r="AW35" s="8">
        <v>8792</v>
      </c>
      <c r="AX35" s="76">
        <v>8193</v>
      </c>
      <c r="AY35" s="8">
        <v>9799</v>
      </c>
      <c r="AZ35" s="8">
        <v>10784</v>
      </c>
      <c r="BA35" s="8">
        <v>10475</v>
      </c>
      <c r="BB35" s="8">
        <v>10587</v>
      </c>
      <c r="BC35" s="8">
        <v>11786</v>
      </c>
      <c r="BD35" s="8">
        <v>12767</v>
      </c>
      <c r="BE35" s="8">
        <v>12651</v>
      </c>
      <c r="BF35" s="8">
        <v>15117</v>
      </c>
      <c r="BG35" s="8">
        <v>15442</v>
      </c>
      <c r="BH35" s="8">
        <v>16454</v>
      </c>
      <c r="BI35" s="8">
        <v>16030</v>
      </c>
      <c r="BJ35" s="8">
        <v>17694</v>
      </c>
      <c r="BK35" s="8">
        <v>13781</v>
      </c>
      <c r="BL35" s="8">
        <v>19996</v>
      </c>
      <c r="BM35" s="8">
        <v>19576</v>
      </c>
    </row>
    <row r="36" spans="1:65" s="8" customFormat="1">
      <c r="A36" s="42" t="s">
        <v>174</v>
      </c>
      <c r="B36" s="70"/>
      <c r="C36" s="70"/>
      <c r="D36" s="70"/>
      <c r="E36" s="70"/>
      <c r="F36" s="70"/>
      <c r="G36" s="70"/>
      <c r="H36" s="70"/>
      <c r="I36" s="70"/>
      <c r="J36" s="70"/>
      <c r="K36" s="70"/>
      <c r="L36" s="70"/>
      <c r="M36" s="70"/>
      <c r="N36" s="70"/>
      <c r="O36" s="70"/>
      <c r="P36" s="146">
        <v>16982.330999999998</v>
      </c>
      <c r="Q36" s="70">
        <v>17286.007000000001</v>
      </c>
      <c r="R36" s="70">
        <v>17630.258000000002</v>
      </c>
      <c r="S36" s="70">
        <v>18204.103999999999</v>
      </c>
      <c r="T36" s="76">
        <v>18325.035</v>
      </c>
      <c r="U36" s="76">
        <v>18781.843000000001</v>
      </c>
      <c r="V36" s="76">
        <v>18050.194</v>
      </c>
      <c r="W36" s="76">
        <v>18430.716</v>
      </c>
      <c r="X36" s="76">
        <v>18000.319</v>
      </c>
      <c r="Y36" s="76">
        <v>17970.745999999999</v>
      </c>
      <c r="Z36" s="76">
        <v>18182.221000000001</v>
      </c>
      <c r="AA36" s="8">
        <v>18484.864000000001</v>
      </c>
      <c r="AB36" s="8">
        <v>17879.596000000001</v>
      </c>
      <c r="AC36" s="8">
        <v>18206.543000000001</v>
      </c>
      <c r="AD36" s="8">
        <v>17989.697</v>
      </c>
      <c r="AE36" s="8">
        <v>17810.556</v>
      </c>
      <c r="AF36" s="8">
        <v>18809.671999999999</v>
      </c>
      <c r="AG36" s="8">
        <v>19469.212</v>
      </c>
      <c r="AH36" s="104"/>
      <c r="AI36" s="83"/>
      <c r="AJ36" s="70"/>
      <c r="AK36" s="70"/>
      <c r="AL36" s="70"/>
      <c r="AM36" s="70"/>
      <c r="AN36" s="70"/>
      <c r="AO36" s="70"/>
      <c r="AP36" s="70"/>
      <c r="AQ36" s="70"/>
      <c r="AR36" s="70"/>
      <c r="AS36" s="74"/>
      <c r="AT36" s="70"/>
      <c r="AU36" s="70"/>
      <c r="AV36" s="8">
        <v>24416</v>
      </c>
      <c r="AW36" s="8">
        <v>23193</v>
      </c>
      <c r="AX36" s="76">
        <v>22194</v>
      </c>
      <c r="AY36" s="8">
        <v>23867</v>
      </c>
      <c r="AZ36" s="8">
        <v>24261</v>
      </c>
      <c r="BA36" s="8">
        <v>24783</v>
      </c>
      <c r="BB36" s="8">
        <v>22644</v>
      </c>
      <c r="BC36" s="8">
        <v>26457</v>
      </c>
      <c r="BD36" s="8">
        <v>25882</v>
      </c>
      <c r="BE36" s="8">
        <v>26473</v>
      </c>
      <c r="BF36" s="8">
        <v>24209</v>
      </c>
      <c r="BG36" s="8">
        <v>26805</v>
      </c>
      <c r="BH36" s="8">
        <v>27667</v>
      </c>
      <c r="BI36" s="8">
        <v>32408</v>
      </c>
      <c r="BJ36" s="8">
        <v>31627</v>
      </c>
      <c r="BK36" s="8">
        <v>32002</v>
      </c>
      <c r="BL36" s="8">
        <v>34422</v>
      </c>
      <c r="BM36" s="8">
        <v>34432</v>
      </c>
    </row>
    <row r="37" spans="1:65" s="8" customFormat="1">
      <c r="A37" s="43" t="s">
        <v>176</v>
      </c>
      <c r="B37" s="70"/>
      <c r="C37" s="83"/>
      <c r="D37" s="70"/>
      <c r="E37" s="70"/>
      <c r="F37" s="70"/>
      <c r="G37" s="70"/>
      <c r="H37" s="70"/>
      <c r="I37" s="70"/>
      <c r="J37" s="70"/>
      <c r="K37" s="70"/>
      <c r="L37" s="70"/>
      <c r="M37" s="70"/>
      <c r="N37" s="70"/>
      <c r="O37" s="70"/>
      <c r="P37" s="146">
        <v>1098.21</v>
      </c>
      <c r="Q37" s="70">
        <v>1102.1610000000001</v>
      </c>
      <c r="R37" s="70">
        <v>1168.8969999999999</v>
      </c>
      <c r="S37" s="70">
        <v>1374.626</v>
      </c>
      <c r="T37" s="76">
        <v>1381.28</v>
      </c>
      <c r="U37" s="76">
        <v>1494.0360000000001</v>
      </c>
      <c r="V37" s="76">
        <v>1530.0260000000001</v>
      </c>
      <c r="W37" s="76">
        <v>1719.722</v>
      </c>
      <c r="X37" s="76">
        <v>1707.463</v>
      </c>
      <c r="Y37" s="76">
        <v>1902.854</v>
      </c>
      <c r="Z37" s="76">
        <v>1870.2380000000001</v>
      </c>
      <c r="AA37" s="8">
        <v>1727.8610000000001</v>
      </c>
      <c r="AB37" s="8">
        <v>1346.09</v>
      </c>
      <c r="AC37" s="8">
        <v>1513.72</v>
      </c>
      <c r="AD37" s="8">
        <v>1553.183</v>
      </c>
      <c r="AE37" s="8">
        <v>1339.2639999999999</v>
      </c>
      <c r="AF37" s="8">
        <v>1199.546</v>
      </c>
      <c r="AG37" s="8">
        <v>1308.066</v>
      </c>
      <c r="AH37" s="104"/>
      <c r="AI37" s="83"/>
      <c r="AJ37" s="70"/>
      <c r="AK37" s="70"/>
      <c r="AL37" s="70"/>
      <c r="AM37" s="70"/>
      <c r="AN37" s="70"/>
      <c r="AO37" s="70"/>
      <c r="AP37" s="70"/>
      <c r="AQ37" s="70"/>
      <c r="AR37" s="70"/>
      <c r="AS37" s="74"/>
      <c r="AT37" s="70"/>
      <c r="AU37" s="70"/>
      <c r="AV37" s="8">
        <v>1748</v>
      </c>
      <c r="AW37" s="8">
        <v>1421</v>
      </c>
      <c r="AX37" s="76">
        <v>1627</v>
      </c>
      <c r="AY37" s="8">
        <v>1717</v>
      </c>
      <c r="AZ37" s="8">
        <v>1684</v>
      </c>
      <c r="BA37" s="8">
        <v>1825</v>
      </c>
      <c r="BB37" s="8">
        <v>1873</v>
      </c>
      <c r="BC37" s="8">
        <v>1798</v>
      </c>
      <c r="BD37" s="8">
        <v>1650</v>
      </c>
      <c r="BE37" s="8">
        <v>2129</v>
      </c>
      <c r="BF37" s="8">
        <v>2225</v>
      </c>
      <c r="BG37" s="8">
        <v>2652</v>
      </c>
      <c r="BH37" s="8">
        <v>2535</v>
      </c>
      <c r="BI37" s="8">
        <v>3437</v>
      </c>
      <c r="BJ37" s="231">
        <v>2842</v>
      </c>
      <c r="BK37" s="231">
        <v>2207</v>
      </c>
      <c r="BL37" s="8">
        <v>1657</v>
      </c>
      <c r="BM37" s="231">
        <v>1245</v>
      </c>
    </row>
    <row r="38" spans="1:65" s="8" customFormat="1">
      <c r="A38" s="40" t="s">
        <v>218</v>
      </c>
      <c r="B38" s="27">
        <f t="shared" ref="B38:BF38" si="46">SUM(B40:B51)</f>
        <v>0</v>
      </c>
      <c r="C38" s="27">
        <f t="shared" si="46"/>
        <v>0</v>
      </c>
      <c r="D38" s="27">
        <f t="shared" si="46"/>
        <v>0</v>
      </c>
      <c r="E38" s="27">
        <f t="shared" si="46"/>
        <v>0</v>
      </c>
      <c r="F38" s="27">
        <f t="shared" si="46"/>
        <v>0</v>
      </c>
      <c r="G38" s="27">
        <f t="shared" si="46"/>
        <v>0</v>
      </c>
      <c r="H38" s="27">
        <f t="shared" si="46"/>
        <v>0</v>
      </c>
      <c r="I38" s="27">
        <f t="shared" si="46"/>
        <v>0</v>
      </c>
      <c r="J38" s="27">
        <f t="shared" si="46"/>
        <v>0</v>
      </c>
      <c r="K38" s="27">
        <f t="shared" si="46"/>
        <v>0</v>
      </c>
      <c r="L38" s="27">
        <f t="shared" si="46"/>
        <v>0</v>
      </c>
      <c r="M38" s="27">
        <f t="shared" si="46"/>
        <v>0</v>
      </c>
      <c r="N38" s="27">
        <f t="shared" si="46"/>
        <v>0</v>
      </c>
      <c r="O38" s="27">
        <f t="shared" si="46"/>
        <v>0</v>
      </c>
      <c r="P38" s="27">
        <f t="shared" si="46"/>
        <v>207741.81700000001</v>
      </c>
      <c r="Q38" s="27">
        <f t="shared" si="46"/>
        <v>213639.514</v>
      </c>
      <c r="R38" s="27">
        <f t="shared" si="46"/>
        <v>220495.83100000001</v>
      </c>
      <c r="S38" s="27">
        <f t="shared" si="46"/>
        <v>244798.73900000003</v>
      </c>
      <c r="T38" s="27">
        <f t="shared" si="46"/>
        <v>247448.34699999998</v>
      </c>
      <c r="U38" s="27">
        <f t="shared" si="46"/>
        <v>253490.09899999999</v>
      </c>
      <c r="V38" s="27">
        <f t="shared" si="46"/>
        <v>253791.87700000001</v>
      </c>
      <c r="W38" s="27">
        <f t="shared" si="46"/>
        <v>256106.36300000001</v>
      </c>
      <c r="X38" s="27">
        <f t="shared" si="46"/>
        <v>252486.96899999998</v>
      </c>
      <c r="Y38" s="27">
        <f t="shared" si="46"/>
        <v>256512.27600000001</v>
      </c>
      <c r="Z38" s="27">
        <f t="shared" si="46"/>
        <v>255301.02599999998</v>
      </c>
      <c r="AA38" s="27">
        <f t="shared" ref="AA38:AB38" si="47">SUM(AA40:AA51)</f>
        <v>267875.52299999999</v>
      </c>
      <c r="AB38" s="27">
        <f t="shared" si="47"/>
        <v>253148.58900000004</v>
      </c>
      <c r="AC38" s="27">
        <f t="shared" ref="AC38:AD38" si="48">SUM(AC40:AC51)</f>
        <v>243837.984</v>
      </c>
      <c r="AD38" s="27">
        <f t="shared" si="48"/>
        <v>246158.94499999998</v>
      </c>
      <c r="AE38" s="27">
        <f t="shared" ref="AE38:AF38" si="49">SUM(AE40:AE51)</f>
        <v>230228.37000000002</v>
      </c>
      <c r="AF38" s="27">
        <f t="shared" si="49"/>
        <v>241579.39900000006</v>
      </c>
      <c r="AG38" s="27">
        <f t="shared" ref="AG38" si="50">SUM(AG40:AG51)</f>
        <v>238600.26299999998</v>
      </c>
      <c r="AH38" s="107">
        <f t="shared" si="46"/>
        <v>0</v>
      </c>
      <c r="AI38" s="27">
        <f t="shared" si="46"/>
        <v>0</v>
      </c>
      <c r="AJ38" s="27">
        <f t="shared" si="46"/>
        <v>0</v>
      </c>
      <c r="AK38" s="27">
        <f t="shared" si="46"/>
        <v>0</v>
      </c>
      <c r="AL38" s="27">
        <f t="shared" si="46"/>
        <v>0</v>
      </c>
      <c r="AM38" s="27">
        <f t="shared" si="46"/>
        <v>0</v>
      </c>
      <c r="AN38" s="27">
        <f t="shared" si="46"/>
        <v>0</v>
      </c>
      <c r="AO38" s="27">
        <f t="shared" si="46"/>
        <v>0</v>
      </c>
      <c r="AP38" s="27">
        <f t="shared" si="46"/>
        <v>0</v>
      </c>
      <c r="AQ38" s="27">
        <f t="shared" si="46"/>
        <v>0</v>
      </c>
      <c r="AR38" s="27">
        <f t="shared" si="46"/>
        <v>0</v>
      </c>
      <c r="AS38" s="27">
        <f t="shared" si="46"/>
        <v>0</v>
      </c>
      <c r="AT38" s="27">
        <f t="shared" si="46"/>
        <v>0</v>
      </c>
      <c r="AU38" s="27">
        <f t="shared" si="46"/>
        <v>0</v>
      </c>
      <c r="AV38" s="27">
        <f t="shared" si="46"/>
        <v>274932</v>
      </c>
      <c r="AW38" s="27">
        <f t="shared" si="46"/>
        <v>283657</v>
      </c>
      <c r="AX38" s="27">
        <f t="shared" si="46"/>
        <v>275354</v>
      </c>
      <c r="AY38" s="27">
        <f t="shared" si="46"/>
        <v>293653</v>
      </c>
      <c r="AZ38" s="27">
        <f t="shared" si="46"/>
        <v>311068</v>
      </c>
      <c r="BA38" s="27">
        <f t="shared" si="46"/>
        <v>311067</v>
      </c>
      <c r="BB38" s="27">
        <f t="shared" si="46"/>
        <v>315639</v>
      </c>
      <c r="BC38" s="27">
        <f t="shared" si="46"/>
        <v>316019</v>
      </c>
      <c r="BD38" s="27">
        <f t="shared" si="46"/>
        <v>319701</v>
      </c>
      <c r="BE38" s="27">
        <f t="shared" si="46"/>
        <v>335259</v>
      </c>
      <c r="BF38" s="27">
        <f t="shared" si="46"/>
        <v>339425</v>
      </c>
      <c r="BG38" s="27">
        <f t="shared" ref="BG38:BH38" si="51">SUM(BG40:BG51)</f>
        <v>391829</v>
      </c>
      <c r="BH38" s="27">
        <f t="shared" si="51"/>
        <v>399820</v>
      </c>
      <c r="BI38" s="27">
        <f t="shared" ref="BI38:BJ38" si="52">SUM(BI40:BI51)</f>
        <v>400481</v>
      </c>
      <c r="BJ38" s="27">
        <f t="shared" si="52"/>
        <v>418355</v>
      </c>
      <c r="BK38" s="27">
        <f t="shared" ref="BK38:BL38" si="53">SUM(BK40:BK51)</f>
        <v>395131</v>
      </c>
      <c r="BL38" s="27">
        <f t="shared" si="53"/>
        <v>401518</v>
      </c>
      <c r="BM38" s="27">
        <f t="shared" ref="BM38" si="54">SUM(BM40:BM51)</f>
        <v>360964</v>
      </c>
    </row>
    <row r="39" spans="1:65" s="8" customFormat="1">
      <c r="A39" s="30" t="s">
        <v>215</v>
      </c>
      <c r="B39" s="31">
        <f t="shared" ref="B39:BG39" si="55">(B38/B4)*100</f>
        <v>0</v>
      </c>
      <c r="C39" s="31">
        <f t="shared" si="55"/>
        <v>0</v>
      </c>
      <c r="D39" s="31">
        <f t="shared" si="55"/>
        <v>0</v>
      </c>
      <c r="E39" s="31">
        <f t="shared" si="55"/>
        <v>0</v>
      </c>
      <c r="F39" s="31">
        <f t="shared" si="55"/>
        <v>0</v>
      </c>
      <c r="G39" s="31">
        <f t="shared" si="55"/>
        <v>0</v>
      </c>
      <c r="H39" s="31">
        <f t="shared" si="55"/>
        <v>0</v>
      </c>
      <c r="I39" s="31">
        <f t="shared" si="55"/>
        <v>0</v>
      </c>
      <c r="J39" s="31">
        <f t="shared" si="55"/>
        <v>0</v>
      </c>
      <c r="K39" s="31">
        <f t="shared" si="55"/>
        <v>0</v>
      </c>
      <c r="L39" s="31">
        <f t="shared" si="55"/>
        <v>0</v>
      </c>
      <c r="M39" s="31">
        <f t="shared" si="55"/>
        <v>0</v>
      </c>
      <c r="N39" s="31">
        <f t="shared" si="55"/>
        <v>0</v>
      </c>
      <c r="O39" s="31">
        <f t="shared" si="55"/>
        <v>0</v>
      </c>
      <c r="P39" s="31">
        <f t="shared" si="55"/>
        <v>24.708726430807552</v>
      </c>
      <c r="Q39" s="31">
        <f t="shared" si="55"/>
        <v>24.792565111976195</v>
      </c>
      <c r="R39" s="31">
        <f t="shared" si="55"/>
        <v>24.699107238313957</v>
      </c>
      <c r="S39" s="31">
        <f t="shared" si="55"/>
        <v>24.697828033767234</v>
      </c>
      <c r="T39" s="31">
        <f t="shared" si="55"/>
        <v>24.348707477251772</v>
      </c>
      <c r="U39" s="31">
        <f t="shared" si="55"/>
        <v>24.276842918147018</v>
      </c>
      <c r="V39" s="31">
        <f t="shared" si="55"/>
        <v>24.30144938004166</v>
      </c>
      <c r="W39" s="31">
        <f t="shared" si="55"/>
        <v>24.044013654395986</v>
      </c>
      <c r="X39" s="31">
        <f t="shared" si="55"/>
        <v>23.76279511152487</v>
      </c>
      <c r="Y39" s="31">
        <f t="shared" si="55"/>
        <v>24.43485115545467</v>
      </c>
      <c r="Z39" s="31">
        <f t="shared" si="55"/>
        <v>25.011397750036799</v>
      </c>
      <c r="AA39" s="31">
        <f t="shared" si="55"/>
        <v>25.515998079493755</v>
      </c>
      <c r="AB39" s="31">
        <f t="shared" ref="AB39:AC39" si="56">(AB38/AB4)*100</f>
        <v>25.385130246013187</v>
      </c>
      <c r="AC39" s="31">
        <f t="shared" si="56"/>
        <v>25.576201208430117</v>
      </c>
      <c r="AD39" s="31">
        <f t="shared" ref="AD39:AE39" si="57">(AD38/AD4)*100</f>
        <v>25.530275935964397</v>
      </c>
      <c r="AE39" s="31">
        <f t="shared" si="57"/>
        <v>25.272390837087183</v>
      </c>
      <c r="AF39" s="31">
        <f t="shared" ref="AF39:AG39" si="58">(AF38/AF4)*100</f>
        <v>24.977088597553731</v>
      </c>
      <c r="AG39" s="31">
        <f t="shared" si="58"/>
        <v>24.422691081714014</v>
      </c>
      <c r="AH39" s="108">
        <f t="shared" si="55"/>
        <v>0</v>
      </c>
      <c r="AI39" s="31">
        <f t="shared" si="55"/>
        <v>0</v>
      </c>
      <c r="AJ39" s="31">
        <f t="shared" si="55"/>
        <v>0</v>
      </c>
      <c r="AK39" s="31">
        <f t="shared" si="55"/>
        <v>0</v>
      </c>
      <c r="AL39" s="31">
        <f t="shared" si="55"/>
        <v>0</v>
      </c>
      <c r="AM39" s="31">
        <f t="shared" si="55"/>
        <v>0</v>
      </c>
      <c r="AN39" s="31">
        <f t="shared" si="55"/>
        <v>0</v>
      </c>
      <c r="AO39" s="31">
        <f t="shared" si="55"/>
        <v>0</v>
      </c>
      <c r="AP39" s="31">
        <f t="shared" si="55"/>
        <v>0</v>
      </c>
      <c r="AQ39" s="31">
        <f t="shared" si="55"/>
        <v>0</v>
      </c>
      <c r="AR39" s="31">
        <f t="shared" si="55"/>
        <v>0</v>
      </c>
      <c r="AS39" s="31">
        <f t="shared" si="55"/>
        <v>0</v>
      </c>
      <c r="AT39" s="31">
        <f t="shared" si="55"/>
        <v>0</v>
      </c>
      <c r="AU39" s="31">
        <f t="shared" si="55"/>
        <v>0</v>
      </c>
      <c r="AV39" s="31">
        <f t="shared" si="55"/>
        <v>24.491497566724661</v>
      </c>
      <c r="AW39" s="31">
        <f t="shared" si="55"/>
        <v>25.097458729346979</v>
      </c>
      <c r="AX39" s="31">
        <f t="shared" si="55"/>
        <v>24.466863808582779</v>
      </c>
      <c r="AY39" s="31">
        <f t="shared" si="55"/>
        <v>23.701840112482707</v>
      </c>
      <c r="AZ39" s="31">
        <f t="shared" si="55"/>
        <v>23.989240362829278</v>
      </c>
      <c r="BA39" s="31">
        <f t="shared" si="55"/>
        <v>23.411273825812483</v>
      </c>
      <c r="BB39" s="31">
        <f t="shared" si="55"/>
        <v>23.50839561618125</v>
      </c>
      <c r="BC39" s="31">
        <f t="shared" si="55"/>
        <v>23.271941322886136</v>
      </c>
      <c r="BD39" s="31">
        <f t="shared" si="55"/>
        <v>23.498873571751457</v>
      </c>
      <c r="BE39" s="31">
        <f t="shared" si="55"/>
        <v>24.078574845190232</v>
      </c>
      <c r="BF39" s="31">
        <f t="shared" si="55"/>
        <v>24.404983599390857</v>
      </c>
      <c r="BG39" s="31">
        <f t="shared" si="55"/>
        <v>25.518339542032457</v>
      </c>
      <c r="BH39" s="31">
        <f t="shared" ref="BH39:BI39" si="59">(BH38/BH4)*100</f>
        <v>25.339062539610108</v>
      </c>
      <c r="BI39" s="31">
        <f t="shared" si="59"/>
        <v>25.156394769985518</v>
      </c>
      <c r="BJ39" s="31">
        <f t="shared" ref="BJ39:BK39" si="60">(BJ38/BJ4)*100</f>
        <v>26.443219340517089</v>
      </c>
      <c r="BK39" s="31">
        <f t="shared" si="60"/>
        <v>26.415431124041838</v>
      </c>
      <c r="BL39" s="31">
        <f t="shared" ref="BL39:BM39" si="61">(BL38/BL4)*100</f>
        <v>25.658069628342112</v>
      </c>
      <c r="BM39" s="31">
        <f t="shared" si="61"/>
        <v>24.468486056317023</v>
      </c>
    </row>
    <row r="40" spans="1:65" s="8" customFormat="1">
      <c r="A40" s="42" t="s">
        <v>150</v>
      </c>
      <c r="P40" s="146">
        <v>35314.040999999997</v>
      </c>
      <c r="Q40" s="70">
        <v>40814.902999999998</v>
      </c>
      <c r="R40" s="70">
        <v>45058.635000000002</v>
      </c>
      <c r="S40" s="70">
        <v>53063.563000000002</v>
      </c>
      <c r="T40" s="76">
        <v>55847.853000000003</v>
      </c>
      <c r="U40" s="76">
        <v>55481.624000000003</v>
      </c>
      <c r="V40" s="76">
        <v>56449.82</v>
      </c>
      <c r="W40" s="76">
        <v>55431.517</v>
      </c>
      <c r="X40" s="76">
        <v>51973.542999999998</v>
      </c>
      <c r="Y40" s="76">
        <v>52807.336000000003</v>
      </c>
      <c r="Z40" s="76">
        <v>53865.972999999998</v>
      </c>
      <c r="AA40" s="8">
        <v>59410.233</v>
      </c>
      <c r="AB40" s="8">
        <v>55269.292999999998</v>
      </c>
      <c r="AC40" s="8">
        <v>48059.974000000002</v>
      </c>
      <c r="AD40" s="8">
        <v>49939.557999999997</v>
      </c>
      <c r="AE40" s="8">
        <v>45486.006999999998</v>
      </c>
      <c r="AF40" s="8">
        <v>45053.046000000002</v>
      </c>
      <c r="AG40" s="8">
        <v>45043.476000000002</v>
      </c>
      <c r="AH40" s="186"/>
      <c r="AI40" s="62"/>
      <c r="AS40" s="170"/>
      <c r="AV40" s="8">
        <v>38891</v>
      </c>
      <c r="AW40" s="8">
        <v>44697</v>
      </c>
      <c r="AX40" s="76">
        <v>42894</v>
      </c>
      <c r="AY40" s="8">
        <v>50301</v>
      </c>
      <c r="AZ40" s="8">
        <v>52339</v>
      </c>
      <c r="BA40" s="8">
        <v>49814</v>
      </c>
      <c r="BB40" s="8">
        <v>49724</v>
      </c>
      <c r="BC40" s="8">
        <v>48819</v>
      </c>
      <c r="BD40" s="8">
        <v>47697</v>
      </c>
      <c r="BE40" s="8">
        <v>51124</v>
      </c>
      <c r="BF40" s="8">
        <v>51914</v>
      </c>
      <c r="BG40" s="8">
        <v>64482</v>
      </c>
      <c r="BH40" s="8">
        <v>57919</v>
      </c>
      <c r="BI40" s="8">
        <v>55044</v>
      </c>
      <c r="BJ40" s="8">
        <v>59535</v>
      </c>
      <c r="BK40" s="8">
        <v>57495</v>
      </c>
      <c r="BL40" s="8">
        <v>56556</v>
      </c>
      <c r="BM40" s="8">
        <v>54513</v>
      </c>
    </row>
    <row r="41" spans="1:65" s="8" customFormat="1">
      <c r="A41" s="42" t="s">
        <v>151</v>
      </c>
      <c r="P41" s="146">
        <v>18117.670999999998</v>
      </c>
      <c r="Q41" s="70">
        <v>18667.759999999998</v>
      </c>
      <c r="R41" s="70">
        <v>19970.48</v>
      </c>
      <c r="S41" s="70">
        <v>22061.754000000001</v>
      </c>
      <c r="T41" s="76">
        <v>22387.478999999999</v>
      </c>
      <c r="U41" s="76">
        <v>23855.082999999999</v>
      </c>
      <c r="V41" s="76">
        <v>23397.100999999999</v>
      </c>
      <c r="W41" s="76">
        <v>23018.074000000001</v>
      </c>
      <c r="X41" s="76">
        <v>23606.125</v>
      </c>
      <c r="Y41" s="76">
        <v>24545.89</v>
      </c>
      <c r="Z41" s="76">
        <v>24849.575000000001</v>
      </c>
      <c r="AA41" s="8">
        <v>25879.742999999999</v>
      </c>
      <c r="AB41" s="8">
        <v>24492.15</v>
      </c>
      <c r="AC41" s="8">
        <v>24101.473999999998</v>
      </c>
      <c r="AD41" s="8">
        <v>27995.142</v>
      </c>
      <c r="AE41" s="8">
        <v>24337.24</v>
      </c>
      <c r="AF41" s="8">
        <v>29095.674999999999</v>
      </c>
      <c r="AG41" s="8">
        <v>23243.54</v>
      </c>
      <c r="AH41" s="186"/>
      <c r="AI41" s="62"/>
      <c r="AS41" s="170"/>
      <c r="AV41" s="8">
        <v>27219</v>
      </c>
      <c r="AW41" s="8">
        <v>25803</v>
      </c>
      <c r="AX41" s="76">
        <v>28751</v>
      </c>
      <c r="AY41" s="8">
        <v>30055</v>
      </c>
      <c r="AZ41" s="8">
        <v>32471</v>
      </c>
      <c r="BA41" s="8">
        <v>32187</v>
      </c>
      <c r="BB41" s="8">
        <v>32072</v>
      </c>
      <c r="BC41" s="8">
        <v>31806</v>
      </c>
      <c r="BD41" s="8">
        <v>33804</v>
      </c>
      <c r="BE41" s="8">
        <v>35966</v>
      </c>
      <c r="BF41" s="8">
        <v>34768</v>
      </c>
      <c r="BG41" s="8">
        <v>38459</v>
      </c>
      <c r="BH41" s="8">
        <v>46885</v>
      </c>
      <c r="BI41" s="8">
        <v>47816</v>
      </c>
      <c r="BJ41" s="8">
        <v>64178</v>
      </c>
      <c r="BK41" s="8">
        <v>55370</v>
      </c>
      <c r="BL41" s="8">
        <v>62564</v>
      </c>
      <c r="BM41" s="8">
        <v>41069</v>
      </c>
    </row>
    <row r="42" spans="1:65" s="8" customFormat="1">
      <c r="A42" s="42" t="s">
        <v>152</v>
      </c>
      <c r="P42" s="146">
        <v>11374.184999999999</v>
      </c>
      <c r="Q42" s="70">
        <v>11630.163</v>
      </c>
      <c r="R42" s="70">
        <v>11308.78</v>
      </c>
      <c r="S42" s="70">
        <v>11174.266</v>
      </c>
      <c r="T42" s="76">
        <v>11727.886</v>
      </c>
      <c r="U42" s="76">
        <v>12670.771000000001</v>
      </c>
      <c r="V42" s="76">
        <v>13776.736000000001</v>
      </c>
      <c r="W42" s="76">
        <v>15423.960999999999</v>
      </c>
      <c r="X42" s="76">
        <v>16140.174000000001</v>
      </c>
      <c r="Y42" s="76">
        <v>15380.308999999999</v>
      </c>
      <c r="Z42" s="76">
        <v>16179.636</v>
      </c>
      <c r="AA42" s="8">
        <v>18138.726999999999</v>
      </c>
      <c r="AB42" s="8">
        <v>19084.269</v>
      </c>
      <c r="AC42" s="8">
        <v>20933.63</v>
      </c>
      <c r="AD42" s="8">
        <v>15458.891</v>
      </c>
      <c r="AE42" s="8">
        <v>15183.892</v>
      </c>
      <c r="AF42" s="8">
        <v>15133.994000000001</v>
      </c>
      <c r="AG42" s="8">
        <v>15344.066000000001</v>
      </c>
      <c r="AH42" s="186"/>
      <c r="AI42" s="62"/>
      <c r="AS42" s="170"/>
      <c r="AV42" s="8">
        <v>14381</v>
      </c>
      <c r="AW42" s="8">
        <v>14850</v>
      </c>
      <c r="AX42" s="76">
        <v>14851</v>
      </c>
      <c r="AY42" s="8">
        <v>15238</v>
      </c>
      <c r="AZ42" s="8">
        <v>19364</v>
      </c>
      <c r="BA42" s="8">
        <v>19144</v>
      </c>
      <c r="BB42" s="8">
        <v>21553</v>
      </c>
      <c r="BC42" s="8">
        <v>22995</v>
      </c>
      <c r="BD42" s="8">
        <v>26686</v>
      </c>
      <c r="BE42" s="8">
        <v>26329</v>
      </c>
      <c r="BF42" s="8">
        <v>27413</v>
      </c>
      <c r="BG42" s="8">
        <v>34144</v>
      </c>
      <c r="BH42" s="8">
        <v>38032</v>
      </c>
      <c r="BI42" s="8">
        <v>44361</v>
      </c>
      <c r="BJ42" s="8">
        <v>35392</v>
      </c>
      <c r="BK42" s="8">
        <v>39679</v>
      </c>
      <c r="BL42" s="8">
        <v>40707</v>
      </c>
      <c r="BM42" s="8">
        <v>33771</v>
      </c>
    </row>
    <row r="43" spans="1:65" s="8" customFormat="1">
      <c r="A43" s="42" t="s">
        <v>153</v>
      </c>
      <c r="P43" s="146">
        <v>6401.3729999999996</v>
      </c>
      <c r="Q43" s="70">
        <v>6685.7420000000002</v>
      </c>
      <c r="R43" s="70">
        <v>6482.7259999999997</v>
      </c>
      <c r="S43" s="70">
        <v>7013.9639999999999</v>
      </c>
      <c r="T43" s="76">
        <v>6935.3729999999996</v>
      </c>
      <c r="U43" s="76">
        <v>7039.768</v>
      </c>
      <c r="V43" s="76">
        <v>6854.5550000000003</v>
      </c>
      <c r="W43" s="76">
        <v>7051.6149999999998</v>
      </c>
      <c r="X43" s="76">
        <v>7339.9170000000004</v>
      </c>
      <c r="Y43" s="76">
        <v>7902.2129999999997</v>
      </c>
      <c r="Z43" s="76">
        <v>7473.2929999999997</v>
      </c>
      <c r="AA43" s="8">
        <v>6935.7610000000004</v>
      </c>
      <c r="AB43" s="8">
        <v>6938.02</v>
      </c>
      <c r="AC43" s="8">
        <v>6831.2</v>
      </c>
      <c r="AD43" s="8">
        <v>6992.6239999999998</v>
      </c>
      <c r="AE43" s="8">
        <v>6897.9709999999995</v>
      </c>
      <c r="AF43" s="8">
        <v>7216.6909999999998</v>
      </c>
      <c r="AG43" s="8">
        <v>8020.4470000000001</v>
      </c>
      <c r="AH43" s="186"/>
      <c r="AI43" s="62"/>
      <c r="AS43" s="170"/>
      <c r="AV43" s="8">
        <v>12039</v>
      </c>
      <c r="AW43" s="8">
        <v>12356</v>
      </c>
      <c r="AX43" s="76">
        <v>13114</v>
      </c>
      <c r="AY43" s="8">
        <v>14232</v>
      </c>
      <c r="AZ43" s="8">
        <v>15627</v>
      </c>
      <c r="BA43" s="8">
        <v>14567</v>
      </c>
      <c r="BB43" s="8">
        <v>14543</v>
      </c>
      <c r="BC43" s="8">
        <v>14340</v>
      </c>
      <c r="BD43" s="8">
        <v>14233</v>
      </c>
      <c r="BE43" s="8">
        <v>15504</v>
      </c>
      <c r="BF43" s="8">
        <v>14385</v>
      </c>
      <c r="BG43" s="8">
        <v>13927</v>
      </c>
      <c r="BH43" s="8">
        <v>15325</v>
      </c>
      <c r="BI43" s="8">
        <v>15306</v>
      </c>
      <c r="BJ43" s="8">
        <v>16397</v>
      </c>
      <c r="BK43" s="8">
        <v>13886</v>
      </c>
      <c r="BL43" s="8">
        <v>15008</v>
      </c>
      <c r="BM43" s="8">
        <v>14724</v>
      </c>
    </row>
    <row r="44" spans="1:65" s="8" customFormat="1">
      <c r="A44" s="42" t="s">
        <v>156</v>
      </c>
      <c r="P44" s="146">
        <v>28767.059000000001</v>
      </c>
      <c r="Q44" s="70">
        <v>29730.668000000001</v>
      </c>
      <c r="R44" s="70">
        <v>31113.554</v>
      </c>
      <c r="S44" s="70">
        <v>34207.220999999998</v>
      </c>
      <c r="T44" s="76">
        <v>32610.657999999999</v>
      </c>
      <c r="U44" s="76">
        <v>34507.65</v>
      </c>
      <c r="V44" s="76">
        <v>35180.364000000001</v>
      </c>
      <c r="W44" s="76">
        <v>35644.843999999997</v>
      </c>
      <c r="X44" s="76">
        <v>34810.972000000002</v>
      </c>
      <c r="Y44" s="76">
        <v>35903.898999999998</v>
      </c>
      <c r="Z44" s="76">
        <v>35224.737000000001</v>
      </c>
      <c r="AA44" s="8">
        <v>36439.879000000001</v>
      </c>
      <c r="AB44" s="8">
        <v>34258.288999999997</v>
      </c>
      <c r="AC44" s="8">
        <v>34861.625999999997</v>
      </c>
      <c r="AD44" s="8">
        <v>34458.834000000003</v>
      </c>
      <c r="AE44" s="8">
        <v>31632.902999999998</v>
      </c>
      <c r="AF44" s="8">
        <v>33030.667999999998</v>
      </c>
      <c r="AG44" s="8">
        <v>33666.201999999997</v>
      </c>
      <c r="AH44" s="186"/>
      <c r="AI44" s="62"/>
      <c r="AS44" s="170"/>
      <c r="AV44" s="8">
        <v>46670</v>
      </c>
      <c r="AW44" s="8">
        <v>58241</v>
      </c>
      <c r="AX44" s="76">
        <v>47359</v>
      </c>
      <c r="AY44" s="8">
        <v>48931</v>
      </c>
      <c r="AZ44" s="8">
        <v>48085</v>
      </c>
      <c r="BA44" s="8">
        <v>50887</v>
      </c>
      <c r="BB44" s="8">
        <v>49178</v>
      </c>
      <c r="BC44" s="8">
        <v>47016</v>
      </c>
      <c r="BD44" s="8">
        <v>44419</v>
      </c>
      <c r="BE44" s="8">
        <v>48252</v>
      </c>
      <c r="BF44" s="8">
        <v>52249</v>
      </c>
      <c r="BG44" s="8">
        <v>61279</v>
      </c>
      <c r="BH44" s="8">
        <v>67549</v>
      </c>
      <c r="BI44" s="8">
        <v>63096</v>
      </c>
      <c r="BJ44" s="8">
        <v>67318</v>
      </c>
      <c r="BK44" s="8">
        <v>60333</v>
      </c>
      <c r="BL44" s="8">
        <v>57791</v>
      </c>
      <c r="BM44" s="8">
        <v>52406</v>
      </c>
    </row>
    <row r="45" spans="1:65" s="8" customFormat="1">
      <c r="A45" s="42" t="s">
        <v>157</v>
      </c>
      <c r="P45" s="146">
        <v>21008.807000000001</v>
      </c>
      <c r="Q45" s="70">
        <v>20975.477999999999</v>
      </c>
      <c r="R45" s="70">
        <v>20124.485000000001</v>
      </c>
      <c r="S45" s="70">
        <v>21366.521000000001</v>
      </c>
      <c r="T45" s="76">
        <v>20811.097000000002</v>
      </c>
      <c r="U45" s="76">
        <v>22689.016</v>
      </c>
      <c r="V45" s="76">
        <v>23003.391</v>
      </c>
      <c r="W45" s="76">
        <v>22771.996999999999</v>
      </c>
      <c r="X45" s="76">
        <v>22673.043000000001</v>
      </c>
      <c r="Y45" s="76">
        <v>22880.048999999999</v>
      </c>
      <c r="Z45" s="76">
        <v>22187.848999999998</v>
      </c>
      <c r="AA45" s="8">
        <v>24090.897000000001</v>
      </c>
      <c r="AB45" s="8">
        <v>24555.254000000001</v>
      </c>
      <c r="AC45" s="8">
        <v>24403.591</v>
      </c>
      <c r="AD45" s="8">
        <v>25014.485000000001</v>
      </c>
      <c r="AE45" s="8">
        <v>23831.203000000001</v>
      </c>
      <c r="AF45" s="8">
        <v>24961.993999999999</v>
      </c>
      <c r="AG45" s="8">
        <v>24742.277999999998</v>
      </c>
      <c r="AH45" s="186"/>
      <c r="AI45" s="62"/>
      <c r="AS45" s="170"/>
      <c r="AV45" s="8">
        <v>22856</v>
      </c>
      <c r="AW45" s="8">
        <v>20675</v>
      </c>
      <c r="AX45" s="76">
        <v>18956</v>
      </c>
      <c r="AY45" s="8">
        <v>19231</v>
      </c>
      <c r="AZ45" s="8">
        <v>19318</v>
      </c>
      <c r="BA45" s="8">
        <v>20850</v>
      </c>
      <c r="BB45" s="8">
        <v>21953</v>
      </c>
      <c r="BC45" s="8">
        <v>21003</v>
      </c>
      <c r="BD45" s="8">
        <v>22884</v>
      </c>
      <c r="BE45" s="8">
        <v>23272</v>
      </c>
      <c r="BF45" s="8">
        <v>22746</v>
      </c>
      <c r="BG45" s="8">
        <v>30432</v>
      </c>
      <c r="BH45" s="8">
        <v>37147</v>
      </c>
      <c r="BI45" s="8">
        <v>36614</v>
      </c>
      <c r="BJ45" s="8">
        <v>34099</v>
      </c>
      <c r="BK45" s="8">
        <v>30128</v>
      </c>
      <c r="BL45" s="8">
        <v>31921</v>
      </c>
      <c r="BM45" s="8">
        <v>31478</v>
      </c>
    </row>
    <row r="46" spans="1:65" s="8" customFormat="1">
      <c r="A46" s="42" t="s">
        <v>158</v>
      </c>
      <c r="P46" s="146">
        <v>15364.983</v>
      </c>
      <c r="Q46" s="70">
        <v>15390.137000000001</v>
      </c>
      <c r="R46" s="70">
        <v>15819.852000000001</v>
      </c>
      <c r="S46" s="70">
        <v>18483.254000000001</v>
      </c>
      <c r="T46" s="76">
        <v>18490.266</v>
      </c>
      <c r="U46" s="76">
        <v>19413.612000000001</v>
      </c>
      <c r="V46" s="76">
        <v>18669.732</v>
      </c>
      <c r="W46" s="76">
        <v>17910.665000000001</v>
      </c>
      <c r="X46" s="76">
        <v>18186.664000000001</v>
      </c>
      <c r="Y46" s="76">
        <v>18269.68</v>
      </c>
      <c r="Z46" s="76">
        <v>18097.955000000002</v>
      </c>
      <c r="AA46" s="8">
        <v>17962.386999999999</v>
      </c>
      <c r="AB46" s="8">
        <v>16465.810000000001</v>
      </c>
      <c r="AC46" s="8">
        <v>15919.290999999999</v>
      </c>
      <c r="AD46" s="8">
        <v>15649.737999999999</v>
      </c>
      <c r="AE46" s="8">
        <v>14779.518</v>
      </c>
      <c r="AF46" s="8">
        <v>16122.898999999999</v>
      </c>
      <c r="AG46" s="8">
        <v>16114.752</v>
      </c>
      <c r="AH46" s="186"/>
      <c r="AI46" s="62"/>
      <c r="AS46" s="170"/>
      <c r="AV46" s="8">
        <v>19106</v>
      </c>
      <c r="AW46" s="8">
        <v>18522</v>
      </c>
      <c r="AX46" s="76">
        <v>19522</v>
      </c>
      <c r="AY46" s="8">
        <v>21960</v>
      </c>
      <c r="AZ46" s="8">
        <v>22377</v>
      </c>
      <c r="BA46" s="8">
        <v>24603</v>
      </c>
      <c r="BB46" s="8">
        <v>24551</v>
      </c>
      <c r="BC46" s="8">
        <v>25393</v>
      </c>
      <c r="BD46" s="8">
        <v>24686</v>
      </c>
      <c r="BE46" s="8">
        <v>26656</v>
      </c>
      <c r="BF46" s="8">
        <v>26813</v>
      </c>
      <c r="BG46" s="8">
        <v>27667</v>
      </c>
      <c r="BH46" s="8">
        <v>24906</v>
      </c>
      <c r="BI46" s="8">
        <v>24467</v>
      </c>
      <c r="BJ46" s="8">
        <v>24919</v>
      </c>
      <c r="BK46" s="8">
        <v>24436</v>
      </c>
      <c r="BL46" s="8">
        <v>24391</v>
      </c>
      <c r="BM46" s="8">
        <v>23447</v>
      </c>
    </row>
    <row r="47" spans="1:65" s="8" customFormat="1">
      <c r="A47" s="42" t="s">
        <v>160</v>
      </c>
      <c r="P47" s="146">
        <v>5519.2179999999998</v>
      </c>
      <c r="Q47" s="70">
        <v>5447.9219999999996</v>
      </c>
      <c r="R47" s="70">
        <v>5649.491</v>
      </c>
      <c r="S47" s="70">
        <v>5714.94</v>
      </c>
      <c r="T47" s="76">
        <v>6107.6989999999996</v>
      </c>
      <c r="U47" s="76">
        <v>6443.7809999999999</v>
      </c>
      <c r="V47" s="76">
        <v>6183.777</v>
      </c>
      <c r="W47" s="76">
        <v>6368.8739999999998</v>
      </c>
      <c r="X47" s="76">
        <v>6162.6180000000004</v>
      </c>
      <c r="Y47" s="76">
        <v>6373.9570000000003</v>
      </c>
      <c r="Z47" s="76">
        <v>5687.0739999999996</v>
      </c>
      <c r="AA47" s="8">
        <v>5714.9480000000003</v>
      </c>
      <c r="AB47" s="8">
        <v>5218.6679999999997</v>
      </c>
      <c r="AC47" s="8">
        <v>5018.7219999999998</v>
      </c>
      <c r="AD47" s="8">
        <v>5587.2920000000004</v>
      </c>
      <c r="AE47" s="8">
        <v>5506.915</v>
      </c>
      <c r="AF47" s="8">
        <v>5773.5870000000004</v>
      </c>
      <c r="AG47" s="8">
        <v>5769.3590000000004</v>
      </c>
      <c r="AH47" s="186"/>
      <c r="AI47" s="62"/>
      <c r="AS47" s="170"/>
      <c r="AV47" s="8">
        <v>10027</v>
      </c>
      <c r="AW47" s="8">
        <v>8872</v>
      </c>
      <c r="AX47" s="76">
        <v>8795</v>
      </c>
      <c r="AY47" s="8">
        <v>9221</v>
      </c>
      <c r="AZ47" s="8">
        <v>10066</v>
      </c>
      <c r="BA47" s="8">
        <v>10437</v>
      </c>
      <c r="BB47" s="8">
        <v>11079</v>
      </c>
      <c r="BC47" s="8">
        <v>9829</v>
      </c>
      <c r="BD47" s="8">
        <v>8700</v>
      </c>
      <c r="BE47" s="8">
        <v>8182</v>
      </c>
      <c r="BF47" s="8">
        <v>7825</v>
      </c>
      <c r="BG47" s="8">
        <v>7661</v>
      </c>
      <c r="BH47" s="8">
        <v>7127</v>
      </c>
      <c r="BI47" s="8">
        <v>6577</v>
      </c>
      <c r="BJ47" s="8">
        <v>9536</v>
      </c>
      <c r="BK47" s="8">
        <v>9364</v>
      </c>
      <c r="BL47" s="8">
        <v>9014</v>
      </c>
      <c r="BM47" s="8">
        <v>8302</v>
      </c>
    </row>
    <row r="48" spans="1:65" s="8" customFormat="1">
      <c r="A48" s="42" t="s">
        <v>166</v>
      </c>
      <c r="B48" s="70"/>
      <c r="C48" s="70"/>
      <c r="D48" s="70"/>
      <c r="E48" s="70"/>
      <c r="F48" s="70"/>
      <c r="G48" s="70"/>
      <c r="H48" s="70"/>
      <c r="I48" s="70"/>
      <c r="J48" s="70"/>
      <c r="K48" s="70"/>
      <c r="L48" s="70"/>
      <c r="M48" s="70"/>
      <c r="N48" s="70"/>
      <c r="O48" s="70"/>
      <c r="P48" s="146">
        <v>3501.45</v>
      </c>
      <c r="Q48" s="70">
        <v>3440.4859999999999</v>
      </c>
      <c r="R48" s="70">
        <v>3528.4360000000001</v>
      </c>
      <c r="S48" s="70">
        <v>3530.085</v>
      </c>
      <c r="T48" s="76">
        <v>3801.5250000000001</v>
      </c>
      <c r="U48" s="76">
        <v>3799.357</v>
      </c>
      <c r="V48" s="76">
        <v>3662.1979999999999</v>
      </c>
      <c r="W48" s="76">
        <v>3767.0349999999999</v>
      </c>
      <c r="X48" s="76">
        <v>3815.498</v>
      </c>
      <c r="Y48" s="76">
        <v>3720.4580000000001</v>
      </c>
      <c r="Z48" s="76">
        <v>3669.585</v>
      </c>
      <c r="AA48" s="8">
        <v>3865.7550000000001</v>
      </c>
      <c r="AB48" s="8">
        <v>3409.5239999999999</v>
      </c>
      <c r="AC48" s="8">
        <v>3234.9189999999999</v>
      </c>
      <c r="AD48" s="8">
        <v>3701.163</v>
      </c>
      <c r="AE48" s="8">
        <v>3543.6770000000001</v>
      </c>
      <c r="AF48" s="8">
        <v>3614.665</v>
      </c>
      <c r="AG48" s="8">
        <v>3409.05</v>
      </c>
      <c r="AH48" s="104"/>
      <c r="AI48" s="83"/>
      <c r="AJ48" s="70"/>
      <c r="AK48" s="70"/>
      <c r="AL48" s="70"/>
      <c r="AM48" s="70"/>
      <c r="AN48" s="70"/>
      <c r="AO48" s="70"/>
      <c r="AP48" s="70"/>
      <c r="AQ48" s="70"/>
      <c r="AR48" s="70"/>
      <c r="AS48" s="74"/>
      <c r="AT48" s="70"/>
      <c r="AU48" s="70"/>
      <c r="AV48" s="8">
        <v>4607</v>
      </c>
      <c r="AW48" s="8">
        <v>4963</v>
      </c>
      <c r="AX48" s="76">
        <v>4879</v>
      </c>
      <c r="AY48" s="8">
        <v>4845</v>
      </c>
      <c r="AZ48" s="8">
        <v>4631</v>
      </c>
      <c r="BA48" s="8">
        <v>4956</v>
      </c>
      <c r="BB48" s="8">
        <v>4800</v>
      </c>
      <c r="BC48" s="8">
        <v>5247</v>
      </c>
      <c r="BD48" s="8">
        <v>5299</v>
      </c>
      <c r="BE48" s="8">
        <v>4942</v>
      </c>
      <c r="BF48" s="8">
        <v>4658</v>
      </c>
      <c r="BG48" s="8">
        <v>5870</v>
      </c>
      <c r="BH48" s="8">
        <v>4612</v>
      </c>
      <c r="BI48" s="8">
        <v>4439</v>
      </c>
      <c r="BJ48" s="8">
        <v>5089</v>
      </c>
      <c r="BK48" s="8">
        <v>7136</v>
      </c>
      <c r="BL48" s="8">
        <v>8042</v>
      </c>
      <c r="BM48" s="8">
        <v>7700</v>
      </c>
    </row>
    <row r="49" spans="1:65" s="8" customFormat="1">
      <c r="A49" s="42" t="s">
        <v>167</v>
      </c>
      <c r="B49" s="70"/>
      <c r="C49" s="70"/>
      <c r="D49" s="70"/>
      <c r="E49" s="70"/>
      <c r="F49" s="70"/>
      <c r="G49" s="70"/>
      <c r="H49" s="70"/>
      <c r="I49" s="70"/>
      <c r="J49" s="70"/>
      <c r="K49" s="70"/>
      <c r="L49" s="70"/>
      <c r="M49" s="70"/>
      <c r="N49" s="70"/>
      <c r="O49" s="70"/>
      <c r="P49" s="146">
        <v>36328.714</v>
      </c>
      <c r="Q49" s="70">
        <v>34580.752</v>
      </c>
      <c r="R49" s="70">
        <v>35452.49</v>
      </c>
      <c r="S49" s="70">
        <v>40561.447</v>
      </c>
      <c r="T49" s="76">
        <v>41267.826000000001</v>
      </c>
      <c r="U49" s="76">
        <v>39879.9</v>
      </c>
      <c r="V49" s="76">
        <v>40109.949000000001</v>
      </c>
      <c r="W49" s="76">
        <v>42523.618000000002</v>
      </c>
      <c r="X49" s="76">
        <v>41728.606</v>
      </c>
      <c r="Y49" s="76">
        <v>43490.446000000004</v>
      </c>
      <c r="Z49" s="76">
        <v>42495.004000000001</v>
      </c>
      <c r="AA49" s="8">
        <v>43861.553999999996</v>
      </c>
      <c r="AB49" s="8">
        <v>38980.830999999998</v>
      </c>
      <c r="AC49" s="8">
        <v>35908.642</v>
      </c>
      <c r="AD49" s="8">
        <v>35535.858</v>
      </c>
      <c r="AE49" s="8">
        <v>33443.56</v>
      </c>
      <c r="AF49" s="8">
        <v>34740.684000000001</v>
      </c>
      <c r="AG49" s="8">
        <v>35478.294000000002</v>
      </c>
      <c r="AH49" s="104"/>
      <c r="AI49" s="83"/>
      <c r="AJ49" s="70"/>
      <c r="AK49" s="70"/>
      <c r="AL49" s="70"/>
      <c r="AM49" s="70"/>
      <c r="AN49" s="70"/>
      <c r="AO49" s="70"/>
      <c r="AP49" s="70"/>
      <c r="AQ49" s="70"/>
      <c r="AR49" s="70"/>
      <c r="AS49" s="74"/>
      <c r="AT49" s="70"/>
      <c r="AU49" s="70"/>
      <c r="AV49" s="8">
        <v>45356</v>
      </c>
      <c r="AW49" s="8">
        <v>41887</v>
      </c>
      <c r="AX49" s="76">
        <v>44285</v>
      </c>
      <c r="AY49" s="8">
        <v>47347</v>
      </c>
      <c r="AZ49" s="8">
        <v>53775</v>
      </c>
      <c r="BA49" s="8">
        <v>50219</v>
      </c>
      <c r="BB49" s="8">
        <v>53582</v>
      </c>
      <c r="BC49" s="8">
        <v>56421</v>
      </c>
      <c r="BD49" s="8">
        <v>57955</v>
      </c>
      <c r="BE49" s="8">
        <v>61011</v>
      </c>
      <c r="BF49" s="8">
        <v>62826</v>
      </c>
      <c r="BG49" s="8">
        <v>69846</v>
      </c>
      <c r="BH49" s="8">
        <v>64751</v>
      </c>
      <c r="BI49" s="8">
        <v>63451</v>
      </c>
      <c r="BJ49" s="8">
        <v>61221</v>
      </c>
      <c r="BK49" s="8">
        <v>54207</v>
      </c>
      <c r="BL49" s="8">
        <v>54149</v>
      </c>
      <c r="BM49" s="8">
        <v>53100</v>
      </c>
    </row>
    <row r="50" spans="1:65" s="8" customFormat="1">
      <c r="A50" s="42" t="s">
        <v>171</v>
      </c>
      <c r="B50" s="70"/>
      <c r="C50" s="70"/>
      <c r="D50" s="70"/>
      <c r="E50" s="70"/>
      <c r="F50" s="70"/>
      <c r="G50" s="70"/>
      <c r="H50" s="70"/>
      <c r="I50" s="70"/>
      <c r="J50" s="70"/>
      <c r="K50" s="70"/>
      <c r="L50" s="70"/>
      <c r="M50" s="70"/>
      <c r="N50" s="70"/>
      <c r="O50" s="70"/>
      <c r="P50" s="146">
        <v>3682.66</v>
      </c>
      <c r="Q50" s="70">
        <v>3928.9630000000002</v>
      </c>
      <c r="R50" s="70">
        <v>3851.2089999999998</v>
      </c>
      <c r="S50" s="70">
        <v>4020.5859999999998</v>
      </c>
      <c r="T50" s="76">
        <v>4200.9380000000001</v>
      </c>
      <c r="U50" s="76">
        <v>4131.2520000000004</v>
      </c>
      <c r="V50" s="76">
        <v>3862.4690000000001</v>
      </c>
      <c r="W50" s="76">
        <v>3829.0039999999999</v>
      </c>
      <c r="X50" s="76">
        <v>3863.16</v>
      </c>
      <c r="Y50" s="76">
        <v>3898.5970000000002</v>
      </c>
      <c r="Z50" s="76">
        <v>3678.7449999999999</v>
      </c>
      <c r="AA50" s="8">
        <v>3620.297</v>
      </c>
      <c r="AB50" s="8">
        <v>3661.933</v>
      </c>
      <c r="AC50" s="8">
        <v>3658.2089999999998</v>
      </c>
      <c r="AD50" s="8">
        <v>4122.5029999999997</v>
      </c>
      <c r="AE50" s="8">
        <v>4246.5020000000004</v>
      </c>
      <c r="AF50" s="8">
        <v>4304.0910000000003</v>
      </c>
      <c r="AG50" s="8">
        <v>4627.9669999999996</v>
      </c>
      <c r="AH50" s="104"/>
      <c r="AI50" s="83"/>
      <c r="AJ50" s="70"/>
      <c r="AK50" s="70"/>
      <c r="AL50" s="70"/>
      <c r="AM50" s="70"/>
      <c r="AN50" s="70"/>
      <c r="AO50" s="70"/>
      <c r="AP50" s="70"/>
      <c r="AQ50" s="70"/>
      <c r="AR50" s="70"/>
      <c r="AS50" s="74"/>
      <c r="AT50" s="70"/>
      <c r="AU50" s="70"/>
      <c r="AV50" s="8">
        <v>5921</v>
      </c>
      <c r="AW50" s="8">
        <v>6211</v>
      </c>
      <c r="AX50" s="76">
        <v>5834</v>
      </c>
      <c r="AY50" s="8">
        <v>6046</v>
      </c>
      <c r="AZ50" s="8">
        <v>6509</v>
      </c>
      <c r="BA50" s="8">
        <v>6342</v>
      </c>
      <c r="BB50" s="8">
        <v>5785</v>
      </c>
      <c r="BC50" s="8">
        <v>5457</v>
      </c>
      <c r="BD50" s="8">
        <v>5571</v>
      </c>
      <c r="BE50" s="8">
        <v>5587</v>
      </c>
      <c r="BF50" s="8">
        <v>5265</v>
      </c>
      <c r="BG50" s="8">
        <v>5437</v>
      </c>
      <c r="BH50" s="8">
        <v>5442</v>
      </c>
      <c r="BI50" s="8">
        <v>5630</v>
      </c>
      <c r="BJ50" s="8">
        <v>6136</v>
      </c>
      <c r="BK50" s="8">
        <v>8417</v>
      </c>
      <c r="BL50" s="8">
        <v>5284</v>
      </c>
      <c r="BM50" s="8">
        <v>4790</v>
      </c>
    </row>
    <row r="51" spans="1:65" s="8" customFormat="1">
      <c r="A51" s="43" t="s">
        <v>175</v>
      </c>
      <c r="B51" s="70"/>
      <c r="C51" s="83"/>
      <c r="D51" s="70"/>
      <c r="E51" s="70"/>
      <c r="F51" s="70"/>
      <c r="G51" s="70"/>
      <c r="H51" s="70"/>
      <c r="I51" s="70"/>
      <c r="J51" s="70"/>
      <c r="K51" s="70"/>
      <c r="L51" s="70"/>
      <c r="M51" s="70"/>
      <c r="N51" s="70"/>
      <c r="O51" s="70"/>
      <c r="P51" s="146">
        <v>22361.655999999999</v>
      </c>
      <c r="Q51" s="70">
        <v>22346.54</v>
      </c>
      <c r="R51" s="70">
        <v>22135.692999999999</v>
      </c>
      <c r="S51" s="70">
        <v>23601.137999999999</v>
      </c>
      <c r="T51" s="76">
        <v>23259.746999999999</v>
      </c>
      <c r="U51" s="76">
        <v>23578.285</v>
      </c>
      <c r="V51" s="76">
        <v>22641.785</v>
      </c>
      <c r="W51" s="76">
        <v>22365.159</v>
      </c>
      <c r="X51" s="76">
        <v>22186.649000000001</v>
      </c>
      <c r="Y51" s="76">
        <v>21339.441999999999</v>
      </c>
      <c r="Z51" s="76">
        <v>21891.599999999999</v>
      </c>
      <c r="AA51" s="8">
        <v>21955.342000000001</v>
      </c>
      <c r="AB51" s="8">
        <v>20814.547999999999</v>
      </c>
      <c r="AC51" s="8">
        <v>20906.705999999998</v>
      </c>
      <c r="AD51" s="8">
        <v>21702.857</v>
      </c>
      <c r="AE51" s="8">
        <v>21338.982</v>
      </c>
      <c r="AF51" s="8">
        <v>22531.404999999999</v>
      </c>
      <c r="AG51" s="8">
        <v>23140.831999999999</v>
      </c>
      <c r="AH51" s="104"/>
      <c r="AI51" s="83"/>
      <c r="AJ51" s="70"/>
      <c r="AK51" s="70"/>
      <c r="AL51" s="70"/>
      <c r="AM51" s="70"/>
      <c r="AN51" s="70"/>
      <c r="AO51" s="70"/>
      <c r="AP51" s="70"/>
      <c r="AQ51" s="70"/>
      <c r="AR51" s="70"/>
      <c r="AS51" s="74"/>
      <c r="AT51" s="70"/>
      <c r="AU51" s="70"/>
      <c r="AV51" s="8">
        <v>27859</v>
      </c>
      <c r="AW51" s="8">
        <v>26580</v>
      </c>
      <c r="AX51" s="76">
        <v>26114</v>
      </c>
      <c r="AY51" s="8">
        <v>26246</v>
      </c>
      <c r="AZ51" s="8">
        <v>26506</v>
      </c>
      <c r="BA51" s="8">
        <v>27061</v>
      </c>
      <c r="BB51" s="8">
        <v>26819</v>
      </c>
      <c r="BC51" s="8">
        <v>27693</v>
      </c>
      <c r="BD51" s="8">
        <v>27767</v>
      </c>
      <c r="BE51" s="8">
        <v>28434</v>
      </c>
      <c r="BF51" s="8">
        <v>28563</v>
      </c>
      <c r="BG51" s="8">
        <v>32625</v>
      </c>
      <c r="BH51" s="8">
        <v>30125</v>
      </c>
      <c r="BI51" s="8">
        <v>33680</v>
      </c>
      <c r="BJ51" s="231">
        <v>34535</v>
      </c>
      <c r="BK51" s="231">
        <v>34680</v>
      </c>
      <c r="BL51" s="8">
        <v>36091</v>
      </c>
      <c r="BM51" s="231">
        <v>35664</v>
      </c>
    </row>
    <row r="52" spans="1:65" s="8" customFormat="1">
      <c r="A52" s="40" t="s">
        <v>219</v>
      </c>
      <c r="B52" s="27">
        <f t="shared" ref="B52:BF52" si="62">SUM(B54:B62)</f>
        <v>0</v>
      </c>
      <c r="C52" s="27">
        <f t="shared" si="62"/>
        <v>0</v>
      </c>
      <c r="D52" s="27">
        <f t="shared" si="62"/>
        <v>0</v>
      </c>
      <c r="E52" s="27">
        <f t="shared" si="62"/>
        <v>0</v>
      </c>
      <c r="F52" s="27">
        <f t="shared" si="62"/>
        <v>0</v>
      </c>
      <c r="G52" s="27">
        <f t="shared" si="62"/>
        <v>0</v>
      </c>
      <c r="H52" s="27">
        <f t="shared" si="62"/>
        <v>0</v>
      </c>
      <c r="I52" s="27">
        <f t="shared" si="62"/>
        <v>0</v>
      </c>
      <c r="J52" s="27">
        <f t="shared" si="62"/>
        <v>0</v>
      </c>
      <c r="K52" s="27">
        <f t="shared" si="62"/>
        <v>0</v>
      </c>
      <c r="L52" s="27">
        <f t="shared" si="62"/>
        <v>0</v>
      </c>
      <c r="M52" s="27">
        <f t="shared" si="62"/>
        <v>0</v>
      </c>
      <c r="N52" s="27">
        <f t="shared" si="62"/>
        <v>0</v>
      </c>
      <c r="O52" s="27">
        <f t="shared" si="62"/>
        <v>0</v>
      </c>
      <c r="P52" s="27">
        <f t="shared" si="62"/>
        <v>243268.27099999995</v>
      </c>
      <c r="Q52" s="27">
        <f t="shared" si="62"/>
        <v>246507.75400000002</v>
      </c>
      <c r="R52" s="27">
        <f t="shared" si="62"/>
        <v>255293.329</v>
      </c>
      <c r="S52" s="27">
        <f t="shared" si="62"/>
        <v>286596.41399999999</v>
      </c>
      <c r="T52" s="27">
        <f t="shared" si="62"/>
        <v>290974.63300000003</v>
      </c>
      <c r="U52" s="27">
        <f t="shared" si="62"/>
        <v>294998.43399999995</v>
      </c>
      <c r="V52" s="27">
        <f t="shared" si="62"/>
        <v>291243.647</v>
      </c>
      <c r="W52" s="27">
        <f t="shared" si="62"/>
        <v>287794.64400000003</v>
      </c>
      <c r="X52" s="27">
        <f t="shared" si="62"/>
        <v>285016.17100000003</v>
      </c>
      <c r="Y52" s="27">
        <f t="shared" si="62"/>
        <v>280309.97499999992</v>
      </c>
      <c r="Z52" s="27">
        <f t="shared" si="62"/>
        <v>270257.49699999997</v>
      </c>
      <c r="AA52" s="27">
        <f t="shared" ref="AA52:AB52" si="63">SUM(AA54:AA62)</f>
        <v>276687.88500000001</v>
      </c>
      <c r="AB52" s="27">
        <f t="shared" si="63"/>
        <v>260076.158</v>
      </c>
      <c r="AC52" s="27">
        <f t="shared" ref="AC52:AD52" si="64">SUM(AC54:AC62)</f>
        <v>241338.696</v>
      </c>
      <c r="AD52" s="27">
        <f t="shared" si="64"/>
        <v>234167.78099999999</v>
      </c>
      <c r="AE52" s="27">
        <f t="shared" ref="AE52:AF52" si="65">SUM(AE54:AE62)</f>
        <v>219314.89699999997</v>
      </c>
      <c r="AF52" s="27">
        <f t="shared" si="65"/>
        <v>231511.23199999999</v>
      </c>
      <c r="AG52" s="27">
        <f t="shared" ref="AG52" si="66">SUM(AG54:AG62)</f>
        <v>239155.53900000002</v>
      </c>
      <c r="AH52" s="107">
        <f t="shared" si="62"/>
        <v>0</v>
      </c>
      <c r="AI52" s="27">
        <f t="shared" si="62"/>
        <v>0</v>
      </c>
      <c r="AJ52" s="27">
        <f t="shared" si="62"/>
        <v>0</v>
      </c>
      <c r="AK52" s="27">
        <f t="shared" si="62"/>
        <v>0</v>
      </c>
      <c r="AL52" s="27">
        <f t="shared" si="62"/>
        <v>0</v>
      </c>
      <c r="AM52" s="27">
        <f t="shared" si="62"/>
        <v>0</v>
      </c>
      <c r="AN52" s="27">
        <f t="shared" si="62"/>
        <v>0</v>
      </c>
      <c r="AO52" s="27">
        <f t="shared" si="62"/>
        <v>0</v>
      </c>
      <c r="AP52" s="27">
        <f t="shared" si="62"/>
        <v>0</v>
      </c>
      <c r="AQ52" s="27">
        <f t="shared" si="62"/>
        <v>0</v>
      </c>
      <c r="AR52" s="27">
        <f t="shared" si="62"/>
        <v>0</v>
      </c>
      <c r="AS52" s="27">
        <f t="shared" si="62"/>
        <v>0</v>
      </c>
      <c r="AT52" s="27">
        <f t="shared" si="62"/>
        <v>0</v>
      </c>
      <c r="AU52" s="27">
        <f t="shared" si="62"/>
        <v>0</v>
      </c>
      <c r="AV52" s="27">
        <f t="shared" si="62"/>
        <v>269750</v>
      </c>
      <c r="AW52" s="27">
        <f t="shared" si="62"/>
        <v>260924</v>
      </c>
      <c r="AX52" s="27">
        <f t="shared" si="62"/>
        <v>259915</v>
      </c>
      <c r="AY52" s="27">
        <f t="shared" si="62"/>
        <v>295737</v>
      </c>
      <c r="AZ52" s="27">
        <f t="shared" si="62"/>
        <v>301474</v>
      </c>
      <c r="BA52" s="27">
        <f t="shared" si="62"/>
        <v>310279</v>
      </c>
      <c r="BB52" s="27">
        <f t="shared" si="62"/>
        <v>307444</v>
      </c>
      <c r="BC52" s="27">
        <f t="shared" si="62"/>
        <v>305653</v>
      </c>
      <c r="BD52" s="27">
        <f t="shared" si="62"/>
        <v>306960</v>
      </c>
      <c r="BE52" s="27">
        <f t="shared" si="62"/>
        <v>311824</v>
      </c>
      <c r="BF52" s="27">
        <f t="shared" si="62"/>
        <v>304951</v>
      </c>
      <c r="BG52" s="27">
        <f t="shared" ref="BG52:BH52" si="67">SUM(BG54:BG62)</f>
        <v>327573</v>
      </c>
      <c r="BH52" s="27">
        <f t="shared" si="67"/>
        <v>330787</v>
      </c>
      <c r="BI52" s="27">
        <f t="shared" ref="BI52:BJ52" si="68">SUM(BI54:BI62)</f>
        <v>330723</v>
      </c>
      <c r="BJ52" s="27">
        <f t="shared" si="68"/>
        <v>323225</v>
      </c>
      <c r="BK52" s="27">
        <f t="shared" ref="BK52:BL52" si="69">SUM(BK54:BK62)</f>
        <v>307337</v>
      </c>
      <c r="BL52" s="27">
        <f t="shared" si="69"/>
        <v>316800</v>
      </c>
      <c r="BM52" s="27">
        <f t="shared" ref="BM52" si="70">SUM(BM54:BM62)</f>
        <v>307996</v>
      </c>
    </row>
    <row r="53" spans="1:65" s="8" customFormat="1">
      <c r="A53" s="30" t="s">
        <v>215</v>
      </c>
      <c r="B53" s="31">
        <f t="shared" ref="B53:BG53" si="71">(B52/B4)*100</f>
        <v>0</v>
      </c>
      <c r="C53" s="31">
        <f t="shared" si="71"/>
        <v>0</v>
      </c>
      <c r="D53" s="31">
        <f t="shared" si="71"/>
        <v>0</v>
      </c>
      <c r="E53" s="31">
        <f t="shared" si="71"/>
        <v>0</v>
      </c>
      <c r="F53" s="31">
        <f t="shared" si="71"/>
        <v>0</v>
      </c>
      <c r="G53" s="31">
        <f t="shared" si="71"/>
        <v>0</v>
      </c>
      <c r="H53" s="31">
        <f t="shared" si="71"/>
        <v>0</v>
      </c>
      <c r="I53" s="31">
        <f t="shared" si="71"/>
        <v>0</v>
      </c>
      <c r="J53" s="31">
        <f t="shared" si="71"/>
        <v>0</v>
      </c>
      <c r="K53" s="31">
        <f t="shared" si="71"/>
        <v>0</v>
      </c>
      <c r="L53" s="31">
        <f t="shared" si="71"/>
        <v>0</v>
      </c>
      <c r="M53" s="31">
        <f t="shared" si="71"/>
        <v>0</v>
      </c>
      <c r="N53" s="31">
        <f t="shared" si="71"/>
        <v>0</v>
      </c>
      <c r="O53" s="31">
        <f t="shared" si="71"/>
        <v>0</v>
      </c>
      <c r="P53" s="31">
        <f t="shared" si="71"/>
        <v>28.934228285076337</v>
      </c>
      <c r="Q53" s="31">
        <f t="shared" si="71"/>
        <v>28.606878134220111</v>
      </c>
      <c r="R53" s="31">
        <f t="shared" si="71"/>
        <v>28.596991070534873</v>
      </c>
      <c r="S53" s="31">
        <f t="shared" si="71"/>
        <v>28.914809679907538</v>
      </c>
      <c r="T53" s="31">
        <f t="shared" si="71"/>
        <v>28.631657103846774</v>
      </c>
      <c r="U53" s="31">
        <f t="shared" si="71"/>
        <v>28.252111903263565</v>
      </c>
      <c r="V53" s="31">
        <f t="shared" si="71"/>
        <v>27.887585798615699</v>
      </c>
      <c r="W53" s="31">
        <f t="shared" si="71"/>
        <v>27.019002062037924</v>
      </c>
      <c r="X53" s="31">
        <f t="shared" si="71"/>
        <v>26.824278899495752</v>
      </c>
      <c r="Y53" s="31">
        <f t="shared" si="71"/>
        <v>26.701772809166517</v>
      </c>
      <c r="Z53" s="31">
        <f t="shared" si="71"/>
        <v>26.476657216396681</v>
      </c>
      <c r="AA53" s="31">
        <f t="shared" si="71"/>
        <v>26.355403671126719</v>
      </c>
      <c r="AB53" s="31">
        <f t="shared" ref="AB53:AC53" si="72">(AB52/AB4)*100</f>
        <v>26.079810165217648</v>
      </c>
      <c r="AC53" s="31">
        <f t="shared" si="72"/>
        <v>25.314050530684128</v>
      </c>
      <c r="AD53" s="31">
        <f t="shared" ref="AD53:AE53" si="73">(AD52/AD4)*100</f>
        <v>24.286617186478768</v>
      </c>
      <c r="AE53" s="31">
        <f t="shared" si="73"/>
        <v>24.074408351062548</v>
      </c>
      <c r="AF53" s="31">
        <f t="shared" ref="AF53:AG53" si="74">(AF52/AF4)*100</f>
        <v>23.936132703901688</v>
      </c>
      <c r="AG53" s="31">
        <f t="shared" si="74"/>
        <v>24.479528128088479</v>
      </c>
      <c r="AH53" s="108">
        <f t="shared" si="71"/>
        <v>0</v>
      </c>
      <c r="AI53" s="31">
        <f t="shared" si="71"/>
        <v>0</v>
      </c>
      <c r="AJ53" s="31">
        <f t="shared" si="71"/>
        <v>0</v>
      </c>
      <c r="AK53" s="31">
        <f t="shared" si="71"/>
        <v>0</v>
      </c>
      <c r="AL53" s="31">
        <f t="shared" si="71"/>
        <v>0</v>
      </c>
      <c r="AM53" s="31">
        <f t="shared" si="71"/>
        <v>0</v>
      </c>
      <c r="AN53" s="31">
        <f t="shared" si="71"/>
        <v>0</v>
      </c>
      <c r="AO53" s="31">
        <f t="shared" si="71"/>
        <v>0</v>
      </c>
      <c r="AP53" s="31">
        <f t="shared" si="71"/>
        <v>0</v>
      </c>
      <c r="AQ53" s="31">
        <f t="shared" si="71"/>
        <v>0</v>
      </c>
      <c r="AR53" s="31">
        <f t="shared" si="71"/>
        <v>0</v>
      </c>
      <c r="AS53" s="31">
        <f t="shared" si="71"/>
        <v>0</v>
      </c>
      <c r="AT53" s="31">
        <f t="shared" si="71"/>
        <v>0</v>
      </c>
      <c r="AU53" s="31">
        <f t="shared" si="71"/>
        <v>0</v>
      </c>
      <c r="AV53" s="31">
        <f t="shared" si="71"/>
        <v>24.029874545793056</v>
      </c>
      <c r="AW53" s="31">
        <f t="shared" si="71"/>
        <v>23.086083972883202</v>
      </c>
      <c r="AX53" s="31">
        <f t="shared" si="71"/>
        <v>23.095015532034378</v>
      </c>
      <c r="AY53" s="31">
        <f t="shared" si="71"/>
        <v>23.870047604980364</v>
      </c>
      <c r="AZ53" s="31">
        <f t="shared" si="71"/>
        <v>23.24936106942403</v>
      </c>
      <c r="BA53" s="31">
        <f t="shared" si="71"/>
        <v>23.351968004961218</v>
      </c>
      <c r="BB53" s="31">
        <f t="shared" si="71"/>
        <v>22.898042326269024</v>
      </c>
      <c r="BC53" s="31">
        <f t="shared" si="71"/>
        <v>22.508579171391961</v>
      </c>
      <c r="BD53" s="31">
        <f t="shared" si="71"/>
        <v>22.562376193958816</v>
      </c>
      <c r="BE53" s="31">
        <f t="shared" si="71"/>
        <v>22.395454029650505</v>
      </c>
      <c r="BF53" s="31">
        <f t="shared" si="71"/>
        <v>21.926269878818122</v>
      </c>
      <c r="BG53" s="31">
        <f t="shared" si="71"/>
        <v>21.333589496444109</v>
      </c>
      <c r="BH53" s="31">
        <f t="shared" ref="BH53:BI53" si="75">(BH52/BH4)*100</f>
        <v>20.964015007478391</v>
      </c>
      <c r="BI53" s="31">
        <f t="shared" si="75"/>
        <v>20.774514515080419</v>
      </c>
      <c r="BJ53" s="31">
        <f t="shared" ref="BJ53:BK53" si="76">(BJ52/BJ4)*100</f>
        <v>20.430279478764771</v>
      </c>
      <c r="BK53" s="31">
        <f t="shared" si="76"/>
        <v>20.546196971054275</v>
      </c>
      <c r="BL53" s="31">
        <f t="shared" ref="BL53:BM53" si="77">(BL52/BL4)*100</f>
        <v>20.244363785082562</v>
      </c>
      <c r="BM53" s="31">
        <f t="shared" si="77"/>
        <v>20.877970743346754</v>
      </c>
    </row>
    <row r="54" spans="1:65" s="8" customFormat="1">
      <c r="A54" s="42" t="s">
        <v>146</v>
      </c>
      <c r="P54" s="146">
        <v>11247.612999999999</v>
      </c>
      <c r="Q54" s="70">
        <v>11577.227999999999</v>
      </c>
      <c r="R54" s="70">
        <v>11976.627</v>
      </c>
      <c r="S54" s="70">
        <v>12714.781999999999</v>
      </c>
      <c r="T54" s="76">
        <v>13369.837</v>
      </c>
      <c r="U54" s="76">
        <v>13394.682000000001</v>
      </c>
      <c r="V54" s="76">
        <v>13646.052</v>
      </c>
      <c r="W54" s="76">
        <v>13280.291999999999</v>
      </c>
      <c r="X54" s="76">
        <v>13028.282999999999</v>
      </c>
      <c r="Y54" s="76">
        <v>13398.755999999999</v>
      </c>
      <c r="Z54" s="76">
        <v>13021.540999999999</v>
      </c>
      <c r="AA54" s="8">
        <v>13539.284</v>
      </c>
      <c r="AB54" s="8">
        <v>13040.032999999999</v>
      </c>
      <c r="AC54" s="8">
        <v>12470.602000000001</v>
      </c>
      <c r="AD54" s="8">
        <v>13159.759</v>
      </c>
      <c r="AE54" s="8">
        <v>12751.675999999999</v>
      </c>
      <c r="AF54" s="8">
        <v>13315.264999999999</v>
      </c>
      <c r="AG54" s="8">
        <v>13915.486999999999</v>
      </c>
      <c r="AH54" s="186"/>
      <c r="AI54" s="62"/>
      <c r="AS54" s="170"/>
      <c r="AV54" s="8">
        <v>10873</v>
      </c>
      <c r="AW54" s="8">
        <v>12464</v>
      </c>
      <c r="AX54" s="76">
        <v>10556</v>
      </c>
      <c r="AY54" s="8">
        <v>11338</v>
      </c>
      <c r="AZ54" s="8">
        <v>12893</v>
      </c>
      <c r="BA54" s="8">
        <v>13530</v>
      </c>
      <c r="BB54" s="8">
        <v>13290</v>
      </c>
      <c r="BC54" s="8">
        <v>13767</v>
      </c>
      <c r="BD54" s="8">
        <v>14248</v>
      </c>
      <c r="BE54" s="8">
        <v>15655</v>
      </c>
      <c r="BF54" s="8">
        <v>15107</v>
      </c>
      <c r="BG54" s="8">
        <v>16089</v>
      </c>
      <c r="BH54" s="8">
        <v>16198</v>
      </c>
      <c r="BI54" s="8">
        <v>16300</v>
      </c>
      <c r="BJ54" s="8">
        <v>16742</v>
      </c>
      <c r="BK54" s="8">
        <v>18034</v>
      </c>
      <c r="BL54" s="8">
        <v>20637</v>
      </c>
      <c r="BM54" s="8">
        <v>20259</v>
      </c>
    </row>
    <row r="55" spans="1:65" s="8" customFormat="1">
      <c r="A55" s="42" t="s">
        <v>154</v>
      </c>
      <c r="P55" s="146">
        <v>9218.3089999999993</v>
      </c>
      <c r="Q55" s="70">
        <v>9528.902</v>
      </c>
      <c r="R55" s="70">
        <v>9396.2260000000006</v>
      </c>
      <c r="S55" s="70">
        <v>9666.3909999999996</v>
      </c>
      <c r="T55" s="76">
        <v>9305.3539999999994</v>
      </c>
      <c r="U55" s="76">
        <v>9338.52</v>
      </c>
      <c r="V55" s="76">
        <v>9315.4470000000001</v>
      </c>
      <c r="W55" s="76">
        <v>9289.4050000000007</v>
      </c>
      <c r="X55" s="76">
        <v>9350.3690000000006</v>
      </c>
      <c r="Y55" s="76">
        <v>8869.9740000000002</v>
      </c>
      <c r="Z55" s="76">
        <v>8376.5949999999993</v>
      </c>
      <c r="AA55" s="8">
        <v>9098.1389999999992</v>
      </c>
      <c r="AB55" s="8">
        <v>8902.2630000000008</v>
      </c>
      <c r="AC55" s="8">
        <v>8653.2620000000006</v>
      </c>
      <c r="AD55" s="8">
        <v>8883.0889999999999</v>
      </c>
      <c r="AE55" s="8">
        <v>8771.3960000000006</v>
      </c>
      <c r="AF55" s="8">
        <v>8794.74</v>
      </c>
      <c r="AG55" s="245">
        <v>8816.527</v>
      </c>
      <c r="AI55" s="62"/>
      <c r="AS55" s="170"/>
      <c r="AV55" s="8">
        <v>11093</v>
      </c>
      <c r="AW55" s="8">
        <v>10180</v>
      </c>
      <c r="AX55" s="76">
        <v>9996</v>
      </c>
      <c r="AY55" s="8">
        <v>10452</v>
      </c>
      <c r="AZ55" s="8">
        <v>10601</v>
      </c>
      <c r="BA55" s="8">
        <v>11050</v>
      </c>
      <c r="BB55" s="8">
        <v>11071</v>
      </c>
      <c r="BC55" s="8">
        <v>10564</v>
      </c>
      <c r="BD55" s="8">
        <v>10487</v>
      </c>
      <c r="BE55" s="8">
        <v>10874</v>
      </c>
      <c r="BF55" s="8">
        <v>10141</v>
      </c>
      <c r="BG55" s="8">
        <v>12022</v>
      </c>
      <c r="BH55" s="8">
        <v>11567</v>
      </c>
      <c r="BI55" s="8">
        <v>12403</v>
      </c>
      <c r="BJ55" s="8">
        <v>12399</v>
      </c>
      <c r="BK55" s="8">
        <v>10658</v>
      </c>
      <c r="BL55" s="8">
        <v>11275</v>
      </c>
      <c r="BM55" s="8">
        <v>10974</v>
      </c>
    </row>
    <row r="56" spans="1:65" s="8" customFormat="1">
      <c r="A56" s="42" t="s">
        <v>155</v>
      </c>
      <c r="P56" s="146">
        <v>43423.877999999997</v>
      </c>
      <c r="Q56" s="70">
        <v>45308.748</v>
      </c>
      <c r="R56" s="70">
        <v>44035.915999999997</v>
      </c>
      <c r="S56" s="70">
        <v>45361.267</v>
      </c>
      <c r="T56" s="76">
        <v>45547.209000000003</v>
      </c>
      <c r="U56" s="76">
        <v>45121.779000000002</v>
      </c>
      <c r="V56" s="76">
        <v>46520.425999999999</v>
      </c>
      <c r="W56" s="76">
        <v>46534.826999999997</v>
      </c>
      <c r="X56" s="76">
        <v>45473.122000000003</v>
      </c>
      <c r="Y56" s="76">
        <v>44578.595000000001</v>
      </c>
      <c r="Z56" s="76">
        <v>44370.968000000001</v>
      </c>
      <c r="AA56" s="8">
        <v>45908.561000000002</v>
      </c>
      <c r="AB56" s="8">
        <v>43468.675999999999</v>
      </c>
      <c r="AC56" s="8">
        <v>41709.68</v>
      </c>
      <c r="AD56" s="8">
        <v>41178.548000000003</v>
      </c>
      <c r="AE56" s="8">
        <v>40008.673999999999</v>
      </c>
      <c r="AF56" s="8">
        <v>41655.076999999997</v>
      </c>
      <c r="AG56" s="8">
        <v>44536.148999999998</v>
      </c>
      <c r="AH56" s="186"/>
      <c r="AI56" s="62"/>
      <c r="AS56" s="170"/>
      <c r="AV56" s="8">
        <v>44970</v>
      </c>
      <c r="AW56" s="8">
        <v>37385</v>
      </c>
      <c r="AX56" s="76">
        <v>35052</v>
      </c>
      <c r="AY56" s="8">
        <v>36842</v>
      </c>
      <c r="AZ56" s="8">
        <v>38206</v>
      </c>
      <c r="BA56" s="8">
        <v>39461</v>
      </c>
      <c r="BB56" s="8">
        <v>40318</v>
      </c>
      <c r="BC56" s="8">
        <v>40642</v>
      </c>
      <c r="BD56" s="8">
        <v>39277</v>
      </c>
      <c r="BE56" s="8">
        <v>41400</v>
      </c>
      <c r="BF56" s="8">
        <v>41471</v>
      </c>
      <c r="BG56" s="8">
        <v>44084</v>
      </c>
      <c r="BH56" s="8">
        <v>45059</v>
      </c>
      <c r="BI56" s="8">
        <v>45061</v>
      </c>
      <c r="BJ56" s="8">
        <v>45514</v>
      </c>
      <c r="BK56" s="8">
        <v>44699</v>
      </c>
      <c r="BL56" s="8">
        <v>46493</v>
      </c>
      <c r="BM56" s="8">
        <v>46619</v>
      </c>
    </row>
    <row r="57" spans="1:65" s="8" customFormat="1">
      <c r="A57" s="42" t="s">
        <v>162</v>
      </c>
      <c r="P57" s="146">
        <v>7818.0680000000002</v>
      </c>
      <c r="Q57" s="70">
        <v>7776.6030000000001</v>
      </c>
      <c r="R57" s="70">
        <v>7911.7280000000001</v>
      </c>
      <c r="S57" s="70">
        <v>8282.9159999999993</v>
      </c>
      <c r="T57" s="76">
        <v>8653.634</v>
      </c>
      <c r="U57" s="76">
        <v>8536.8950000000004</v>
      </c>
      <c r="V57" s="76">
        <v>8314.0930000000008</v>
      </c>
      <c r="W57" s="76">
        <v>8309.5139999999992</v>
      </c>
      <c r="X57" s="76">
        <v>8309.9889999999996</v>
      </c>
      <c r="Y57" s="76">
        <v>7821.4089999999997</v>
      </c>
      <c r="Z57" s="76">
        <v>7869.57</v>
      </c>
      <c r="AA57" s="8">
        <v>8035.44</v>
      </c>
      <c r="AB57" s="8">
        <v>7762.9610000000002</v>
      </c>
      <c r="AC57" s="8">
        <v>7323.7169999999996</v>
      </c>
      <c r="AD57" s="8">
        <v>7578.4660000000003</v>
      </c>
      <c r="AE57" s="8">
        <v>7139.0240000000003</v>
      </c>
      <c r="AF57" s="8">
        <v>7383.8230000000003</v>
      </c>
      <c r="AG57" s="8">
        <v>7329.1750000000002</v>
      </c>
      <c r="AH57" s="186"/>
      <c r="AI57" s="62"/>
      <c r="AS57" s="170"/>
      <c r="AV57" s="8">
        <v>7792</v>
      </c>
      <c r="AW57" s="8">
        <v>6993</v>
      </c>
      <c r="AX57" s="76">
        <v>6885</v>
      </c>
      <c r="AY57" s="8">
        <v>7148</v>
      </c>
      <c r="AZ57" s="8">
        <v>7349</v>
      </c>
      <c r="BA57" s="8">
        <v>7595</v>
      </c>
      <c r="BB57" s="8">
        <v>8689</v>
      </c>
      <c r="BC57" s="8">
        <v>8457</v>
      </c>
      <c r="BD57" s="8">
        <v>8536</v>
      </c>
      <c r="BE57" s="8">
        <v>7635</v>
      </c>
      <c r="BF57" s="8">
        <v>7920</v>
      </c>
      <c r="BG57" s="8">
        <v>9338</v>
      </c>
      <c r="BH57" s="8">
        <v>10470</v>
      </c>
      <c r="BI57" s="8">
        <v>10364</v>
      </c>
      <c r="BJ57" s="8">
        <v>10830</v>
      </c>
      <c r="BK57" s="8">
        <v>11120</v>
      </c>
      <c r="BL57" s="8">
        <v>10957</v>
      </c>
      <c r="BM57" s="8">
        <v>10577</v>
      </c>
    </row>
    <row r="58" spans="1:65" s="8" customFormat="1">
      <c r="A58" s="42" t="s">
        <v>163</v>
      </c>
      <c r="P58" s="146">
        <v>16638.896000000001</v>
      </c>
      <c r="Q58" s="70">
        <v>17649.75</v>
      </c>
      <c r="R58" s="70">
        <v>18480.754000000001</v>
      </c>
      <c r="S58" s="70">
        <v>20441.116999999998</v>
      </c>
      <c r="T58" s="76">
        <v>22858.182000000001</v>
      </c>
      <c r="U58" s="76">
        <v>22755.420999999998</v>
      </c>
      <c r="V58" s="76">
        <v>22388.956999999999</v>
      </c>
      <c r="W58" s="76">
        <v>21893.933000000001</v>
      </c>
      <c r="X58" s="76">
        <v>22094.550999999999</v>
      </c>
      <c r="Y58" s="76">
        <v>21981.513999999999</v>
      </c>
      <c r="Z58" s="76">
        <v>21989.46</v>
      </c>
      <c r="AA58" s="8">
        <v>21863.659</v>
      </c>
      <c r="AB58" s="8">
        <v>19749.171999999999</v>
      </c>
      <c r="AC58" s="8">
        <v>19434.284</v>
      </c>
      <c r="AD58" s="8">
        <v>19463.306</v>
      </c>
      <c r="AE58" s="8">
        <v>17708.298999999999</v>
      </c>
      <c r="AF58" s="8">
        <v>20138.352999999999</v>
      </c>
      <c r="AG58" s="8">
        <v>20494.099999999999</v>
      </c>
      <c r="AH58" s="186"/>
      <c r="AI58" s="62"/>
      <c r="AS58" s="170"/>
      <c r="AV58" s="8">
        <v>26093</v>
      </c>
      <c r="AW58" s="8">
        <v>25271</v>
      </c>
      <c r="AX58" s="76">
        <v>25472</v>
      </c>
      <c r="AY58" s="8">
        <v>28493</v>
      </c>
      <c r="AZ58" s="8">
        <v>30294</v>
      </c>
      <c r="BA58" s="8">
        <v>31887</v>
      </c>
      <c r="BB58" s="8">
        <v>31622</v>
      </c>
      <c r="BC58" s="8">
        <v>32172</v>
      </c>
      <c r="BD58" s="8">
        <v>32345</v>
      </c>
      <c r="BE58" s="8">
        <v>31502</v>
      </c>
      <c r="BF58" s="8">
        <v>29479</v>
      </c>
      <c r="BG58" s="8">
        <v>33918</v>
      </c>
      <c r="BH58" s="8">
        <v>31681</v>
      </c>
      <c r="BI58" s="8">
        <v>33002</v>
      </c>
      <c r="BJ58" s="8">
        <v>35711</v>
      </c>
      <c r="BK58" s="8">
        <v>30182</v>
      </c>
      <c r="BL58" s="8">
        <v>34100</v>
      </c>
      <c r="BM58" s="8">
        <v>34339</v>
      </c>
    </row>
    <row r="59" spans="1:65" s="8" customFormat="1">
      <c r="A59" s="42" t="s">
        <v>165</v>
      </c>
      <c r="B59" s="70"/>
      <c r="C59" s="70"/>
      <c r="D59" s="70"/>
      <c r="E59" s="70"/>
      <c r="F59" s="70"/>
      <c r="G59" s="70"/>
      <c r="H59" s="70"/>
      <c r="I59" s="70"/>
      <c r="J59" s="70"/>
      <c r="K59" s="70"/>
      <c r="L59" s="70"/>
      <c r="M59" s="70"/>
      <c r="N59" s="70"/>
      <c r="O59" s="70"/>
      <c r="P59" s="146">
        <v>86996.792000000001</v>
      </c>
      <c r="Q59" s="70">
        <v>83905.085000000006</v>
      </c>
      <c r="R59" s="70">
        <v>91946.520999999993</v>
      </c>
      <c r="S59" s="70">
        <v>108858.518</v>
      </c>
      <c r="T59" s="76">
        <v>106622.91800000001</v>
      </c>
      <c r="U59" s="76">
        <v>109062.746</v>
      </c>
      <c r="V59" s="76">
        <v>106383.5</v>
      </c>
      <c r="W59" s="76">
        <v>104639.16899999999</v>
      </c>
      <c r="X59" s="76">
        <v>102669.318</v>
      </c>
      <c r="Y59" s="76">
        <v>99984.543999999994</v>
      </c>
      <c r="Z59" s="76">
        <v>94497.402000000002</v>
      </c>
      <c r="AA59" s="8">
        <v>95392.808999999994</v>
      </c>
      <c r="AB59" s="8">
        <v>88695.955000000002</v>
      </c>
      <c r="AC59" s="8">
        <v>79721.760999999999</v>
      </c>
      <c r="AD59" s="8">
        <v>75709.153000000006</v>
      </c>
      <c r="AE59" s="8">
        <v>68494.73</v>
      </c>
      <c r="AF59" s="8">
        <v>73319.293999999994</v>
      </c>
      <c r="AG59" s="8">
        <v>77103.023000000001</v>
      </c>
      <c r="AH59" s="104"/>
      <c r="AI59" s="83"/>
      <c r="AJ59" s="70"/>
      <c r="AK59" s="70"/>
      <c r="AL59" s="70"/>
      <c r="AM59" s="70"/>
      <c r="AN59" s="70"/>
      <c r="AO59" s="70"/>
      <c r="AP59" s="70"/>
      <c r="AQ59" s="70"/>
      <c r="AR59" s="70"/>
      <c r="AS59" s="74"/>
      <c r="AT59" s="70"/>
      <c r="AU59" s="70"/>
      <c r="AV59" s="8">
        <v>97574</v>
      </c>
      <c r="AW59" s="8">
        <v>95194</v>
      </c>
      <c r="AX59" s="76">
        <v>97823</v>
      </c>
      <c r="AY59" s="8">
        <v>118166</v>
      </c>
      <c r="AZ59" s="8">
        <v>116540</v>
      </c>
      <c r="BA59" s="8">
        <v>122039</v>
      </c>
      <c r="BB59" s="8">
        <v>117253</v>
      </c>
      <c r="BC59" s="8">
        <v>115535</v>
      </c>
      <c r="BD59" s="8">
        <v>115546</v>
      </c>
      <c r="BE59" s="8">
        <v>116384</v>
      </c>
      <c r="BF59" s="8">
        <v>110929</v>
      </c>
      <c r="BG59" s="8">
        <v>113381</v>
      </c>
      <c r="BH59" s="8">
        <v>114480</v>
      </c>
      <c r="BI59" s="8">
        <v>110083</v>
      </c>
      <c r="BJ59" s="8">
        <v>106278</v>
      </c>
      <c r="BK59" s="8">
        <v>103176</v>
      </c>
      <c r="BL59" s="8">
        <v>105834</v>
      </c>
      <c r="BM59" s="8">
        <v>104724</v>
      </c>
    </row>
    <row r="60" spans="1:65" s="8" customFormat="1">
      <c r="A60" s="42" t="s">
        <v>169</v>
      </c>
      <c r="B60" s="70"/>
      <c r="C60" s="70"/>
      <c r="D60" s="70"/>
      <c r="E60" s="70"/>
      <c r="F60" s="70"/>
      <c r="G60" s="70"/>
      <c r="H60" s="70"/>
      <c r="I60" s="70"/>
      <c r="J60" s="70"/>
      <c r="K60" s="70"/>
      <c r="L60" s="70"/>
      <c r="M60" s="70"/>
      <c r="N60" s="70"/>
      <c r="O60" s="70"/>
      <c r="P60" s="146">
        <v>52039.843999999997</v>
      </c>
      <c r="Q60" s="70">
        <v>55242.944000000003</v>
      </c>
      <c r="R60" s="70">
        <v>56015.593000000001</v>
      </c>
      <c r="S60" s="70">
        <v>64619.194000000003</v>
      </c>
      <c r="T60" s="76">
        <v>67019.096000000005</v>
      </c>
      <c r="U60" s="76">
        <v>68914.981</v>
      </c>
      <c r="V60" s="76">
        <v>67042.827999999994</v>
      </c>
      <c r="W60" s="76">
        <v>66468.466</v>
      </c>
      <c r="X60" s="76">
        <v>67428.611000000004</v>
      </c>
      <c r="Y60" s="76">
        <v>66952.08</v>
      </c>
      <c r="Z60" s="76">
        <v>63986.313000000002</v>
      </c>
      <c r="AA60" s="8">
        <v>67117.971000000005</v>
      </c>
      <c r="AB60" s="8">
        <v>62341.963000000003</v>
      </c>
      <c r="AC60" s="8">
        <v>56921.661999999997</v>
      </c>
      <c r="AD60" s="8">
        <v>53853.832000000002</v>
      </c>
      <c r="AE60" s="8">
        <v>50097.038999999997</v>
      </c>
      <c r="AF60" s="8">
        <v>52433.527999999998</v>
      </c>
      <c r="AG60" s="8">
        <v>52750.625</v>
      </c>
      <c r="AH60" s="104"/>
      <c r="AI60" s="83"/>
      <c r="AJ60" s="70"/>
      <c r="AK60" s="70"/>
      <c r="AL60" s="70"/>
      <c r="AM60" s="70"/>
      <c r="AN60" s="70"/>
      <c r="AO60" s="70"/>
      <c r="AP60" s="70"/>
      <c r="AQ60" s="70"/>
      <c r="AR60" s="70"/>
      <c r="AS60" s="74"/>
      <c r="AT60" s="70"/>
      <c r="AU60" s="70"/>
      <c r="AV60" s="8">
        <v>55256</v>
      </c>
      <c r="AW60" s="8">
        <v>58192</v>
      </c>
      <c r="AX60" s="76">
        <v>58059</v>
      </c>
      <c r="AY60" s="8">
        <v>65862</v>
      </c>
      <c r="AZ60" s="8">
        <v>67447</v>
      </c>
      <c r="BA60" s="8">
        <v>66013</v>
      </c>
      <c r="BB60" s="8">
        <v>66547</v>
      </c>
      <c r="BC60" s="8">
        <v>67460</v>
      </c>
      <c r="BD60" s="8">
        <v>69903</v>
      </c>
      <c r="BE60" s="8">
        <v>71493</v>
      </c>
      <c r="BF60" s="8">
        <v>73789</v>
      </c>
      <c r="BG60" s="8">
        <v>80382</v>
      </c>
      <c r="BH60" s="8">
        <v>80496</v>
      </c>
      <c r="BI60" s="8">
        <v>83739</v>
      </c>
      <c r="BJ60" s="8">
        <v>77486</v>
      </c>
      <c r="BK60" s="8">
        <v>71946</v>
      </c>
      <c r="BL60" s="8">
        <v>69003</v>
      </c>
      <c r="BM60" s="8">
        <v>61757</v>
      </c>
    </row>
    <row r="61" spans="1:65" s="8" customFormat="1">
      <c r="A61" s="42" t="s">
        <v>170</v>
      </c>
      <c r="B61" s="70"/>
      <c r="C61" s="70"/>
      <c r="D61" s="70"/>
      <c r="E61" s="70"/>
      <c r="F61" s="70"/>
      <c r="G61" s="70"/>
      <c r="H61" s="70"/>
      <c r="I61" s="70"/>
      <c r="J61" s="70"/>
      <c r="K61" s="70"/>
      <c r="L61" s="70"/>
      <c r="M61" s="70"/>
      <c r="N61" s="70"/>
      <c r="O61" s="70"/>
      <c r="P61" s="146">
        <v>8472.5220000000008</v>
      </c>
      <c r="Q61" s="70">
        <v>8197.6200000000008</v>
      </c>
      <c r="R61" s="70">
        <v>8573.5400000000009</v>
      </c>
      <c r="S61" s="70">
        <v>9532.7759999999998</v>
      </c>
      <c r="T61" s="76">
        <v>10263.474</v>
      </c>
      <c r="U61" s="76">
        <v>10749.626</v>
      </c>
      <c r="V61" s="76">
        <v>10511.94</v>
      </c>
      <c r="W61" s="76">
        <v>10162.129999999999</v>
      </c>
      <c r="X61" s="76">
        <v>9952.7729999999992</v>
      </c>
      <c r="Y61" s="76">
        <v>9687.3179999999993</v>
      </c>
      <c r="Z61" s="76">
        <v>9298.3529999999992</v>
      </c>
      <c r="AA61" s="8">
        <v>8489.3780000000006</v>
      </c>
      <c r="AB61" s="8">
        <v>8322.6839999999993</v>
      </c>
      <c r="AC61" s="8">
        <v>7706.6419999999998</v>
      </c>
      <c r="AD61" s="8">
        <v>7179.5659999999998</v>
      </c>
      <c r="AE61" s="8">
        <v>7196.0039999999999</v>
      </c>
      <c r="AF61" s="8">
        <v>7252.6769999999997</v>
      </c>
      <c r="AG61" s="8">
        <v>7012.4949999999999</v>
      </c>
      <c r="AH61" s="104"/>
      <c r="AI61" s="83"/>
      <c r="AJ61" s="70"/>
      <c r="AK61" s="70"/>
      <c r="AL61" s="70"/>
      <c r="AM61" s="70"/>
      <c r="AN61" s="70"/>
      <c r="AO61" s="70"/>
      <c r="AP61" s="70"/>
      <c r="AQ61" s="70"/>
      <c r="AR61" s="70"/>
      <c r="AS61" s="74"/>
      <c r="AT61" s="70"/>
      <c r="AU61" s="70"/>
      <c r="AV61" s="8">
        <v>10471</v>
      </c>
      <c r="AW61" s="8">
        <v>9589</v>
      </c>
      <c r="AX61" s="76">
        <v>10495</v>
      </c>
      <c r="AY61" s="8">
        <v>12126</v>
      </c>
      <c r="AZ61" s="8">
        <v>13017</v>
      </c>
      <c r="BA61" s="8">
        <v>13608</v>
      </c>
      <c r="BB61" s="8">
        <v>13330</v>
      </c>
      <c r="BC61" s="8">
        <v>11861</v>
      </c>
      <c r="BD61" s="8">
        <v>11469</v>
      </c>
      <c r="BE61" s="8">
        <v>11541</v>
      </c>
      <c r="BF61" s="8">
        <v>10819</v>
      </c>
      <c r="BG61" s="8">
        <v>12630</v>
      </c>
      <c r="BH61" s="8">
        <v>14632</v>
      </c>
      <c r="BI61" s="8">
        <v>14093</v>
      </c>
      <c r="BJ61" s="8">
        <v>13076</v>
      </c>
      <c r="BK61" s="8">
        <v>12423</v>
      </c>
      <c r="BL61" s="8">
        <v>13074</v>
      </c>
      <c r="BM61" s="8">
        <v>13053</v>
      </c>
    </row>
    <row r="62" spans="1:65" s="8" customFormat="1">
      <c r="A62" s="43" t="s">
        <v>173</v>
      </c>
      <c r="B62" s="70"/>
      <c r="C62" s="70"/>
      <c r="D62" s="70"/>
      <c r="E62" s="70"/>
      <c r="F62" s="70"/>
      <c r="G62" s="70"/>
      <c r="H62" s="70"/>
      <c r="I62" s="70"/>
      <c r="J62" s="70"/>
      <c r="K62" s="70"/>
      <c r="L62" s="70"/>
      <c r="M62" s="70"/>
      <c r="N62" s="70"/>
      <c r="O62" s="70"/>
      <c r="P62" s="146">
        <v>7412.3490000000002</v>
      </c>
      <c r="Q62" s="70">
        <v>7320.8739999999998</v>
      </c>
      <c r="R62" s="70">
        <v>6956.424</v>
      </c>
      <c r="S62" s="70">
        <v>7119.4530000000004</v>
      </c>
      <c r="T62" s="76">
        <v>7334.9290000000001</v>
      </c>
      <c r="U62" s="76">
        <v>7123.7839999999997</v>
      </c>
      <c r="V62" s="76">
        <v>7120.4040000000005</v>
      </c>
      <c r="W62" s="76">
        <v>7216.9080000000004</v>
      </c>
      <c r="X62" s="76">
        <v>6709.1549999999997</v>
      </c>
      <c r="Y62" s="76">
        <v>7035.7849999999999</v>
      </c>
      <c r="Z62" s="76">
        <v>6847.2950000000001</v>
      </c>
      <c r="AA62" s="8">
        <v>7242.6440000000002</v>
      </c>
      <c r="AB62" s="8">
        <v>7792.451</v>
      </c>
      <c r="AC62" s="8">
        <v>7397.0860000000002</v>
      </c>
      <c r="AD62" s="8">
        <v>7162.0619999999999</v>
      </c>
      <c r="AE62" s="8">
        <v>7148.0550000000003</v>
      </c>
      <c r="AF62" s="8">
        <v>7218.4750000000004</v>
      </c>
      <c r="AG62" s="8">
        <v>7197.9579999999996</v>
      </c>
      <c r="AH62" s="104"/>
      <c r="AI62" s="83"/>
      <c r="AJ62" s="70"/>
      <c r="AK62" s="70"/>
      <c r="AL62" s="70"/>
      <c r="AM62" s="70"/>
      <c r="AN62" s="70"/>
      <c r="AO62" s="70"/>
      <c r="AP62" s="70"/>
      <c r="AQ62" s="70"/>
      <c r="AR62" s="70"/>
      <c r="AS62" s="74"/>
      <c r="AT62" s="70"/>
      <c r="AU62" s="70"/>
      <c r="AV62" s="8">
        <v>5628</v>
      </c>
      <c r="AW62" s="8">
        <v>5656</v>
      </c>
      <c r="AX62" s="76">
        <v>5577</v>
      </c>
      <c r="AY62" s="8">
        <v>5310</v>
      </c>
      <c r="AZ62" s="8">
        <v>5127</v>
      </c>
      <c r="BA62" s="8">
        <v>5096</v>
      </c>
      <c r="BB62" s="8">
        <v>5324</v>
      </c>
      <c r="BC62" s="8">
        <v>5195</v>
      </c>
      <c r="BD62" s="8">
        <v>5149</v>
      </c>
      <c r="BE62" s="8">
        <v>5340</v>
      </c>
      <c r="BF62" s="8">
        <v>5296</v>
      </c>
      <c r="BG62" s="8">
        <v>5729</v>
      </c>
      <c r="BH62" s="8">
        <v>6204</v>
      </c>
      <c r="BI62" s="8">
        <v>5678</v>
      </c>
      <c r="BJ62" s="231">
        <v>5189</v>
      </c>
      <c r="BK62" s="231">
        <v>5099</v>
      </c>
      <c r="BL62" s="231">
        <v>5427</v>
      </c>
      <c r="BM62" s="231">
        <v>5694</v>
      </c>
    </row>
    <row r="63" spans="1:65" s="8" customFormat="1">
      <c r="A63" s="46" t="s">
        <v>147</v>
      </c>
      <c r="B63" s="47"/>
      <c r="C63" s="47"/>
      <c r="D63" s="47"/>
      <c r="E63" s="47"/>
      <c r="F63" s="47"/>
      <c r="G63" s="47"/>
      <c r="H63" s="47"/>
      <c r="I63" s="47"/>
      <c r="J63" s="47"/>
      <c r="K63" s="47"/>
      <c r="L63" s="47"/>
      <c r="M63" s="47"/>
      <c r="N63" s="47"/>
      <c r="O63" s="47"/>
      <c r="P63" s="47">
        <v>7521.9629999999997</v>
      </c>
      <c r="Q63" s="47">
        <v>7388.8919999999998</v>
      </c>
      <c r="R63" s="47">
        <v>8630.2960000000003</v>
      </c>
      <c r="S63" s="47">
        <v>9106.0740000000005</v>
      </c>
      <c r="T63" s="47">
        <v>8877.4390000000003</v>
      </c>
      <c r="U63" s="47">
        <v>8360.6350000000002</v>
      </c>
      <c r="V63" s="47">
        <v>10688.384</v>
      </c>
      <c r="W63" s="47">
        <v>10438.522000000001</v>
      </c>
      <c r="X63" s="47">
        <v>10823.828</v>
      </c>
      <c r="Y63" s="47">
        <v>10566.111000000001</v>
      </c>
      <c r="Z63" s="47">
        <v>9327.8610000000008</v>
      </c>
      <c r="AA63" s="47">
        <v>12632.288</v>
      </c>
      <c r="AB63" s="47">
        <v>11102.476000000001</v>
      </c>
      <c r="AC63" s="47">
        <v>9569.32</v>
      </c>
      <c r="AD63" s="47">
        <v>9365.6090000000004</v>
      </c>
      <c r="AE63" s="47">
        <v>8880.402</v>
      </c>
      <c r="AF63" s="47">
        <v>9502.5869999999995</v>
      </c>
      <c r="AG63" s="47">
        <v>9595.7520000000004</v>
      </c>
      <c r="AH63" s="112"/>
      <c r="AI63" s="47"/>
      <c r="AJ63" s="47"/>
      <c r="AK63" s="47"/>
      <c r="AL63" s="47"/>
      <c r="AM63" s="47"/>
      <c r="AN63" s="47"/>
      <c r="AO63" s="47"/>
      <c r="AP63" s="47"/>
      <c r="AQ63" s="47"/>
      <c r="AR63" s="47"/>
      <c r="AS63" s="47"/>
      <c r="AT63" s="47"/>
      <c r="AU63" s="47"/>
      <c r="AV63" s="47">
        <v>4886</v>
      </c>
      <c r="AW63" s="47">
        <v>5256</v>
      </c>
      <c r="AX63" s="47">
        <v>6154</v>
      </c>
      <c r="AY63" s="47">
        <v>7140</v>
      </c>
      <c r="AZ63" s="47">
        <v>6459</v>
      </c>
      <c r="BA63" s="47">
        <v>6595</v>
      </c>
      <c r="BB63" s="47">
        <v>8108</v>
      </c>
      <c r="BC63" s="47">
        <v>8842</v>
      </c>
      <c r="BD63" s="47">
        <v>9490</v>
      </c>
      <c r="BE63" s="47">
        <v>8161</v>
      </c>
      <c r="BF63" s="47">
        <v>5516</v>
      </c>
      <c r="BG63" s="47">
        <v>7917</v>
      </c>
      <c r="BH63" s="47">
        <v>21426</v>
      </c>
      <c r="BI63" s="47">
        <v>11971</v>
      </c>
      <c r="BJ63" s="231">
        <v>9352</v>
      </c>
      <c r="BK63" s="231">
        <v>9179</v>
      </c>
      <c r="BL63" s="249">
        <v>9336</v>
      </c>
      <c r="BM63" s="249">
        <v>8913</v>
      </c>
    </row>
    <row r="64" spans="1:65" s="8" customFormat="1">
      <c r="B64" s="70"/>
      <c r="C64" s="83"/>
      <c r="D64" s="70"/>
      <c r="E64" s="70"/>
      <c r="F64" s="70"/>
      <c r="G64" s="70"/>
      <c r="H64" s="70"/>
      <c r="I64" s="70"/>
      <c r="J64" s="70"/>
      <c r="K64" s="70"/>
      <c r="L64" s="70"/>
      <c r="M64" s="70"/>
      <c r="N64" s="70"/>
      <c r="O64" s="70"/>
      <c r="P64" s="146"/>
      <c r="Q64" s="70"/>
      <c r="R64" s="70"/>
      <c r="S64" s="70"/>
      <c r="T64" s="76"/>
      <c r="U64" s="76"/>
      <c r="V64" s="76"/>
      <c r="W64" s="76"/>
      <c r="X64" s="76"/>
      <c r="Y64" s="76"/>
      <c r="Z64" s="76"/>
      <c r="AH64" s="76"/>
      <c r="AI64" s="76"/>
      <c r="AJ64" s="76"/>
      <c r="AK64" s="70"/>
      <c r="AL64" s="70"/>
      <c r="AM64" s="70"/>
      <c r="AN64" s="70"/>
      <c r="AO64" s="70"/>
      <c r="AP64" s="70"/>
      <c r="AQ64" s="70"/>
      <c r="AR64" s="70"/>
      <c r="AS64" s="74"/>
      <c r="AT64" s="70"/>
      <c r="AU64" s="70"/>
      <c r="AX64" s="76"/>
    </row>
    <row r="65" spans="1:67" s="62" customFormat="1">
      <c r="A65" s="83" t="s">
        <v>33</v>
      </c>
      <c r="B65" s="83" t="s">
        <v>36</v>
      </c>
      <c r="C65" s="83" t="s">
        <v>35</v>
      </c>
      <c r="D65" s="83" t="s">
        <v>36</v>
      </c>
      <c r="E65" s="83" t="s">
        <v>34</v>
      </c>
      <c r="F65" s="83" t="s">
        <v>34</v>
      </c>
      <c r="G65" s="83" t="s">
        <v>34</v>
      </c>
      <c r="H65" s="83" t="s">
        <v>34</v>
      </c>
      <c r="I65" s="83" t="s">
        <v>34</v>
      </c>
      <c r="J65" s="83" t="s">
        <v>34</v>
      </c>
      <c r="K65" s="83" t="s">
        <v>34</v>
      </c>
      <c r="L65" s="83" t="s">
        <v>34</v>
      </c>
      <c r="M65" s="156" t="s">
        <v>184</v>
      </c>
      <c r="N65" s="83"/>
      <c r="O65" s="83" t="s">
        <v>36</v>
      </c>
      <c r="P65" s="83" t="s">
        <v>36</v>
      </c>
      <c r="Q65" s="83" t="s">
        <v>36</v>
      </c>
      <c r="R65" s="83" t="s">
        <v>36</v>
      </c>
      <c r="S65" s="83" t="s">
        <v>194</v>
      </c>
      <c r="T65" s="83" t="s">
        <v>194</v>
      </c>
      <c r="U65" s="83" t="s">
        <v>194</v>
      </c>
      <c r="V65" s="83" t="s">
        <v>194</v>
      </c>
      <c r="W65" s="83" t="s">
        <v>194</v>
      </c>
      <c r="X65" s="83" t="s">
        <v>194</v>
      </c>
      <c r="Y65" s="83" t="s">
        <v>194</v>
      </c>
      <c r="Z65" s="83" t="s">
        <v>194</v>
      </c>
      <c r="AA65" s="83" t="s">
        <v>194</v>
      </c>
      <c r="AB65" s="83" t="s">
        <v>194</v>
      </c>
      <c r="AC65" s="83" t="s">
        <v>194</v>
      </c>
      <c r="AD65" s="83" t="s">
        <v>194</v>
      </c>
      <c r="AE65" s="83" t="s">
        <v>194</v>
      </c>
      <c r="AF65" s="83"/>
      <c r="AG65" s="83"/>
      <c r="AH65" s="83"/>
      <c r="AI65" s="83"/>
      <c r="AJ65" s="83"/>
      <c r="AK65" s="83"/>
      <c r="AL65" s="83"/>
      <c r="AM65" s="83"/>
      <c r="AN65" s="83"/>
      <c r="AO65" s="83"/>
      <c r="AP65" s="83"/>
      <c r="AQ65" s="83"/>
      <c r="AR65" s="83"/>
      <c r="AS65" s="156"/>
      <c r="AT65" s="83"/>
      <c r="AU65" s="83"/>
      <c r="AV65" s="83"/>
      <c r="AW65" s="83"/>
      <c r="AX65" s="83"/>
      <c r="AY65" s="83"/>
      <c r="AZ65" s="83"/>
      <c r="BA65" s="83"/>
      <c r="BB65" s="83"/>
      <c r="BC65" s="83"/>
    </row>
    <row r="66" spans="1:67" s="8" customFormat="1">
      <c r="A66" s="70" t="s">
        <v>37</v>
      </c>
      <c r="B66" s="70" t="s">
        <v>38</v>
      </c>
      <c r="C66" s="83" t="s">
        <v>39</v>
      </c>
      <c r="D66" s="70" t="s">
        <v>38</v>
      </c>
      <c r="E66" s="70" t="s">
        <v>38</v>
      </c>
      <c r="F66" s="70" t="s">
        <v>38</v>
      </c>
      <c r="G66" s="70" t="s">
        <v>38</v>
      </c>
      <c r="H66" s="70" t="s">
        <v>38</v>
      </c>
      <c r="I66" s="70" t="s">
        <v>38</v>
      </c>
      <c r="J66" s="70" t="s">
        <v>38</v>
      </c>
      <c r="K66" s="70" t="s">
        <v>38</v>
      </c>
      <c r="L66" s="70" t="s">
        <v>38</v>
      </c>
      <c r="M66" s="74" t="s">
        <v>185</v>
      </c>
      <c r="N66" s="70"/>
      <c r="O66" s="70" t="s">
        <v>121</v>
      </c>
      <c r="P66" s="70" t="s">
        <v>121</v>
      </c>
      <c r="Q66" s="70" t="s">
        <v>121</v>
      </c>
      <c r="R66" s="70" t="s">
        <v>121</v>
      </c>
      <c r="S66" s="70" t="s">
        <v>195</v>
      </c>
      <c r="T66" s="70" t="s">
        <v>195</v>
      </c>
      <c r="U66" s="70" t="s">
        <v>195</v>
      </c>
      <c r="V66" s="70" t="s">
        <v>195</v>
      </c>
      <c r="W66" s="70" t="s">
        <v>195</v>
      </c>
      <c r="X66" s="70" t="s">
        <v>195</v>
      </c>
      <c r="Y66" s="70" t="s">
        <v>195</v>
      </c>
      <c r="Z66" s="70" t="s">
        <v>195</v>
      </c>
      <c r="AA66" s="70" t="s">
        <v>195</v>
      </c>
      <c r="AB66" s="70" t="s">
        <v>195</v>
      </c>
      <c r="AC66" s="70" t="s">
        <v>195</v>
      </c>
      <c r="AD66" s="70" t="s">
        <v>195</v>
      </c>
      <c r="AE66" s="70" t="s">
        <v>195</v>
      </c>
      <c r="AF66" s="70"/>
      <c r="AG66" s="70"/>
      <c r="AH66" s="83"/>
      <c r="AI66" s="83"/>
      <c r="AJ66" s="83"/>
      <c r="AK66" s="83"/>
      <c r="AL66" s="83"/>
      <c r="AM66" s="83"/>
      <c r="AN66" s="83"/>
      <c r="AO66" s="83"/>
      <c r="AP66" s="83"/>
      <c r="AQ66" s="83"/>
      <c r="AR66" s="83"/>
      <c r="AS66" s="156"/>
      <c r="AT66" s="83"/>
      <c r="AU66" s="83"/>
      <c r="AV66" s="83"/>
      <c r="AW66" s="83"/>
      <c r="AX66" s="83"/>
      <c r="AY66" s="83"/>
      <c r="AZ66" s="83"/>
      <c r="BA66" s="83"/>
      <c r="BB66" s="83"/>
      <c r="BC66" s="83"/>
      <c r="BD66" s="62"/>
      <c r="BE66" s="62"/>
      <c r="BF66" s="62"/>
      <c r="BG66" s="62"/>
      <c r="BH66" s="62"/>
      <c r="BI66" s="62"/>
      <c r="BJ66" s="62"/>
      <c r="BK66" s="62"/>
      <c r="BL66" s="62"/>
      <c r="BM66" s="62"/>
      <c r="BN66" s="62"/>
      <c r="BO66" s="62"/>
    </row>
    <row r="67" spans="1:67" s="8" customFormat="1">
      <c r="A67" s="70" t="s">
        <v>40</v>
      </c>
      <c r="B67" s="70" t="s">
        <v>41</v>
      </c>
      <c r="C67" s="83" t="s">
        <v>42</v>
      </c>
      <c r="D67" s="70" t="s">
        <v>41</v>
      </c>
      <c r="E67" s="70" t="s">
        <v>41</v>
      </c>
      <c r="F67" s="70" t="s">
        <v>41</v>
      </c>
      <c r="G67" s="70" t="s">
        <v>41</v>
      </c>
      <c r="H67" s="70" t="s">
        <v>41</v>
      </c>
      <c r="I67" s="70" t="s">
        <v>41</v>
      </c>
      <c r="J67" s="70" t="s">
        <v>41</v>
      </c>
      <c r="K67" s="70" t="s">
        <v>41</v>
      </c>
      <c r="L67" s="70" t="s">
        <v>41</v>
      </c>
      <c r="M67" s="74" t="s">
        <v>186</v>
      </c>
      <c r="N67" s="70"/>
      <c r="O67" s="70" t="s">
        <v>44</v>
      </c>
      <c r="P67" s="70" t="s">
        <v>44</v>
      </c>
      <c r="Q67" s="70" t="s">
        <v>44</v>
      </c>
      <c r="R67" s="70" t="s">
        <v>44</v>
      </c>
      <c r="S67" s="70" t="s">
        <v>199</v>
      </c>
      <c r="T67" s="70" t="s">
        <v>199</v>
      </c>
      <c r="U67" s="70" t="s">
        <v>199</v>
      </c>
      <c r="V67" s="70" t="s">
        <v>199</v>
      </c>
      <c r="W67" s="70" t="s">
        <v>199</v>
      </c>
      <c r="X67" s="70" t="s">
        <v>199</v>
      </c>
      <c r="Y67" s="70" t="s">
        <v>199</v>
      </c>
      <c r="Z67" s="70" t="s">
        <v>199</v>
      </c>
      <c r="AA67" s="70" t="s">
        <v>199</v>
      </c>
      <c r="AB67" s="70" t="s">
        <v>199</v>
      </c>
      <c r="AC67" s="70" t="s">
        <v>199</v>
      </c>
      <c r="AD67" s="70" t="s">
        <v>199</v>
      </c>
      <c r="AE67" s="70" t="s">
        <v>199</v>
      </c>
      <c r="AF67" s="70"/>
      <c r="AG67" s="70"/>
      <c r="AH67" s="83"/>
      <c r="AI67" s="83"/>
      <c r="AJ67" s="83"/>
      <c r="AK67" s="83"/>
      <c r="AL67" s="83"/>
      <c r="AM67" s="83"/>
      <c r="AN67" s="83"/>
      <c r="AO67" s="83"/>
      <c r="AP67" s="83"/>
      <c r="AQ67" s="83"/>
      <c r="AR67" s="83"/>
      <c r="AS67" s="156"/>
      <c r="AT67" s="83"/>
      <c r="AU67" s="83"/>
      <c r="AV67" s="83"/>
      <c r="AW67" s="83"/>
      <c r="AX67" s="83"/>
      <c r="AY67" s="83"/>
      <c r="AZ67" s="83"/>
      <c r="BA67" s="83"/>
      <c r="BB67" s="83"/>
      <c r="BC67" s="83"/>
      <c r="BD67" s="62"/>
      <c r="BE67" s="62"/>
      <c r="BF67" s="62"/>
      <c r="BG67" s="62"/>
      <c r="BH67" s="62"/>
      <c r="BI67" s="62"/>
      <c r="BJ67" s="62"/>
      <c r="BK67" s="62"/>
      <c r="BL67" s="62"/>
      <c r="BM67" s="62"/>
      <c r="BN67" s="62"/>
      <c r="BO67" s="62"/>
    </row>
    <row r="68" spans="1:67" s="8" customFormat="1">
      <c r="A68" s="70" t="s">
        <v>43</v>
      </c>
      <c r="B68" s="70" t="s">
        <v>44</v>
      </c>
      <c r="C68" s="83" t="s">
        <v>45</v>
      </c>
      <c r="D68" s="70" t="s">
        <v>44</v>
      </c>
      <c r="E68" s="70" t="s">
        <v>44</v>
      </c>
      <c r="F68" s="70" t="s">
        <v>44</v>
      </c>
      <c r="G68" s="70" t="s">
        <v>44</v>
      </c>
      <c r="H68" s="70" t="s">
        <v>44</v>
      </c>
      <c r="I68" s="70" t="s">
        <v>44</v>
      </c>
      <c r="J68" s="70" t="s">
        <v>44</v>
      </c>
      <c r="K68" s="70" t="s">
        <v>44</v>
      </c>
      <c r="L68" s="70" t="s">
        <v>44</v>
      </c>
      <c r="M68" s="74" t="s">
        <v>187</v>
      </c>
      <c r="N68" s="70"/>
      <c r="O68" s="70" t="s">
        <v>119</v>
      </c>
      <c r="P68" s="70" t="s">
        <v>119</v>
      </c>
      <c r="Q68" s="70" t="s">
        <v>119</v>
      </c>
      <c r="R68" s="70" t="s">
        <v>119</v>
      </c>
      <c r="S68" s="70" t="s">
        <v>200</v>
      </c>
      <c r="T68" s="70" t="s">
        <v>200</v>
      </c>
      <c r="U68" s="70" t="s">
        <v>200</v>
      </c>
      <c r="V68" s="70" t="s">
        <v>200</v>
      </c>
      <c r="W68" s="70" t="s">
        <v>200</v>
      </c>
      <c r="X68" s="70" t="s">
        <v>200</v>
      </c>
      <c r="Y68" s="70" t="s">
        <v>200</v>
      </c>
      <c r="Z68" s="70" t="s">
        <v>200</v>
      </c>
      <c r="AA68" s="70" t="s">
        <v>200</v>
      </c>
      <c r="AB68" s="70" t="s">
        <v>200</v>
      </c>
      <c r="AC68" s="70" t="s">
        <v>200</v>
      </c>
      <c r="AD68" s="70" t="s">
        <v>200</v>
      </c>
      <c r="AE68" s="70" t="s">
        <v>200</v>
      </c>
      <c r="AF68" s="70"/>
      <c r="AG68" s="70"/>
      <c r="AH68" s="83"/>
      <c r="AI68" s="83"/>
      <c r="AJ68" s="83"/>
      <c r="AK68" s="83"/>
      <c r="AL68" s="83"/>
      <c r="AM68" s="83"/>
      <c r="AN68" s="83"/>
      <c r="AO68" s="83"/>
      <c r="AP68" s="83"/>
      <c r="AQ68" s="83"/>
      <c r="AR68" s="83"/>
      <c r="AS68" s="156"/>
      <c r="AT68" s="83"/>
      <c r="AU68" s="83"/>
      <c r="AV68" s="83"/>
      <c r="AW68" s="83"/>
      <c r="AX68" s="83"/>
      <c r="AY68" s="83"/>
      <c r="AZ68" s="83"/>
      <c r="BA68" s="83"/>
      <c r="BB68" s="83"/>
      <c r="BC68" s="83"/>
      <c r="BD68" s="62"/>
      <c r="BE68" s="62"/>
      <c r="BF68" s="62"/>
      <c r="BG68" s="62"/>
      <c r="BH68" s="62"/>
      <c r="BI68" s="62"/>
      <c r="BJ68" s="62"/>
      <c r="BK68" s="62"/>
      <c r="BL68" s="62"/>
      <c r="BM68" s="62"/>
      <c r="BN68" s="62"/>
      <c r="BO68" s="62"/>
    </row>
    <row r="69" spans="1:67" s="8" customFormat="1">
      <c r="A69" s="70" t="s">
        <v>46</v>
      </c>
      <c r="B69" s="70" t="s">
        <v>1</v>
      </c>
      <c r="C69" s="83" t="s">
        <v>38</v>
      </c>
      <c r="D69" s="70" t="s">
        <v>1</v>
      </c>
      <c r="E69" s="70" t="s">
        <v>1</v>
      </c>
      <c r="F69" s="70" t="s">
        <v>1</v>
      </c>
      <c r="G69" s="70" t="s">
        <v>1</v>
      </c>
      <c r="H69" s="70" t="s">
        <v>1</v>
      </c>
      <c r="I69" s="70" t="s">
        <v>1</v>
      </c>
      <c r="J69" s="70" t="s">
        <v>1</v>
      </c>
      <c r="K69" s="70" t="s">
        <v>1</v>
      </c>
      <c r="L69" s="70" t="s">
        <v>1</v>
      </c>
      <c r="M69" s="74" t="s">
        <v>188</v>
      </c>
      <c r="N69" s="70"/>
      <c r="O69" s="70" t="s">
        <v>120</v>
      </c>
      <c r="P69" s="70" t="s">
        <v>120</v>
      </c>
      <c r="Q69" s="70" t="s">
        <v>120</v>
      </c>
      <c r="R69" s="70" t="s">
        <v>120</v>
      </c>
      <c r="S69" s="83" t="s">
        <v>201</v>
      </c>
      <c r="T69" s="83" t="s">
        <v>201</v>
      </c>
      <c r="U69" s="83" t="s">
        <v>201</v>
      </c>
      <c r="V69" s="83" t="s">
        <v>201</v>
      </c>
      <c r="W69" s="83" t="s">
        <v>201</v>
      </c>
      <c r="X69" s="83" t="s">
        <v>201</v>
      </c>
      <c r="Y69" s="83" t="s">
        <v>201</v>
      </c>
      <c r="Z69" s="83" t="s">
        <v>201</v>
      </c>
      <c r="AA69" s="83" t="s">
        <v>201</v>
      </c>
      <c r="AB69" s="83" t="s">
        <v>201</v>
      </c>
      <c r="AC69" s="83" t="s">
        <v>201</v>
      </c>
      <c r="AD69" s="83" t="s">
        <v>201</v>
      </c>
      <c r="AE69" s="83" t="s">
        <v>201</v>
      </c>
      <c r="AF69" s="83"/>
      <c r="AG69" s="83"/>
      <c r="AH69" s="83"/>
      <c r="AI69" s="83"/>
      <c r="AJ69" s="83"/>
      <c r="AK69" s="83"/>
      <c r="AL69" s="83"/>
      <c r="AM69" s="83"/>
      <c r="AN69" s="83"/>
      <c r="AO69" s="83"/>
      <c r="AP69" s="83"/>
      <c r="AQ69" s="83"/>
      <c r="AR69" s="83"/>
      <c r="AS69" s="156"/>
      <c r="AT69" s="83"/>
      <c r="AU69" s="83"/>
      <c r="AV69" s="83"/>
      <c r="AW69" s="83"/>
      <c r="AX69" s="83"/>
      <c r="AY69" s="83"/>
      <c r="AZ69" s="83"/>
      <c r="BA69" s="83"/>
      <c r="BB69" s="83"/>
      <c r="BC69" s="83"/>
      <c r="BD69" s="62"/>
      <c r="BE69" s="62"/>
      <c r="BF69" s="62"/>
      <c r="BG69" s="62"/>
      <c r="BH69" s="62"/>
      <c r="BI69" s="62"/>
      <c r="BJ69" s="62"/>
      <c r="BK69" s="62"/>
      <c r="BL69" s="62"/>
      <c r="BM69" s="62"/>
      <c r="BN69" s="62"/>
      <c r="BO69" s="62"/>
    </row>
    <row r="70" spans="1:67" s="8" customFormat="1">
      <c r="A70" s="70" t="s">
        <v>47</v>
      </c>
      <c r="B70" s="70" t="s">
        <v>51</v>
      </c>
      <c r="C70" s="83" t="s">
        <v>52</v>
      </c>
      <c r="D70" s="70" t="s">
        <v>51</v>
      </c>
      <c r="E70" s="70" t="s">
        <v>51</v>
      </c>
      <c r="F70" s="70" t="s">
        <v>51</v>
      </c>
      <c r="G70" s="70" t="s">
        <v>51</v>
      </c>
      <c r="H70" s="70" t="s">
        <v>51</v>
      </c>
      <c r="I70" s="70" t="s">
        <v>51</v>
      </c>
      <c r="J70" s="70" t="s">
        <v>51</v>
      </c>
      <c r="K70" s="70" t="s">
        <v>48</v>
      </c>
      <c r="L70" s="70" t="s">
        <v>48</v>
      </c>
      <c r="M70" s="70"/>
      <c r="N70" s="70"/>
      <c r="O70" s="70" t="s">
        <v>122</v>
      </c>
      <c r="P70" s="70" t="s">
        <v>133</v>
      </c>
      <c r="Q70" s="70" t="s">
        <v>133</v>
      </c>
      <c r="R70" s="70" t="s">
        <v>133</v>
      </c>
      <c r="S70" s="84" t="s">
        <v>0</v>
      </c>
      <c r="T70" s="84" t="s">
        <v>0</v>
      </c>
      <c r="U70" s="84" t="s">
        <v>0</v>
      </c>
      <c r="V70" s="84" t="s">
        <v>0</v>
      </c>
      <c r="W70" s="84" t="s">
        <v>0</v>
      </c>
      <c r="X70" s="84" t="s">
        <v>0</v>
      </c>
      <c r="Y70" s="84" t="s">
        <v>0</v>
      </c>
      <c r="Z70" s="84" t="s">
        <v>0</v>
      </c>
      <c r="AA70" s="84" t="s">
        <v>227</v>
      </c>
      <c r="AB70" s="84" t="s">
        <v>0</v>
      </c>
      <c r="AC70" s="84" t="s">
        <v>228</v>
      </c>
      <c r="AD70" s="84" t="s">
        <v>242</v>
      </c>
      <c r="AE70" s="84" t="s">
        <v>242</v>
      </c>
      <c r="AF70" s="84"/>
      <c r="AG70" s="84"/>
      <c r="AH70" s="83"/>
      <c r="AI70" s="83"/>
      <c r="AJ70" s="83"/>
      <c r="AK70" s="83"/>
      <c r="AL70" s="83"/>
      <c r="AM70" s="83"/>
      <c r="AN70" s="83"/>
      <c r="AO70" s="83"/>
      <c r="AP70" s="83"/>
      <c r="AQ70" s="83"/>
      <c r="AR70" s="83"/>
      <c r="AS70" s="156"/>
      <c r="AT70" s="83"/>
      <c r="AU70" s="83"/>
      <c r="AV70" s="83"/>
      <c r="AW70" s="83"/>
      <c r="AX70" s="83"/>
      <c r="AY70" s="147"/>
      <c r="AZ70" s="147"/>
      <c r="BA70" s="147"/>
      <c r="BB70" s="147"/>
      <c r="BC70" s="147"/>
      <c r="BD70" s="62"/>
      <c r="BE70" s="62"/>
      <c r="BF70" s="62"/>
      <c r="BG70" s="62"/>
      <c r="BH70" s="62"/>
      <c r="BI70" s="62"/>
      <c r="BJ70" s="62"/>
      <c r="BK70" s="62"/>
      <c r="BL70" s="62"/>
      <c r="BM70" s="62"/>
      <c r="BN70" s="62"/>
      <c r="BO70" s="62"/>
    </row>
    <row r="71" spans="1:67" s="8" customFormat="1">
      <c r="A71" s="70" t="s">
        <v>50</v>
      </c>
      <c r="B71" s="70" t="s">
        <v>54</v>
      </c>
      <c r="C71" s="83" t="s">
        <v>55</v>
      </c>
      <c r="D71" s="70" t="s">
        <v>56</v>
      </c>
      <c r="E71" s="70" t="s">
        <v>57</v>
      </c>
      <c r="F71" s="70" t="s">
        <v>58</v>
      </c>
      <c r="G71" s="70" t="s">
        <v>59</v>
      </c>
      <c r="H71" s="70" t="s">
        <v>60</v>
      </c>
      <c r="I71" s="70" t="s">
        <v>61</v>
      </c>
      <c r="J71" s="70" t="s">
        <v>62</v>
      </c>
      <c r="K71" s="70" t="s">
        <v>51</v>
      </c>
      <c r="L71" s="70" t="s">
        <v>51</v>
      </c>
      <c r="M71" s="70"/>
      <c r="N71" s="70"/>
      <c r="O71" s="157" t="s">
        <v>221</v>
      </c>
      <c r="P71" s="157" t="s">
        <v>222</v>
      </c>
      <c r="Q71" s="157" t="s">
        <v>222</v>
      </c>
      <c r="R71" s="157" t="s">
        <v>222</v>
      </c>
      <c r="S71" s="84" t="s">
        <v>196</v>
      </c>
      <c r="T71" s="84" t="s">
        <v>196</v>
      </c>
      <c r="U71" s="84" t="s">
        <v>196</v>
      </c>
      <c r="V71" s="84" t="s">
        <v>196</v>
      </c>
      <c r="W71" s="84" t="s">
        <v>196</v>
      </c>
      <c r="X71" s="84" t="s">
        <v>196</v>
      </c>
      <c r="Y71" s="84" t="s">
        <v>196</v>
      </c>
      <c r="Z71" s="84" t="s">
        <v>196</v>
      </c>
      <c r="AA71" s="84" t="s">
        <v>228</v>
      </c>
      <c r="AB71" s="84" t="s">
        <v>196</v>
      </c>
      <c r="AC71" s="84" t="s">
        <v>229</v>
      </c>
      <c r="AD71" s="84" t="s">
        <v>229</v>
      </c>
      <c r="AE71" s="84" t="s">
        <v>229</v>
      </c>
      <c r="AF71" s="84"/>
      <c r="AG71" s="84"/>
      <c r="AH71" s="83"/>
      <c r="AI71" s="83"/>
      <c r="AJ71" s="83"/>
      <c r="AK71" s="83"/>
      <c r="AL71" s="83"/>
      <c r="AM71" s="83"/>
      <c r="AN71" s="83"/>
      <c r="AO71" s="83"/>
      <c r="AP71" s="83"/>
      <c r="AQ71" s="83"/>
      <c r="AR71" s="83"/>
      <c r="AS71" s="156"/>
      <c r="AT71" s="83"/>
      <c r="AU71" s="158"/>
      <c r="AV71" s="158"/>
      <c r="AW71" s="158"/>
      <c r="AX71" s="158"/>
      <c r="AY71" s="147"/>
      <c r="AZ71" s="147"/>
      <c r="BA71" s="147"/>
      <c r="BB71" s="147"/>
      <c r="BC71" s="147"/>
      <c r="BD71" s="62"/>
      <c r="BE71" s="62"/>
      <c r="BF71" s="62"/>
      <c r="BG71" s="62"/>
      <c r="BH71" s="62"/>
      <c r="BI71" s="62"/>
      <c r="BJ71" s="62"/>
      <c r="BK71" s="62"/>
      <c r="BL71" s="62"/>
      <c r="BM71" s="62"/>
      <c r="BN71" s="62"/>
      <c r="BO71" s="62"/>
    </row>
    <row r="72" spans="1:67" s="8" customFormat="1">
      <c r="A72" s="70" t="s">
        <v>53</v>
      </c>
      <c r="B72" s="70" t="s">
        <v>64</v>
      </c>
      <c r="C72" s="83" t="s">
        <v>65</v>
      </c>
      <c r="D72" s="70" t="s">
        <v>64</v>
      </c>
      <c r="E72" s="70" t="s">
        <v>64</v>
      </c>
      <c r="F72" s="70" t="s">
        <v>64</v>
      </c>
      <c r="G72" s="70" t="s">
        <v>64</v>
      </c>
      <c r="H72" s="70" t="s">
        <v>64</v>
      </c>
      <c r="I72" s="70" t="s">
        <v>66</v>
      </c>
      <c r="J72" s="70" t="s">
        <v>66</v>
      </c>
      <c r="K72" s="160" t="s">
        <v>16</v>
      </c>
      <c r="L72" s="160" t="s">
        <v>17</v>
      </c>
      <c r="M72" s="70"/>
      <c r="N72" s="70"/>
      <c r="O72" s="159" t="s">
        <v>123</v>
      </c>
      <c r="P72" s="159" t="s">
        <v>134</v>
      </c>
      <c r="Q72" s="159" t="s">
        <v>179</v>
      </c>
      <c r="R72" s="159" t="s">
        <v>180</v>
      </c>
      <c r="S72" s="84" t="s">
        <v>120</v>
      </c>
      <c r="T72" s="84" t="s">
        <v>120</v>
      </c>
      <c r="U72" s="84" t="s">
        <v>120</v>
      </c>
      <c r="V72" s="84" t="s">
        <v>120</v>
      </c>
      <c r="W72" s="84" t="s">
        <v>120</v>
      </c>
      <c r="X72" s="84" t="s">
        <v>120</v>
      </c>
      <c r="Y72" s="84" t="s">
        <v>120</v>
      </c>
      <c r="Z72" s="84" t="s">
        <v>120</v>
      </c>
      <c r="AA72" s="84" t="s">
        <v>229</v>
      </c>
      <c r="AB72" s="84" t="s">
        <v>120</v>
      </c>
      <c r="AC72" s="84" t="s">
        <v>230</v>
      </c>
      <c r="AD72" s="87" t="s">
        <v>241</v>
      </c>
      <c r="AE72" s="87" t="s">
        <v>246</v>
      </c>
      <c r="AF72" s="87"/>
      <c r="AG72" s="87"/>
      <c r="AH72" s="83"/>
      <c r="AI72" s="83"/>
      <c r="AJ72" s="83"/>
      <c r="AK72" s="83"/>
      <c r="AL72" s="83"/>
      <c r="AM72" s="83"/>
      <c r="AN72" s="83"/>
      <c r="AO72" s="83"/>
      <c r="AP72" s="83"/>
      <c r="AQ72" s="83"/>
      <c r="AR72" s="83"/>
      <c r="AS72" s="156"/>
      <c r="AT72" s="83"/>
      <c r="AU72" s="162"/>
      <c r="AV72" s="162"/>
      <c r="AW72" s="162"/>
      <c r="AX72" s="162"/>
      <c r="AY72" s="147"/>
      <c r="AZ72" s="147"/>
      <c r="BA72" s="147"/>
      <c r="BB72" s="147"/>
      <c r="BC72" s="147"/>
      <c r="BD72" s="62"/>
      <c r="BE72" s="62"/>
      <c r="BF72" s="62"/>
      <c r="BG72" s="62"/>
      <c r="BH72" s="62"/>
      <c r="BI72" s="62"/>
      <c r="BJ72" s="62"/>
      <c r="BK72" s="62"/>
      <c r="BL72" s="62"/>
      <c r="BM72" s="62"/>
      <c r="BN72" s="62"/>
      <c r="BO72" s="62"/>
    </row>
    <row r="73" spans="1:67" s="8" customFormat="1">
      <c r="A73" s="70" t="s">
        <v>63</v>
      </c>
      <c r="B73" s="70" t="s">
        <v>68</v>
      </c>
      <c r="C73" s="83" t="s">
        <v>69</v>
      </c>
      <c r="D73" s="70" t="s">
        <v>68</v>
      </c>
      <c r="E73" s="70" t="s">
        <v>68</v>
      </c>
      <c r="F73" s="70" t="s">
        <v>68</v>
      </c>
      <c r="G73" s="70" t="s">
        <v>68</v>
      </c>
      <c r="H73" s="70" t="s">
        <v>68</v>
      </c>
      <c r="I73" s="70" t="s">
        <v>71</v>
      </c>
      <c r="J73" s="70" t="s">
        <v>71</v>
      </c>
      <c r="K73" s="70" t="s">
        <v>66</v>
      </c>
      <c r="L73" s="70" t="s">
        <v>66</v>
      </c>
      <c r="M73" s="70"/>
      <c r="N73" s="70"/>
      <c r="O73" s="70" t="s">
        <v>124</v>
      </c>
      <c r="P73" s="70" t="s">
        <v>124</v>
      </c>
      <c r="Q73" s="70" t="s">
        <v>124</v>
      </c>
      <c r="R73" s="70" t="s">
        <v>124</v>
      </c>
      <c r="S73" s="84" t="s">
        <v>197</v>
      </c>
      <c r="T73" s="84" t="s">
        <v>197</v>
      </c>
      <c r="U73" s="84" t="s">
        <v>197</v>
      </c>
      <c r="V73" s="84" t="s">
        <v>197</v>
      </c>
      <c r="W73" s="84" t="s">
        <v>197</v>
      </c>
      <c r="X73" s="84" t="s">
        <v>197</v>
      </c>
      <c r="Y73" s="84" t="s">
        <v>197</v>
      </c>
      <c r="Z73" s="84" t="s">
        <v>197</v>
      </c>
      <c r="AA73" s="84" t="s">
        <v>230</v>
      </c>
      <c r="AB73" s="84" t="s">
        <v>197</v>
      </c>
      <c r="AC73" s="87" t="s">
        <v>235</v>
      </c>
      <c r="AD73" s="8" t="s">
        <v>243</v>
      </c>
      <c r="AE73" s="8" t="s">
        <v>243</v>
      </c>
      <c r="AH73" s="83"/>
      <c r="AI73" s="83"/>
      <c r="AJ73" s="83"/>
      <c r="AK73" s="83"/>
      <c r="AL73" s="83"/>
      <c r="AM73" s="83"/>
      <c r="AN73" s="83"/>
      <c r="AO73" s="83"/>
      <c r="AP73" s="83"/>
      <c r="AQ73" s="83"/>
      <c r="AR73" s="83"/>
      <c r="AS73" s="156"/>
      <c r="AT73" s="83"/>
      <c r="AU73" s="83"/>
      <c r="AV73" s="83"/>
      <c r="AW73" s="83"/>
      <c r="AX73" s="83"/>
      <c r="AY73" s="147"/>
      <c r="AZ73" s="147"/>
      <c r="BA73" s="147"/>
      <c r="BB73" s="147"/>
      <c r="BC73" s="147"/>
      <c r="BD73" s="62"/>
      <c r="BE73" s="62"/>
      <c r="BF73" s="62"/>
      <c r="BG73" s="62"/>
      <c r="BH73" s="62"/>
      <c r="BI73" s="62"/>
      <c r="BJ73" s="62"/>
      <c r="BK73" s="62"/>
      <c r="BL73" s="62"/>
      <c r="BM73" s="62"/>
      <c r="BN73" s="62"/>
      <c r="BO73" s="62"/>
    </row>
    <row r="74" spans="1:67" s="8" customFormat="1">
      <c r="A74" s="70" t="s">
        <v>67</v>
      </c>
      <c r="B74" s="70" t="s">
        <v>37</v>
      </c>
      <c r="C74" s="83" t="s">
        <v>72</v>
      </c>
      <c r="D74" s="70" t="s">
        <v>37</v>
      </c>
      <c r="E74" s="70" t="s">
        <v>37</v>
      </c>
      <c r="F74" s="70" t="s">
        <v>37</v>
      </c>
      <c r="G74" s="70" t="s">
        <v>37</v>
      </c>
      <c r="H74" s="70" t="s">
        <v>37</v>
      </c>
      <c r="I74" s="70" t="s">
        <v>73</v>
      </c>
      <c r="J74" s="70" t="s">
        <v>73</v>
      </c>
      <c r="K74" s="70" t="s">
        <v>71</v>
      </c>
      <c r="L74" s="70" t="s">
        <v>71</v>
      </c>
      <c r="M74" s="70"/>
      <c r="N74" s="70"/>
      <c r="O74" s="70" t="s">
        <v>125</v>
      </c>
      <c r="P74" s="70" t="s">
        <v>125</v>
      </c>
      <c r="Q74" s="70" t="s">
        <v>125</v>
      </c>
      <c r="R74" s="70" t="s">
        <v>125</v>
      </c>
      <c r="S74" s="87" t="s">
        <v>198</v>
      </c>
      <c r="T74" s="87" t="s">
        <v>198</v>
      </c>
      <c r="U74" s="87" t="s">
        <v>198</v>
      </c>
      <c r="V74" s="87" t="s">
        <v>198</v>
      </c>
      <c r="W74" s="87" t="s">
        <v>198</v>
      </c>
      <c r="X74" s="87" t="s">
        <v>198</v>
      </c>
      <c r="Y74" s="87" t="s">
        <v>198</v>
      </c>
      <c r="Z74" s="87" t="s">
        <v>198</v>
      </c>
      <c r="AA74" s="87" t="s">
        <v>232</v>
      </c>
      <c r="AB74" s="87" t="s">
        <v>198</v>
      </c>
      <c r="AC74" s="224" t="s">
        <v>234</v>
      </c>
      <c r="AD74" s="224" t="s">
        <v>234</v>
      </c>
      <c r="AE74" s="224" t="s">
        <v>234</v>
      </c>
      <c r="AF74" s="224"/>
      <c r="AG74" s="224"/>
      <c r="AH74" s="83"/>
      <c r="AI74" s="83"/>
      <c r="AJ74" s="83"/>
      <c r="AK74" s="83"/>
      <c r="AL74" s="83"/>
      <c r="AM74" s="83"/>
      <c r="AN74" s="83"/>
      <c r="AO74" s="83"/>
      <c r="AP74" s="83"/>
      <c r="AQ74" s="83"/>
      <c r="AR74" s="83"/>
      <c r="AS74" s="156"/>
      <c r="AT74" s="83"/>
      <c r="AU74" s="83"/>
      <c r="AV74" s="83"/>
      <c r="AW74" s="83"/>
      <c r="AX74" s="83"/>
      <c r="AY74" s="148"/>
      <c r="AZ74" s="148"/>
      <c r="BA74" s="148"/>
      <c r="BB74" s="148"/>
      <c r="BC74" s="148"/>
      <c r="BD74" s="62"/>
      <c r="BE74" s="62"/>
      <c r="BF74" s="62"/>
      <c r="BG74" s="62"/>
      <c r="BH74" s="62"/>
      <c r="BI74" s="62"/>
      <c r="BJ74" s="62"/>
      <c r="BK74" s="62"/>
      <c r="BL74" s="62"/>
      <c r="BM74" s="62"/>
      <c r="BN74" s="62"/>
      <c r="BO74" s="62"/>
    </row>
    <row r="75" spans="1:67" s="8" customFormat="1">
      <c r="A75" s="70" t="s">
        <v>44</v>
      </c>
      <c r="B75" s="70" t="s">
        <v>45</v>
      </c>
      <c r="C75" s="83" t="s">
        <v>38</v>
      </c>
      <c r="D75" s="70" t="s">
        <v>45</v>
      </c>
      <c r="E75" s="70" t="s">
        <v>66</v>
      </c>
      <c r="F75" s="70" t="s">
        <v>66</v>
      </c>
      <c r="G75" s="70" t="s">
        <v>66</v>
      </c>
      <c r="H75" s="70" t="s">
        <v>66</v>
      </c>
      <c r="I75" s="70" t="s">
        <v>76</v>
      </c>
      <c r="J75" s="70" t="s">
        <v>76</v>
      </c>
      <c r="K75" s="70" t="s">
        <v>73</v>
      </c>
      <c r="L75" s="70" t="s">
        <v>73</v>
      </c>
      <c r="M75" s="70"/>
      <c r="N75" s="70"/>
      <c r="O75" s="70" t="s">
        <v>126</v>
      </c>
      <c r="P75" s="70" t="s">
        <v>126</v>
      </c>
      <c r="Q75" s="70" t="s">
        <v>126</v>
      </c>
      <c r="R75" s="70" t="s">
        <v>126</v>
      </c>
      <c r="S75" s="88">
        <v>2003</v>
      </c>
      <c r="T75" s="88">
        <v>2004</v>
      </c>
      <c r="U75" s="88">
        <v>2005</v>
      </c>
      <c r="V75" s="88">
        <v>2006</v>
      </c>
      <c r="W75" s="88">
        <v>2007</v>
      </c>
      <c r="X75" s="88">
        <v>2008</v>
      </c>
      <c r="Y75" s="88">
        <v>2009</v>
      </c>
      <c r="Z75" s="88">
        <v>2010</v>
      </c>
      <c r="AA75" s="88" t="s">
        <v>231</v>
      </c>
      <c r="AB75" s="88">
        <v>2012</v>
      </c>
      <c r="AC75" s="88"/>
      <c r="AD75" s="88"/>
      <c r="AE75" s="88"/>
      <c r="AF75" s="88"/>
      <c r="AG75" s="88"/>
      <c r="AH75" s="83"/>
      <c r="AI75" s="83"/>
      <c r="AJ75" s="83"/>
      <c r="AK75" s="83"/>
      <c r="AL75" s="83"/>
      <c r="AM75" s="83"/>
      <c r="AN75" s="83"/>
      <c r="AO75" s="83"/>
      <c r="AP75" s="83"/>
      <c r="AQ75" s="83"/>
      <c r="AR75" s="83"/>
      <c r="AS75" s="156"/>
      <c r="AT75" s="83"/>
      <c r="AU75" s="83"/>
      <c r="AV75" s="83"/>
      <c r="AW75" s="83"/>
      <c r="AX75" s="83"/>
      <c r="AY75" s="149"/>
      <c r="AZ75" s="149"/>
      <c r="BA75" s="149"/>
      <c r="BB75" s="149"/>
      <c r="BC75" s="149"/>
      <c r="BD75" s="62"/>
      <c r="BE75" s="62"/>
      <c r="BF75" s="62"/>
      <c r="BG75" s="62"/>
      <c r="BH75" s="62"/>
      <c r="BI75" s="62"/>
      <c r="BJ75" s="62"/>
      <c r="BK75" s="62"/>
      <c r="BL75" s="62"/>
      <c r="BM75" s="62"/>
      <c r="BN75" s="62"/>
      <c r="BO75" s="62"/>
    </row>
    <row r="76" spans="1:67" s="8" customFormat="1">
      <c r="A76" s="70" t="s">
        <v>74</v>
      </c>
      <c r="B76" s="70" t="s">
        <v>38</v>
      </c>
      <c r="C76" s="83" t="s">
        <v>77</v>
      </c>
      <c r="D76" s="70" t="s">
        <v>38</v>
      </c>
      <c r="E76" s="70" t="s">
        <v>70</v>
      </c>
      <c r="F76" s="70" t="s">
        <v>70</v>
      </c>
      <c r="G76" s="70" t="s">
        <v>70</v>
      </c>
      <c r="H76" s="70" t="s">
        <v>70</v>
      </c>
      <c r="I76" s="70" t="s">
        <v>79</v>
      </c>
      <c r="J76" s="70" t="s">
        <v>79</v>
      </c>
      <c r="K76" s="70" t="s">
        <v>76</v>
      </c>
      <c r="L76" s="70" t="s">
        <v>76</v>
      </c>
      <c r="M76" s="70"/>
      <c r="N76" s="70"/>
      <c r="O76" s="70" t="s">
        <v>127</v>
      </c>
      <c r="P76" s="70" t="s">
        <v>127</v>
      </c>
      <c r="Q76" s="70" t="s">
        <v>127</v>
      </c>
      <c r="R76" s="70" t="s">
        <v>127</v>
      </c>
      <c r="T76" s="70"/>
      <c r="U76" s="70"/>
      <c r="V76" s="70" t="s">
        <v>206</v>
      </c>
      <c r="W76" s="70" t="s">
        <v>206</v>
      </c>
      <c r="X76" s="70" t="s">
        <v>206</v>
      </c>
      <c r="Y76" s="70" t="s">
        <v>206</v>
      </c>
      <c r="Z76" s="70" t="s">
        <v>206</v>
      </c>
      <c r="AA76" s="62"/>
      <c r="AB76" s="70" t="s">
        <v>206</v>
      </c>
      <c r="AC76" s="70"/>
      <c r="AD76" s="70"/>
      <c r="AE76" s="70"/>
      <c r="AF76" s="70"/>
      <c r="AG76" s="70"/>
      <c r="AH76" s="83"/>
      <c r="AI76" s="83"/>
      <c r="AJ76" s="83"/>
      <c r="AK76" s="83"/>
      <c r="AL76" s="83"/>
      <c r="AM76" s="83"/>
      <c r="AN76" s="83"/>
      <c r="AO76" s="83"/>
      <c r="AP76" s="83"/>
      <c r="AQ76" s="83"/>
      <c r="AR76" s="83"/>
      <c r="AS76" s="156"/>
      <c r="AT76" s="83"/>
      <c r="AU76" s="83"/>
      <c r="AV76" s="83"/>
      <c r="AW76" s="83"/>
      <c r="AX76" s="83"/>
      <c r="AY76" s="62"/>
      <c r="AZ76" s="147"/>
      <c r="BA76" s="147"/>
      <c r="BB76" s="147"/>
      <c r="BC76" s="147"/>
      <c r="BD76" s="62"/>
      <c r="BE76" s="62"/>
      <c r="BF76" s="62"/>
      <c r="BG76" s="62"/>
      <c r="BH76" s="62"/>
      <c r="BI76" s="62"/>
      <c r="BJ76" s="62"/>
      <c r="BK76" s="62"/>
      <c r="BL76" s="62"/>
      <c r="BM76" s="62"/>
      <c r="BN76" s="62"/>
      <c r="BO76" s="62"/>
    </row>
    <row r="77" spans="1:67" s="8" customFormat="1">
      <c r="A77" s="70" t="s">
        <v>43</v>
      </c>
      <c r="B77" s="70" t="s">
        <v>49</v>
      </c>
      <c r="C77" s="83" t="s">
        <v>81</v>
      </c>
      <c r="D77" s="70" t="s">
        <v>49</v>
      </c>
      <c r="E77" s="70" t="s">
        <v>73</v>
      </c>
      <c r="F77" s="70" t="s">
        <v>73</v>
      </c>
      <c r="G77" s="70" t="s">
        <v>73</v>
      </c>
      <c r="H77" s="70" t="s">
        <v>73</v>
      </c>
      <c r="I77" s="70" t="s">
        <v>82</v>
      </c>
      <c r="J77" s="70" t="s">
        <v>82</v>
      </c>
      <c r="K77" s="70" t="s">
        <v>79</v>
      </c>
      <c r="L77" s="70" t="s">
        <v>79</v>
      </c>
      <c r="M77" s="70"/>
      <c r="N77" s="70"/>
      <c r="O77" s="70" t="s">
        <v>128</v>
      </c>
      <c r="P77" s="70" t="s">
        <v>128</v>
      </c>
      <c r="Q77" s="70" t="s">
        <v>128</v>
      </c>
      <c r="R77" s="70" t="s">
        <v>128</v>
      </c>
      <c r="T77" s="70"/>
      <c r="U77" s="70"/>
      <c r="V77" s="70"/>
      <c r="W77" s="70"/>
      <c r="X77" s="70"/>
      <c r="Y77" s="70"/>
      <c r="Z77" s="70"/>
      <c r="AA77" s="62"/>
      <c r="AB77" s="62"/>
      <c r="AC77" s="62"/>
      <c r="AD77" s="62"/>
      <c r="AE77" s="62"/>
      <c r="AF77" s="62"/>
      <c r="AG77" s="62"/>
      <c r="AH77" s="83"/>
      <c r="AI77" s="83"/>
      <c r="AJ77" s="83"/>
      <c r="AK77" s="83"/>
      <c r="AL77" s="83"/>
      <c r="AM77" s="83"/>
      <c r="AN77" s="83"/>
      <c r="AO77" s="83"/>
      <c r="AP77" s="83"/>
      <c r="AQ77" s="83"/>
      <c r="AR77" s="83"/>
      <c r="AS77" s="156"/>
      <c r="AT77" s="83"/>
      <c r="AU77" s="83"/>
      <c r="AV77" s="83"/>
      <c r="AW77" s="83"/>
      <c r="AX77" s="83"/>
      <c r="AY77" s="62"/>
      <c r="AZ77" s="62"/>
      <c r="BA77" s="62"/>
      <c r="BB77" s="62"/>
      <c r="BC77" s="62"/>
      <c r="BD77" s="62"/>
      <c r="BE77" s="62"/>
      <c r="BF77" s="62"/>
      <c r="BG77" s="62"/>
      <c r="BH77" s="62"/>
      <c r="BI77" s="62"/>
      <c r="BJ77" s="62"/>
      <c r="BK77" s="62"/>
      <c r="BL77" s="62"/>
      <c r="BM77" s="62"/>
      <c r="BN77" s="62"/>
      <c r="BO77" s="62"/>
    </row>
    <row r="78" spans="1:67" s="8" customFormat="1">
      <c r="A78" s="70" t="s">
        <v>80</v>
      </c>
      <c r="B78" s="70" t="s">
        <v>52</v>
      </c>
      <c r="C78" s="83" t="s">
        <v>84</v>
      </c>
      <c r="D78" s="70" t="s">
        <v>52</v>
      </c>
      <c r="E78" s="70" t="s">
        <v>75</v>
      </c>
      <c r="F78" s="70" t="s">
        <v>75</v>
      </c>
      <c r="G78" s="70" t="s">
        <v>75</v>
      </c>
      <c r="H78" s="70" t="s">
        <v>75</v>
      </c>
      <c r="I78" s="70" t="s">
        <v>38</v>
      </c>
      <c r="J78" s="70" t="s">
        <v>38</v>
      </c>
      <c r="K78" s="70" t="s">
        <v>82</v>
      </c>
      <c r="L78" s="70" t="s">
        <v>82</v>
      </c>
      <c r="M78" s="70"/>
      <c r="N78" s="70"/>
      <c r="O78" s="70" t="s">
        <v>42</v>
      </c>
      <c r="P78" s="70" t="s">
        <v>42</v>
      </c>
      <c r="Q78" s="70" t="s">
        <v>42</v>
      </c>
      <c r="R78" s="70" t="s">
        <v>42</v>
      </c>
      <c r="T78" s="70"/>
      <c r="U78" s="70"/>
      <c r="V78" s="70"/>
      <c r="W78" s="70"/>
      <c r="X78" s="70"/>
      <c r="Y78" s="70"/>
      <c r="Z78" s="70"/>
      <c r="AA78" s="62"/>
      <c r="AC78" s="83"/>
      <c r="AD78" s="83"/>
      <c r="AE78" s="83"/>
      <c r="AF78" s="83"/>
      <c r="AG78" s="83"/>
      <c r="AH78" s="83"/>
      <c r="AI78" s="83"/>
      <c r="AJ78" s="83"/>
      <c r="AK78" s="83"/>
      <c r="AL78" s="83"/>
      <c r="AM78" s="83"/>
      <c r="AN78" s="83"/>
      <c r="AO78" s="83"/>
      <c r="AP78" s="83"/>
      <c r="AQ78" s="83"/>
      <c r="AR78" s="83"/>
      <c r="AS78" s="156"/>
      <c r="AT78" s="83"/>
      <c r="AU78" s="83"/>
      <c r="AV78" s="83"/>
      <c r="AW78" s="83"/>
      <c r="AX78" s="83"/>
      <c r="AY78" s="62"/>
      <c r="AZ78" s="62"/>
      <c r="BA78" s="62"/>
      <c r="BB78" s="62"/>
      <c r="BC78" s="62"/>
      <c r="BD78" s="62"/>
      <c r="BE78" s="62"/>
      <c r="BF78" s="62"/>
      <c r="BG78" s="62"/>
      <c r="BH78" s="62"/>
      <c r="BI78" s="62"/>
      <c r="BJ78" s="62"/>
      <c r="BK78" s="62"/>
      <c r="BL78" s="62"/>
      <c r="BM78" s="62"/>
      <c r="BN78" s="62"/>
      <c r="BO78" s="62"/>
    </row>
    <row r="79" spans="1:67" s="8" customFormat="1">
      <c r="A79" s="70" t="s">
        <v>83</v>
      </c>
      <c r="B79" s="70" t="s">
        <v>55</v>
      </c>
      <c r="C79" s="83" t="s">
        <v>86</v>
      </c>
      <c r="D79" s="70" t="s">
        <v>55</v>
      </c>
      <c r="E79" s="70" t="s">
        <v>78</v>
      </c>
      <c r="F79" s="70" t="s">
        <v>78</v>
      </c>
      <c r="G79" s="70" t="s">
        <v>78</v>
      </c>
      <c r="H79" s="70" t="s">
        <v>78</v>
      </c>
      <c r="I79" s="70" t="s">
        <v>42</v>
      </c>
      <c r="J79" s="70" t="s">
        <v>42</v>
      </c>
      <c r="K79" s="70" t="s">
        <v>38</v>
      </c>
      <c r="L79" s="70" t="s">
        <v>38</v>
      </c>
      <c r="M79" s="70"/>
      <c r="N79" s="70"/>
      <c r="O79" s="70" t="s">
        <v>129</v>
      </c>
      <c r="P79" s="70" t="s">
        <v>135</v>
      </c>
      <c r="Q79" s="70"/>
      <c r="R79" s="70" t="s">
        <v>178</v>
      </c>
      <c r="S79" s="70"/>
      <c r="T79" s="70"/>
      <c r="U79" s="70"/>
      <c r="V79" s="70"/>
      <c r="W79" s="70"/>
      <c r="X79" s="70"/>
      <c r="Y79" s="70"/>
      <c r="Z79" s="70"/>
      <c r="AA79" s="62"/>
      <c r="AC79" s="70"/>
      <c r="AD79" s="70"/>
      <c r="AE79" s="70"/>
      <c r="AF79" s="70"/>
      <c r="AG79" s="70"/>
      <c r="AH79" s="83"/>
      <c r="AI79" s="83"/>
      <c r="AJ79" s="83"/>
      <c r="AK79" s="83"/>
      <c r="AL79" s="83"/>
      <c r="AM79" s="83"/>
      <c r="AN79" s="83"/>
      <c r="AO79" s="83"/>
      <c r="AP79" s="83"/>
      <c r="AQ79" s="83"/>
      <c r="AR79" s="83"/>
      <c r="AS79" s="156"/>
      <c r="AT79" s="83"/>
      <c r="AU79" s="83"/>
      <c r="AV79" s="83"/>
      <c r="AW79" s="83"/>
      <c r="AX79" s="83"/>
      <c r="AY79" s="62"/>
      <c r="AZ79" s="62"/>
      <c r="BA79" s="62"/>
      <c r="BB79" s="62"/>
      <c r="BC79" s="62"/>
      <c r="BD79" s="62"/>
      <c r="BE79" s="62"/>
      <c r="BF79" s="62"/>
      <c r="BG79" s="62"/>
      <c r="BH79" s="62"/>
      <c r="BI79" s="62"/>
      <c r="BJ79" s="62"/>
      <c r="BK79" s="62"/>
      <c r="BL79" s="62"/>
      <c r="BM79" s="62"/>
      <c r="BN79" s="62"/>
      <c r="BO79" s="62"/>
    </row>
    <row r="80" spans="1:67" s="8" customFormat="1">
      <c r="A80" s="70" t="s">
        <v>85</v>
      </c>
      <c r="B80" s="70" t="s">
        <v>79</v>
      </c>
      <c r="C80" s="83" t="s">
        <v>88</v>
      </c>
      <c r="D80" s="70" t="s">
        <v>79</v>
      </c>
      <c r="E80" s="70" t="s">
        <v>79</v>
      </c>
      <c r="F80" s="70" t="s">
        <v>79</v>
      </c>
      <c r="G80" s="70" t="s">
        <v>79</v>
      </c>
      <c r="H80" s="70" t="s">
        <v>79</v>
      </c>
      <c r="I80" s="70" t="s">
        <v>89</v>
      </c>
      <c r="J80" s="70" t="s">
        <v>90</v>
      </c>
      <c r="K80" s="70" t="s">
        <v>42</v>
      </c>
      <c r="L80" s="70" t="s">
        <v>42</v>
      </c>
      <c r="M80" s="70"/>
      <c r="N80" s="70"/>
      <c r="O80" s="90">
        <v>2000</v>
      </c>
      <c r="P80" s="90">
        <v>2000</v>
      </c>
      <c r="Q80" s="90"/>
      <c r="R80" s="90">
        <v>2004</v>
      </c>
      <c r="S80" s="90"/>
      <c r="T80" s="90"/>
      <c r="U80" s="90"/>
      <c r="V80" s="90"/>
      <c r="W80" s="90"/>
      <c r="X80" s="90"/>
      <c r="Y80" s="90"/>
      <c r="Z80" s="90"/>
      <c r="AA80" s="62"/>
      <c r="AC80" s="70"/>
      <c r="AD80" s="70"/>
      <c r="AE80" s="70"/>
      <c r="AF80" s="70"/>
      <c r="AG80" s="70"/>
      <c r="AH80" s="83"/>
      <c r="AI80" s="83"/>
      <c r="AJ80" s="83"/>
      <c r="AK80" s="83"/>
      <c r="AL80" s="83"/>
      <c r="AM80" s="83"/>
      <c r="AN80" s="83"/>
      <c r="AO80" s="83"/>
      <c r="AP80" s="83"/>
      <c r="AQ80" s="83"/>
      <c r="AR80" s="83"/>
      <c r="AS80" s="156"/>
      <c r="AT80" s="83"/>
      <c r="AU80" s="163"/>
      <c r="AV80" s="163"/>
      <c r="AW80" s="163"/>
      <c r="AX80" s="163"/>
      <c r="AY80" s="62"/>
      <c r="AZ80" s="62"/>
      <c r="BA80" s="62"/>
      <c r="BB80" s="62"/>
      <c r="BC80" s="62"/>
      <c r="BD80" s="62"/>
      <c r="BE80" s="62"/>
      <c r="BF80" s="62"/>
      <c r="BG80" s="62"/>
      <c r="BH80" s="62"/>
      <c r="BI80" s="62"/>
      <c r="BJ80" s="62"/>
      <c r="BK80" s="62"/>
      <c r="BL80" s="62"/>
      <c r="BM80" s="62"/>
      <c r="BN80" s="62"/>
      <c r="BO80" s="62"/>
    </row>
    <row r="81" spans="1:67" s="8" customFormat="1">
      <c r="A81" s="70" t="s">
        <v>87</v>
      </c>
      <c r="B81" s="70" t="s">
        <v>82</v>
      </c>
      <c r="C81" s="83"/>
      <c r="D81" s="70" t="s">
        <v>82</v>
      </c>
      <c r="E81" s="70" t="s">
        <v>82</v>
      </c>
      <c r="F81" s="70" t="s">
        <v>82</v>
      </c>
      <c r="G81" s="70" t="s">
        <v>82</v>
      </c>
      <c r="H81" s="70" t="s">
        <v>82</v>
      </c>
      <c r="I81" s="70" t="s">
        <v>92</v>
      </c>
      <c r="J81" s="70" t="s">
        <v>93</v>
      </c>
      <c r="K81" s="70" t="s">
        <v>110</v>
      </c>
      <c r="L81" s="70" t="s">
        <v>89</v>
      </c>
      <c r="M81" s="70"/>
      <c r="N81" s="70"/>
      <c r="O81" s="164" t="s">
        <v>130</v>
      </c>
      <c r="P81" s="164"/>
      <c r="Q81" s="164"/>
      <c r="R81" s="164"/>
      <c r="S81" s="164"/>
      <c r="T81" s="164"/>
      <c r="U81" s="164"/>
      <c r="V81" s="164"/>
      <c r="W81" s="164"/>
      <c r="X81" s="164"/>
      <c r="Y81" s="164"/>
      <c r="Z81" s="164"/>
      <c r="AA81" s="62"/>
      <c r="AC81" s="70"/>
      <c r="AD81" s="70"/>
      <c r="AE81" s="70"/>
      <c r="AF81" s="70"/>
      <c r="AG81" s="70"/>
      <c r="AH81" s="83"/>
      <c r="AI81" s="83"/>
      <c r="AJ81" s="83"/>
      <c r="AK81" s="83"/>
      <c r="AL81" s="83"/>
      <c r="AM81" s="83"/>
      <c r="AN81" s="83"/>
      <c r="AO81" s="83"/>
      <c r="AP81" s="83"/>
      <c r="AQ81" s="83"/>
      <c r="AR81" s="83"/>
      <c r="AS81" s="156"/>
      <c r="AT81" s="83"/>
      <c r="AU81" s="165"/>
      <c r="AV81" s="165"/>
      <c r="AW81" s="83"/>
      <c r="AX81" s="62"/>
      <c r="AY81" s="62"/>
      <c r="AZ81" s="62"/>
      <c r="BA81" s="62"/>
      <c r="BB81" s="62"/>
      <c r="BC81" s="62"/>
      <c r="BD81" s="62"/>
      <c r="BE81" s="62"/>
      <c r="BF81" s="62"/>
      <c r="BG81" s="62"/>
      <c r="BH81" s="62"/>
      <c r="BI81" s="62"/>
      <c r="BJ81" s="62"/>
      <c r="BK81" s="62"/>
      <c r="BL81" s="62"/>
      <c r="BM81" s="62"/>
      <c r="BN81" s="62"/>
      <c r="BO81" s="62"/>
    </row>
    <row r="82" spans="1:67" s="8" customFormat="1">
      <c r="A82" s="70" t="s">
        <v>91</v>
      </c>
      <c r="B82" s="70" t="s">
        <v>38</v>
      </c>
      <c r="C82" s="83"/>
      <c r="D82" s="70" t="s">
        <v>38</v>
      </c>
      <c r="E82" s="70" t="s">
        <v>38</v>
      </c>
      <c r="F82" s="70" t="s">
        <v>38</v>
      </c>
      <c r="G82" s="70" t="s">
        <v>38</v>
      </c>
      <c r="H82" s="70" t="s">
        <v>38</v>
      </c>
      <c r="I82" s="70"/>
      <c r="J82" s="70"/>
      <c r="K82" s="164" t="s">
        <v>112</v>
      </c>
      <c r="L82" s="164" t="s">
        <v>111</v>
      </c>
      <c r="M82" s="70"/>
      <c r="N82" s="70"/>
      <c r="O82" s="70"/>
      <c r="P82" s="70"/>
      <c r="AA82" s="62"/>
      <c r="AC82" s="83"/>
      <c r="AD82" s="83"/>
      <c r="AE82" s="83"/>
      <c r="AF82" s="83"/>
      <c r="AG82" s="83"/>
      <c r="AH82" s="83"/>
      <c r="AI82" s="83"/>
      <c r="AJ82" s="83"/>
      <c r="AK82" s="83"/>
      <c r="AL82" s="83"/>
      <c r="AM82" s="83"/>
      <c r="AN82" s="83"/>
      <c r="AO82" s="83"/>
      <c r="AP82" s="83"/>
      <c r="AQ82" s="83"/>
      <c r="AR82" s="83"/>
      <c r="AS82" s="156"/>
      <c r="AT82" s="83"/>
      <c r="AU82" s="83"/>
      <c r="AV82" s="83"/>
      <c r="AW82" s="62"/>
      <c r="AX82" s="62"/>
      <c r="AY82" s="62"/>
      <c r="AZ82" s="62"/>
      <c r="BA82" s="62"/>
      <c r="BB82" s="62"/>
      <c r="BC82" s="62"/>
      <c r="BD82" s="62"/>
      <c r="BE82" s="62"/>
      <c r="BF82" s="62"/>
      <c r="BG82" s="62"/>
      <c r="BH82" s="62"/>
      <c r="BI82" s="62"/>
      <c r="BJ82" s="62"/>
      <c r="BK82" s="62"/>
      <c r="BL82" s="62"/>
      <c r="BM82" s="62"/>
      <c r="BN82" s="62"/>
      <c r="BO82" s="62"/>
    </row>
    <row r="83" spans="1:67" s="8" customFormat="1">
      <c r="A83" s="70" t="s">
        <v>94</v>
      </c>
      <c r="B83" s="70" t="s">
        <v>42</v>
      </c>
      <c r="C83" s="83"/>
      <c r="D83" s="70" t="s">
        <v>42</v>
      </c>
      <c r="E83" s="70" t="s">
        <v>42</v>
      </c>
      <c r="F83" s="70" t="s">
        <v>42</v>
      </c>
      <c r="G83" s="70" t="s">
        <v>42</v>
      </c>
      <c r="H83" s="70" t="s">
        <v>42</v>
      </c>
      <c r="I83" s="70"/>
      <c r="J83" s="70"/>
      <c r="K83" s="70"/>
      <c r="L83" s="70"/>
      <c r="M83" s="70"/>
      <c r="N83" s="70"/>
      <c r="O83" s="70"/>
      <c r="P83" s="70"/>
      <c r="AA83" s="62"/>
      <c r="AC83" s="84"/>
      <c r="AD83" s="84"/>
      <c r="AE83" s="84"/>
      <c r="AF83" s="84"/>
      <c r="AG83" s="84"/>
      <c r="AH83" s="83"/>
      <c r="AI83" s="83"/>
      <c r="AJ83" s="83"/>
      <c r="AK83" s="83"/>
      <c r="AL83" s="83"/>
      <c r="AM83" s="83"/>
      <c r="AN83" s="83"/>
      <c r="AO83" s="83"/>
      <c r="AP83" s="83"/>
      <c r="AQ83" s="83"/>
      <c r="AR83" s="83"/>
      <c r="AS83" s="156"/>
      <c r="AT83" s="83"/>
      <c r="AU83" s="83"/>
      <c r="AV83" s="83"/>
      <c r="AW83" s="62"/>
      <c r="AX83" s="62"/>
      <c r="AY83" s="62"/>
      <c r="AZ83" s="62"/>
      <c r="BA83" s="62"/>
      <c r="BB83" s="62"/>
      <c r="BC83" s="62"/>
      <c r="BD83" s="62"/>
      <c r="BE83" s="62"/>
      <c r="BF83" s="62"/>
      <c r="BG83" s="62"/>
      <c r="BH83" s="62"/>
      <c r="BI83" s="62"/>
      <c r="BJ83" s="62"/>
      <c r="BK83" s="62"/>
      <c r="BL83" s="62"/>
      <c r="BM83" s="62"/>
      <c r="BN83" s="62"/>
      <c r="BO83" s="62"/>
    </row>
    <row r="84" spans="1:67" s="8" customFormat="1">
      <c r="A84" s="70" t="s">
        <v>96</v>
      </c>
      <c r="B84" s="70" t="s">
        <v>97</v>
      </c>
      <c r="C84" s="83"/>
      <c r="D84" s="70" t="s">
        <v>97</v>
      </c>
      <c r="E84" s="70" t="s">
        <v>98</v>
      </c>
      <c r="F84" s="70" t="s">
        <v>98</v>
      </c>
      <c r="G84" s="70" t="s">
        <v>89</v>
      </c>
      <c r="H84" s="70" t="s">
        <v>90</v>
      </c>
      <c r="I84" s="70"/>
      <c r="J84" s="70"/>
      <c r="K84" s="70"/>
      <c r="L84" s="70"/>
      <c r="M84" s="70"/>
      <c r="N84" s="70"/>
      <c r="O84" s="70"/>
      <c r="P84" s="70"/>
      <c r="AA84" s="62"/>
      <c r="AC84" s="84"/>
      <c r="AD84" s="84"/>
      <c r="AE84" s="84"/>
      <c r="AF84" s="84"/>
      <c r="AG84" s="84"/>
      <c r="AH84" s="83"/>
      <c r="AI84" s="83"/>
      <c r="AJ84" s="83"/>
      <c r="AK84" s="83"/>
      <c r="AL84" s="83"/>
      <c r="AM84" s="83"/>
      <c r="AN84" s="83"/>
      <c r="AO84" s="83"/>
      <c r="AP84" s="83"/>
      <c r="AQ84" s="83"/>
      <c r="AR84" s="83"/>
      <c r="AS84" s="156"/>
      <c r="AT84" s="83"/>
      <c r="AU84" s="83"/>
      <c r="AV84" s="83"/>
      <c r="AW84" s="62"/>
      <c r="AX84" s="62"/>
      <c r="AY84" s="62"/>
      <c r="AZ84" s="62"/>
      <c r="BA84" s="62"/>
      <c r="BB84" s="62"/>
      <c r="BC84" s="62"/>
      <c r="BD84" s="62"/>
      <c r="BE84" s="62"/>
      <c r="BF84" s="62"/>
      <c r="BG84" s="62"/>
      <c r="BH84" s="62"/>
      <c r="BI84" s="62"/>
      <c r="BJ84" s="62"/>
      <c r="BK84" s="62"/>
      <c r="BL84" s="62"/>
      <c r="BM84" s="62"/>
      <c r="BN84" s="62"/>
      <c r="BO84" s="62"/>
    </row>
    <row r="85" spans="1:67" s="8" customFormat="1">
      <c r="A85" s="70" t="s">
        <v>53</v>
      </c>
      <c r="B85" s="70" t="s">
        <v>100</v>
      </c>
      <c r="C85" s="70"/>
      <c r="D85" s="70" t="s">
        <v>100</v>
      </c>
      <c r="E85" s="70" t="s">
        <v>101</v>
      </c>
      <c r="F85" s="70" t="s">
        <v>101</v>
      </c>
      <c r="G85" s="70" t="s">
        <v>102</v>
      </c>
      <c r="H85" s="70" t="s">
        <v>95</v>
      </c>
      <c r="I85" s="70"/>
      <c r="J85" s="70"/>
      <c r="K85" s="70"/>
      <c r="L85" s="70"/>
      <c r="M85" s="70"/>
      <c r="N85" s="70"/>
      <c r="O85" s="70"/>
      <c r="P85" s="70"/>
      <c r="AA85" s="62"/>
      <c r="AC85" s="84"/>
      <c r="AD85" s="84"/>
      <c r="AE85" s="84"/>
      <c r="AF85" s="84"/>
      <c r="AG85" s="84"/>
      <c r="AH85" s="83"/>
      <c r="AI85" s="83"/>
      <c r="AJ85" s="83"/>
      <c r="AK85" s="83"/>
      <c r="AL85" s="83"/>
      <c r="AM85" s="83"/>
      <c r="AN85" s="83"/>
      <c r="AO85" s="83"/>
      <c r="AP85" s="83"/>
      <c r="AQ85" s="83"/>
      <c r="AR85" s="83"/>
      <c r="AS85" s="156"/>
      <c r="AT85" s="83"/>
      <c r="AU85" s="83"/>
      <c r="AV85" s="83"/>
      <c r="AW85" s="62"/>
      <c r="AX85" s="62"/>
      <c r="AY85" s="62"/>
      <c r="AZ85" s="62"/>
      <c r="BA85" s="62"/>
      <c r="BB85" s="62"/>
      <c r="BC85" s="62"/>
      <c r="BD85" s="62"/>
      <c r="BE85" s="62"/>
      <c r="BF85" s="62"/>
      <c r="BG85" s="62"/>
      <c r="BH85" s="62"/>
      <c r="BI85" s="62"/>
      <c r="BJ85" s="62"/>
      <c r="BK85" s="62"/>
      <c r="BL85" s="62"/>
      <c r="BM85" s="62"/>
      <c r="BN85" s="62"/>
      <c r="BO85" s="62"/>
    </row>
    <row r="86" spans="1:67" s="8" customFormat="1">
      <c r="A86" s="70" t="s">
        <v>99</v>
      </c>
      <c r="AA86" s="62"/>
      <c r="AC86" s="87"/>
      <c r="AD86" s="87"/>
      <c r="AE86" s="87"/>
      <c r="AF86" s="87"/>
      <c r="AG86" s="87"/>
      <c r="AH86" s="62"/>
      <c r="AI86" s="62"/>
      <c r="AJ86" s="62"/>
      <c r="AK86" s="62"/>
      <c r="AL86" s="62"/>
      <c r="AM86" s="62"/>
      <c r="AN86" s="62"/>
      <c r="AO86" s="62"/>
      <c r="AP86" s="62"/>
      <c r="AQ86" s="62"/>
      <c r="AR86" s="62"/>
      <c r="AS86" s="169"/>
      <c r="AT86" s="62"/>
      <c r="AU86" s="62"/>
      <c r="AV86" s="62"/>
      <c r="AW86" s="62"/>
      <c r="AX86" s="62"/>
      <c r="AY86" s="62"/>
      <c r="AZ86" s="62"/>
      <c r="BA86" s="62"/>
      <c r="BB86" s="62"/>
      <c r="BC86" s="62"/>
      <c r="BD86" s="62"/>
      <c r="BE86" s="62"/>
      <c r="BF86" s="62"/>
      <c r="BG86" s="62"/>
      <c r="BH86" s="62"/>
      <c r="BI86" s="62"/>
      <c r="BJ86" s="62"/>
      <c r="BK86" s="62"/>
      <c r="BL86" s="62"/>
      <c r="BM86" s="62"/>
      <c r="BN86" s="62"/>
      <c r="BO86" s="62"/>
    </row>
    <row r="87" spans="1:67" s="8" customFormat="1">
      <c r="A87" s="70" t="s">
        <v>103</v>
      </c>
      <c r="AA87" s="62"/>
      <c r="AC87" s="224"/>
      <c r="AD87" s="224"/>
      <c r="AE87" s="224"/>
      <c r="AF87" s="224"/>
      <c r="AG87" s="224"/>
      <c r="AH87" s="62"/>
      <c r="AI87" s="62"/>
      <c r="AJ87" s="62"/>
      <c r="AK87" s="62"/>
      <c r="AL87" s="62"/>
      <c r="AM87" s="62"/>
      <c r="AN87" s="62"/>
      <c r="AO87" s="62"/>
      <c r="AP87" s="62"/>
      <c r="AQ87" s="62"/>
      <c r="AR87" s="62"/>
      <c r="AS87" s="169"/>
      <c r="AT87" s="62"/>
      <c r="AU87" s="62"/>
      <c r="AV87" s="62"/>
      <c r="AW87" s="62"/>
      <c r="AX87" s="62"/>
      <c r="AY87" s="62"/>
      <c r="AZ87" s="62"/>
      <c r="BA87" s="62"/>
      <c r="BB87" s="62"/>
      <c r="BC87" s="62"/>
      <c r="BD87" s="62"/>
      <c r="BE87" s="62"/>
      <c r="BF87" s="62"/>
      <c r="BG87" s="62"/>
      <c r="BH87" s="62"/>
      <c r="BI87" s="62"/>
      <c r="BJ87" s="62"/>
      <c r="BK87" s="62"/>
      <c r="BL87" s="62"/>
      <c r="BM87" s="62"/>
      <c r="BN87" s="62"/>
      <c r="BO87" s="62"/>
    </row>
    <row r="88" spans="1:67" s="8" customFormat="1">
      <c r="A88" s="70" t="s">
        <v>104</v>
      </c>
      <c r="AC88" s="88"/>
      <c r="AD88" s="88"/>
      <c r="AE88" s="88"/>
      <c r="AF88" s="88"/>
      <c r="AG88" s="88"/>
      <c r="AI88" s="62"/>
      <c r="AS88" s="170"/>
    </row>
    <row r="89" spans="1:67" s="8" customFormat="1">
      <c r="A89" s="70" t="s">
        <v>94</v>
      </c>
      <c r="AI89" s="62"/>
      <c r="AS89" s="170"/>
    </row>
    <row r="90" spans="1:67" s="8" customFormat="1">
      <c r="A90" s="70" t="s">
        <v>105</v>
      </c>
      <c r="AI90" s="62"/>
      <c r="AS90" s="170"/>
    </row>
    <row r="91" spans="1:67" s="8" customFormat="1">
      <c r="A91" s="70" t="s">
        <v>106</v>
      </c>
      <c r="AI91" s="62"/>
      <c r="AS91" s="170"/>
    </row>
    <row r="92" spans="1:67" s="8" customFormat="1">
      <c r="A92" s="70" t="s">
        <v>107</v>
      </c>
      <c r="AI92" s="62"/>
      <c r="AS92" s="170"/>
    </row>
    <row r="93" spans="1:67" s="8" customFormat="1">
      <c r="AI93" s="62"/>
      <c r="AS93" s="170"/>
    </row>
    <row r="94" spans="1:67" s="8" customFormat="1">
      <c r="AI94" s="62"/>
      <c r="AS94" s="170"/>
    </row>
    <row r="95" spans="1:67" s="8" customFormat="1">
      <c r="AI95" s="62"/>
      <c r="AS95" s="170"/>
    </row>
    <row r="96" spans="1:67" s="8" customFormat="1">
      <c r="AI96" s="62"/>
      <c r="AS96" s="170"/>
    </row>
    <row r="97" spans="35:45" s="8" customFormat="1">
      <c r="AI97" s="62"/>
      <c r="AS97" s="170"/>
    </row>
    <row r="98" spans="35:45" s="8" customFormat="1">
      <c r="AI98" s="62"/>
      <c r="AS98" s="170"/>
    </row>
    <row r="99" spans="35:45" s="8" customFormat="1">
      <c r="AI99" s="62"/>
      <c r="AS99" s="170"/>
    </row>
    <row r="100" spans="35:45" s="8" customFormat="1">
      <c r="AI100" s="62"/>
      <c r="AS100" s="170"/>
    </row>
    <row r="101" spans="35:45" s="8" customFormat="1">
      <c r="AI101" s="62"/>
      <c r="AS101" s="170"/>
    </row>
    <row r="102" spans="35:45" s="8" customFormat="1">
      <c r="AI102" s="62"/>
      <c r="AS102" s="170"/>
    </row>
    <row r="103" spans="35:45" s="8" customFormat="1">
      <c r="AI103" s="62"/>
      <c r="AS103" s="170"/>
    </row>
    <row r="104" spans="35:45" s="8" customFormat="1">
      <c r="AI104" s="62"/>
      <c r="AS104" s="170"/>
    </row>
    <row r="105" spans="35:45" s="8" customFormat="1">
      <c r="AI105" s="62"/>
      <c r="AS105" s="170"/>
    </row>
    <row r="106" spans="35:45" s="8" customFormat="1">
      <c r="AI106" s="62"/>
      <c r="AS106" s="170"/>
    </row>
    <row r="107" spans="35:45" s="8" customFormat="1">
      <c r="AI107" s="62"/>
      <c r="AS107" s="170"/>
    </row>
    <row r="108" spans="35:45" s="8" customFormat="1">
      <c r="AI108" s="62"/>
      <c r="AS108" s="170"/>
    </row>
    <row r="109" spans="35:45" s="8" customFormat="1">
      <c r="AI109" s="62"/>
      <c r="AS109" s="170"/>
    </row>
    <row r="110" spans="35:45" s="8" customFormat="1">
      <c r="AI110" s="62"/>
      <c r="AS110" s="170"/>
    </row>
    <row r="111" spans="35:45" s="8" customFormat="1">
      <c r="AI111" s="62"/>
      <c r="AS111" s="170"/>
    </row>
    <row r="112" spans="35:45" s="8" customFormat="1">
      <c r="AI112" s="62"/>
      <c r="AS112" s="170"/>
    </row>
  </sheetData>
  <phoneticPr fontId="3" type="noConversion"/>
  <hyperlinks>
    <hyperlink ref="AC74" r:id="rId1" xr:uid="{00000000-0004-0000-0500-000000000000}"/>
    <hyperlink ref="AD74" r:id="rId2" xr:uid="{00000000-0004-0000-0500-000001000000}"/>
    <hyperlink ref="AE74" r:id="rId3" xr:uid="{00000000-0004-0000-0500-000002000000}"/>
  </hyperlinks>
  <pageMargins left="0.75" right="0.75" top="1" bottom="1" header="0.5" footer="0.5"/>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7"/>
  </sheetPr>
  <dimension ref="A1:BD63"/>
  <sheetViews>
    <sheetView zoomScale="85" workbookViewId="0">
      <pane xSplit="1" ySplit="3" topLeftCell="X4" activePane="bottomRight" state="frozen"/>
      <selection pane="topRight" activeCell="B1" sqref="B1"/>
      <selection pane="bottomLeft" activeCell="A4" sqref="A4"/>
      <selection pane="bottomRight" activeCell="AK15" sqref="AK15"/>
    </sheetView>
  </sheetViews>
  <sheetFormatPr defaultRowHeight="12.75"/>
  <cols>
    <col min="1" max="1" width="21.5703125" customWidth="1"/>
    <col min="2" max="22" width="9.140625" style="2"/>
    <col min="23" max="28" width="8.85546875" style="13" customWidth="1"/>
  </cols>
  <sheetData>
    <row r="1" spans="1:56">
      <c r="B1" s="125"/>
      <c r="C1" s="125"/>
      <c r="D1" s="125"/>
      <c r="E1" s="125"/>
      <c r="F1" s="125"/>
      <c r="G1" s="125"/>
      <c r="H1" s="125"/>
      <c r="I1" s="125"/>
      <c r="J1" s="125"/>
      <c r="K1" s="125"/>
      <c r="L1" s="125"/>
      <c r="M1" s="125"/>
      <c r="N1" s="125"/>
      <c r="O1" s="125"/>
      <c r="P1" s="125"/>
      <c r="Q1" s="125"/>
      <c r="R1" s="125"/>
      <c r="S1" s="125"/>
      <c r="T1" s="125"/>
      <c r="U1" s="125"/>
      <c r="V1" s="125"/>
      <c r="W1" s="126"/>
      <c r="X1" s="126"/>
      <c r="Y1" s="126"/>
      <c r="Z1" s="126"/>
      <c r="AA1" s="126"/>
      <c r="AB1" s="126"/>
    </row>
    <row r="2" spans="1:56">
      <c r="B2" s="188"/>
      <c r="C2" s="188"/>
      <c r="D2" s="188"/>
      <c r="E2" s="188"/>
      <c r="F2" s="188"/>
      <c r="G2" s="188"/>
      <c r="H2" s="188"/>
      <c r="I2" s="188"/>
      <c r="J2" s="188"/>
      <c r="K2" s="188"/>
      <c r="L2" s="188"/>
      <c r="M2" s="189"/>
      <c r="N2" s="179"/>
      <c r="O2" s="179"/>
      <c r="P2" s="190"/>
      <c r="Q2" s="179"/>
      <c r="R2" s="178"/>
      <c r="S2" s="179"/>
      <c r="T2" s="179"/>
      <c r="U2" s="179"/>
      <c r="V2" s="179"/>
      <c r="W2" s="179"/>
      <c r="X2" s="179"/>
      <c r="Y2" s="179"/>
      <c r="Z2" s="179"/>
      <c r="AA2" s="178"/>
      <c r="AB2" s="178"/>
      <c r="AC2" s="178"/>
      <c r="AD2" s="188"/>
      <c r="AE2" s="192"/>
      <c r="AF2" s="188"/>
      <c r="AG2" s="188"/>
      <c r="AH2" s="188"/>
      <c r="AI2" s="188"/>
      <c r="AJ2" s="188"/>
      <c r="AK2" s="188"/>
      <c r="AL2" s="188"/>
      <c r="AM2" s="188"/>
      <c r="AN2" s="188"/>
      <c r="AO2" s="193"/>
      <c r="AP2" s="179"/>
      <c r="AQ2" s="179"/>
      <c r="AR2" s="190"/>
      <c r="AS2" s="179"/>
      <c r="AT2" s="178"/>
      <c r="AU2" s="179"/>
      <c r="AV2" s="179"/>
      <c r="AW2" s="179"/>
      <c r="AX2" s="179"/>
      <c r="AY2" s="179"/>
      <c r="AZ2" s="178"/>
      <c r="BA2" s="178"/>
      <c r="BB2" s="178"/>
      <c r="BC2" s="178"/>
      <c r="BD2" s="178"/>
    </row>
    <row r="3" spans="1:56" s="124" customFormat="1">
      <c r="A3" s="172"/>
      <c r="B3" s="95" t="s">
        <v>7</v>
      </c>
      <c r="C3" s="95" t="s">
        <v>8</v>
      </c>
      <c r="D3" s="95" t="s">
        <v>9</v>
      </c>
      <c r="E3" s="95" t="s">
        <v>10</v>
      </c>
      <c r="F3" s="95" t="s">
        <v>11</v>
      </c>
      <c r="G3" s="95" t="s">
        <v>12</v>
      </c>
      <c r="H3" s="95" t="s">
        <v>13</v>
      </c>
      <c r="I3" s="95" t="s">
        <v>14</v>
      </c>
      <c r="J3" s="95" t="s">
        <v>15</v>
      </c>
      <c r="K3" s="95" t="s">
        <v>16</v>
      </c>
      <c r="L3" s="95" t="s">
        <v>17</v>
      </c>
      <c r="M3" s="195" t="s">
        <v>177</v>
      </c>
      <c r="N3" s="195" t="s">
        <v>114</v>
      </c>
      <c r="O3" s="195" t="s">
        <v>115</v>
      </c>
      <c r="P3" s="101" t="s">
        <v>132</v>
      </c>
      <c r="Q3" s="196" t="s">
        <v>136</v>
      </c>
      <c r="R3" s="101" t="s">
        <v>141</v>
      </c>
      <c r="S3" s="101" t="s">
        <v>192</v>
      </c>
      <c r="T3" s="196" t="s">
        <v>193</v>
      </c>
      <c r="U3" s="196" t="s">
        <v>202</v>
      </c>
      <c r="V3" s="196" t="s">
        <v>203</v>
      </c>
      <c r="W3" s="196" t="s">
        <v>204</v>
      </c>
      <c r="X3" s="196" t="s">
        <v>207</v>
      </c>
      <c r="Y3" s="196" t="s">
        <v>209</v>
      </c>
      <c r="Z3" s="196" t="s">
        <v>213</v>
      </c>
      <c r="AA3" s="196" t="s">
        <v>220</v>
      </c>
      <c r="AB3" s="196" t="s">
        <v>233</v>
      </c>
      <c r="AC3" s="196" t="s">
        <v>237</v>
      </c>
      <c r="AD3" s="242" t="s">
        <v>240</v>
      </c>
      <c r="AE3" s="242" t="s">
        <v>247</v>
      </c>
      <c r="AF3" s="250" t="s">
        <v>250</v>
      </c>
      <c r="AG3" s="246" t="s">
        <v>252</v>
      </c>
    </row>
    <row r="4" spans="1:56">
      <c r="A4" s="22" t="s">
        <v>214</v>
      </c>
      <c r="B4" s="198">
        <f>(SEOG!B4*1000)/SEOG!AH4</f>
        <v>543.3390576277526</v>
      </c>
      <c r="C4" s="198">
        <f>(SEOG!C4*1000)/SEOG!AI4</f>
        <v>624.98538053887717</v>
      </c>
      <c r="D4" s="198">
        <f>(SEOG!D4*1000)/SEOG!AJ4</f>
        <v>645.05675654390984</v>
      </c>
      <c r="E4" s="198">
        <f>(SEOG!E4*1000)/SEOG!AK4</f>
        <v>672.52416757929234</v>
      </c>
      <c r="F4" s="198">
        <f>(SEOG!F4*1000)/SEOG!AL4</f>
        <v>638.4708375613867</v>
      </c>
      <c r="G4" s="198">
        <f>(SEOG!G4*1000)/SEOG!AM4</f>
        <v>654.52516219633674</v>
      </c>
      <c r="H4" s="198">
        <f>(SEOG!H4*1000)/SEOG!AN4</f>
        <v>674.37023364708614</v>
      </c>
      <c r="I4" s="198">
        <f>(SEOG!I4*1000)/SEOG!AO4</f>
        <v>678.78900171855514</v>
      </c>
      <c r="J4" s="198">
        <f>(SEOG!J4*1000)/SEOG!AP4</f>
        <v>681.24395644364188</v>
      </c>
      <c r="K4" s="198">
        <f>(SEOG!K4*1000)/SEOG!AQ4</f>
        <v>720.95827682986055</v>
      </c>
      <c r="L4" s="198">
        <f>(SEOG!L4*1000)/SEOG!AR4</f>
        <v>728.19690259207039</v>
      </c>
      <c r="M4" s="198">
        <f>(SEOG!M4*1000)/SEOG!AS4</f>
        <v>720.82138169450707</v>
      </c>
      <c r="N4" s="198">
        <f>(SEOG!N4*1000)/SEOG!AT4</f>
        <v>713.64881691752271</v>
      </c>
      <c r="O4" s="198">
        <f>(SEOG!O4*1000)/SEOG!AU4</f>
        <v>739.11381445284644</v>
      </c>
      <c r="P4" s="198">
        <f>(SEOG!P4*1000)/SEOG!AV4</f>
        <v>748.96860749660823</v>
      </c>
      <c r="Q4" s="198">
        <f>(SEOG!Q4*1000)/SEOG!AW4</f>
        <v>762.42365482179594</v>
      </c>
      <c r="R4" s="198">
        <f>(SEOG!R4*1000)/SEOG!AX4</f>
        <v>793.24262228367115</v>
      </c>
      <c r="S4" s="198">
        <f>(SEOG!S4*1000)/SEOG!AY4</f>
        <v>800.01482711918038</v>
      </c>
      <c r="T4" s="198">
        <f>(SEOG!T4*1000)/SEOG!AZ4</f>
        <v>783.73601409117623</v>
      </c>
      <c r="U4" s="198">
        <f>(SEOG!U4*1000)/SEOG!BA4</f>
        <v>785.8504326766041</v>
      </c>
      <c r="V4" s="198">
        <f>(SEOG!V4*1000)/SEOG!BB4</f>
        <v>777.81779222665375</v>
      </c>
      <c r="W4" s="198">
        <f>(SEOG!W4*1000)/SEOG!BC4</f>
        <v>784.39139652709264</v>
      </c>
      <c r="X4" s="198">
        <f>(SEOG!X4*1000)/SEOG!BD4</f>
        <v>780.98824177964639</v>
      </c>
      <c r="Y4" s="198">
        <f>(SEOG!Y4*1000)/SEOG!BE4</f>
        <v>753.96083970024858</v>
      </c>
      <c r="Z4" s="198">
        <f>(SEOG!Z4*1000)/SEOG!BF4</f>
        <v>733.92095999286744</v>
      </c>
      <c r="AA4" s="198">
        <f>(SEOG!AA4*1000)/SEOG!BG4</f>
        <v>683.71688787870892</v>
      </c>
      <c r="AB4" s="198">
        <f>(SEOG!AB4*1000)/SEOG!BH4</f>
        <v>632.00737128298726</v>
      </c>
      <c r="AC4" s="198">
        <f>(SEOG!AC4*1000)/SEOG!BI4</f>
        <v>598.86896005879521</v>
      </c>
      <c r="AD4" s="198">
        <f>(SEOG!AD4*1000)/SEOG!BJ4</f>
        <v>609.43792507117178</v>
      </c>
      <c r="AE4" s="198">
        <f>(SEOG!AE4*1000)/SEOG!BK4</f>
        <v>609.01657002047023</v>
      </c>
      <c r="AF4" s="198">
        <f>(SEOG!AF4*1000)/SEOG!BL4</f>
        <v>618.06911456469504</v>
      </c>
      <c r="AG4" s="198">
        <f>(SEOG!AG4*1000)/SEOG!BM4</f>
        <v>662.24793115603086</v>
      </c>
    </row>
    <row r="5" spans="1:56">
      <c r="A5" s="26" t="s">
        <v>116</v>
      </c>
      <c r="B5" s="200">
        <f>(SEOG!B5*1000)/SEOG!AH5</f>
        <v>502.85134236253572</v>
      </c>
      <c r="C5" s="200">
        <f>(SEOG!C5*1000)/SEOG!AI5</f>
        <v>626.01522785403574</v>
      </c>
      <c r="D5" s="200">
        <f>(SEOG!D5*1000)/SEOG!AJ5</f>
        <v>589.24321230712883</v>
      </c>
      <c r="E5" s="200">
        <f>(SEOG!E5*1000)/SEOG!AK5</f>
        <v>602.92147760522175</v>
      </c>
      <c r="F5" s="200">
        <f>(SEOG!F5*1000)/SEOG!AL5</f>
        <v>600.52459662843808</v>
      </c>
      <c r="G5" s="200">
        <f>(SEOG!G5*1000)/SEOG!AM5</f>
        <v>598.38018889195075</v>
      </c>
      <c r="H5" s="200">
        <f>(SEOG!H5*1000)/SEOG!AN5</f>
        <v>621.43377292071671</v>
      </c>
      <c r="I5" s="200">
        <f>(SEOG!I5*1000)/SEOG!AO5</f>
        <v>622.87249336935793</v>
      </c>
      <c r="J5" s="200">
        <f>(SEOG!J5*1000)/SEOG!AP5</f>
        <v>639.64856910492017</v>
      </c>
      <c r="K5" s="200">
        <f>(SEOG!K5*1000)/SEOG!AQ5</f>
        <v>637.77352895062518</v>
      </c>
      <c r="L5" s="200">
        <f>(SEOG!L5*1000)/SEOG!AR5</f>
        <v>649.16781588972879</v>
      </c>
      <c r="M5" s="200">
        <f>(SEOG!M5*1000)/SEOG!AS5</f>
        <v>642.18091329495007</v>
      </c>
      <c r="N5" s="200">
        <f>(SEOG!N5*1000)/SEOG!AT5</f>
        <v>635.55460362077497</v>
      </c>
      <c r="O5" s="200">
        <f>(SEOG!O5*1000)/SEOG!AU5</f>
        <v>661.8327853407776</v>
      </c>
      <c r="P5" s="200">
        <f>(SEOG!P5*1000)/SEOG!AV5</f>
        <v>669.68173494495886</v>
      </c>
      <c r="Q5" s="200">
        <f>(SEOG!Q5*1000)/SEOG!AW5</f>
        <v>680.48698035766643</v>
      </c>
      <c r="R5" s="200">
        <f>(SEOG!R5*1000)/SEOG!AX5</f>
        <v>702.61759179530884</v>
      </c>
      <c r="S5" s="200">
        <f>(SEOG!S5*1000)/SEOG!AY5</f>
        <v>699.56027941252</v>
      </c>
      <c r="T5" s="200">
        <f>(SEOG!T5*1000)/SEOG!AZ5</f>
        <v>699.61190662506749</v>
      </c>
      <c r="U5" s="200">
        <f>(SEOG!U5*1000)/SEOG!BA5</f>
        <v>701.78207243455859</v>
      </c>
      <c r="V5" s="200">
        <f>(SEOG!V5*1000)/SEOG!BB5</f>
        <v>692.66162206408399</v>
      </c>
      <c r="W5" s="200">
        <f>(SEOG!W5*1000)/SEOG!BC5</f>
        <v>711.27375122092928</v>
      </c>
      <c r="X5" s="200">
        <f>(SEOG!X5*1000)/SEOG!BD5</f>
        <v>724.60342733961363</v>
      </c>
      <c r="Y5" s="200">
        <f>(SEOG!Y5*1000)/SEOG!BE5</f>
        <v>695.94833099487698</v>
      </c>
      <c r="Z5" s="200">
        <f>(SEOG!Z5*1000)/SEOG!BF5</f>
        <v>659.53411002586188</v>
      </c>
      <c r="AA5" s="200">
        <f>(SEOG!AA5*1000)/SEOG!BG5</f>
        <v>619.72021416162897</v>
      </c>
      <c r="AB5" s="200">
        <f>(SEOG!AB5*1000)/SEOG!BH5</f>
        <v>596.84280587233536</v>
      </c>
      <c r="AC5" s="200">
        <f>(SEOG!AC5*1000)/SEOG!BI5</f>
        <v>574.52885511690545</v>
      </c>
      <c r="AD5" s="200">
        <f>(SEOG!AD5*1000)/SEOG!BJ5</f>
        <v>610.73856231120192</v>
      </c>
      <c r="AE5" s="200">
        <f>(SEOG!AE5*1000)/SEOG!BK5</f>
        <v>609.15147083877559</v>
      </c>
      <c r="AF5" s="200">
        <f>(SEOG!AF5*1000)/SEOG!BL5</f>
        <v>611.43519305683492</v>
      </c>
      <c r="AG5" s="200">
        <f>(SEOG!AG5*1000)/SEOG!BM5</f>
        <v>652.09171264260351</v>
      </c>
    </row>
    <row r="6" spans="1:56">
      <c r="A6" s="173" t="s">
        <v>215</v>
      </c>
      <c r="B6" s="197">
        <f t="shared" ref="B6:P6" si="0">(B5/B4)*100</f>
        <v>92.548351770993904</v>
      </c>
      <c r="C6" s="197">
        <f t="shared" ref="C6:O6" si="1">(C5/C4)*100</f>
        <v>100.1647794248036</v>
      </c>
      <c r="D6" s="197">
        <f t="shared" si="1"/>
        <v>91.347498701382619</v>
      </c>
      <c r="E6" s="197">
        <f t="shared" si="1"/>
        <v>89.650529552774145</v>
      </c>
      <c r="F6" s="197">
        <f t="shared" si="1"/>
        <v>94.056699429235834</v>
      </c>
      <c r="G6" s="197">
        <f t="shared" si="1"/>
        <v>91.422029809215459</v>
      </c>
      <c r="H6" s="197">
        <f t="shared" si="1"/>
        <v>92.150237646154423</v>
      </c>
      <c r="I6" s="197">
        <f t="shared" si="1"/>
        <v>91.762313737018715</v>
      </c>
      <c r="J6" s="197">
        <f t="shared" si="1"/>
        <v>93.894200903320197</v>
      </c>
      <c r="K6" s="197">
        <f t="shared" si="1"/>
        <v>88.461919288171771</v>
      </c>
      <c r="L6" s="197">
        <f t="shared" si="1"/>
        <v>89.14729156069852</v>
      </c>
      <c r="M6" s="197">
        <f t="shared" si="1"/>
        <v>89.090158755461871</v>
      </c>
      <c r="N6" s="197">
        <f t="shared" si="1"/>
        <v>89.057052790466102</v>
      </c>
      <c r="O6" s="197">
        <f t="shared" si="1"/>
        <v>89.544096240539261</v>
      </c>
      <c r="P6" s="197">
        <f t="shared" si="0"/>
        <v>89.413859037875838</v>
      </c>
      <c r="Q6" s="197">
        <f t="shared" ref="Q6:AC6" si="2">(Q5/Q4)*100</f>
        <v>89.253130599249204</v>
      </c>
      <c r="R6" s="197">
        <f t="shared" si="2"/>
        <v>88.575370518106894</v>
      </c>
      <c r="S6" s="197">
        <f t="shared" si="2"/>
        <v>87.443414259159042</v>
      </c>
      <c r="T6" s="197">
        <f t="shared" si="2"/>
        <v>89.266270025416731</v>
      </c>
      <c r="U6" s="197">
        <f t="shared" si="2"/>
        <v>89.302244199865243</v>
      </c>
      <c r="V6" s="197">
        <f t="shared" si="2"/>
        <v>89.051912798395392</v>
      </c>
      <c r="W6" s="197">
        <f t="shared" si="2"/>
        <v>90.678423344532717</v>
      </c>
      <c r="X6" s="197">
        <f t="shared" si="2"/>
        <v>92.78032479572957</v>
      </c>
      <c r="Y6" s="197">
        <f t="shared" si="2"/>
        <v>92.305633707921018</v>
      </c>
      <c r="Z6" s="197">
        <f t="shared" si="2"/>
        <v>89.864460340834455</v>
      </c>
      <c r="AA6" s="197">
        <f t="shared" si="2"/>
        <v>90.639886939807042</v>
      </c>
      <c r="AB6" s="197">
        <f t="shared" si="2"/>
        <v>94.436051380339578</v>
      </c>
      <c r="AC6" s="197">
        <f t="shared" si="2"/>
        <v>95.935654280779531</v>
      </c>
      <c r="AD6" s="197">
        <f t="shared" ref="AD6:AE6" si="3">(AD5/AD4)*100</f>
        <v>100.21341586838039</v>
      </c>
      <c r="AE6" s="197">
        <f t="shared" si="3"/>
        <v>100.02215059900601</v>
      </c>
      <c r="AF6" s="197">
        <f t="shared" ref="AF6:AG6" si="4">(AF5/AF4)*100</f>
        <v>98.926669954616258</v>
      </c>
      <c r="AG6" s="197">
        <f t="shared" si="4"/>
        <v>98.466402379589397</v>
      </c>
    </row>
    <row r="7" spans="1:56">
      <c r="A7" s="25" t="s">
        <v>18</v>
      </c>
      <c r="B7" s="200">
        <f>(SEOG!B7*1000)/SEOG!AH7</f>
        <v>521.25047223271633</v>
      </c>
      <c r="C7" s="200">
        <f>(SEOG!C7*1000)/SEOG!AI7</f>
        <v>620.79540009583138</v>
      </c>
      <c r="D7" s="200">
        <f>(SEOG!D7*1000)/SEOG!AJ7</f>
        <v>597.39130434782612</v>
      </c>
      <c r="E7" s="200">
        <f>(SEOG!E7*1000)/SEOG!AK7</f>
        <v>614.20560747663546</v>
      </c>
      <c r="F7" s="200">
        <f>(SEOG!F7*1000)/SEOG!AL7</f>
        <v>628.36958542480011</v>
      </c>
      <c r="G7" s="200">
        <f>(SEOG!G7*1000)/SEOG!AM7</f>
        <v>619.08510452199778</v>
      </c>
      <c r="H7" s="200">
        <f>(SEOG!H7*1000)/SEOG!AN7</f>
        <v>657.50111957008505</v>
      </c>
      <c r="I7" s="200">
        <f>(SEOG!I7*1000)/SEOG!AO7</f>
        <v>658.5665948938788</v>
      </c>
      <c r="J7" s="200">
        <f>(SEOG!J7*1000)/SEOG!AP7</f>
        <v>675.81047381546136</v>
      </c>
      <c r="K7" s="200">
        <f>(SEOG!K7*1000)/SEOG!AQ7</f>
        <v>712.88477513606415</v>
      </c>
      <c r="L7" s="200">
        <f>(SEOG!L7*1000)/SEOG!AR7</f>
        <v>712.61206896551721</v>
      </c>
      <c r="M7" s="200">
        <f>(SEOG!M7*1000)/SEOG!AS7</f>
        <v>691.51927867242057</v>
      </c>
      <c r="N7" s="200">
        <f>(SEOG!N7*1000)/SEOG!AT7</f>
        <v>671.71079665283355</v>
      </c>
      <c r="O7" s="200">
        <f>(SEOG!O7*1000)/SEOG!AU7</f>
        <v>665.20876783754113</v>
      </c>
      <c r="P7" s="200">
        <f>(SEOG!P7*1000)/SEOG!AV7</f>
        <v>664.21506976744183</v>
      </c>
      <c r="Q7" s="200">
        <f>(SEOG!Q7*1000)/SEOG!AW7</f>
        <v>673.16208257258972</v>
      </c>
      <c r="R7" s="200">
        <f>(SEOG!R7*1000)/SEOG!AX7</f>
        <v>693.90615296147212</v>
      </c>
      <c r="S7" s="200">
        <f>(SEOG!S7*1000)/SEOG!AY7</f>
        <v>712.80928983892204</v>
      </c>
      <c r="T7" s="200">
        <f>(SEOG!T7*1000)/SEOG!AZ7</f>
        <v>716.4151194852941</v>
      </c>
      <c r="U7" s="200">
        <f>(SEOG!U7*1000)/SEOG!BA7</f>
        <v>708.68416564010238</v>
      </c>
      <c r="V7" s="200">
        <f>(SEOG!V7*1000)/SEOG!BB7</f>
        <v>728.96173143586941</v>
      </c>
      <c r="W7" s="200">
        <f>(SEOG!W7*1000)/SEOG!BC7</f>
        <v>768.08476449191949</v>
      </c>
      <c r="X7" s="200">
        <f>(SEOG!X7*1000)/SEOG!BD7</f>
        <v>791.70213687554156</v>
      </c>
      <c r="Y7" s="200">
        <f>(SEOG!Y7*1000)/SEOG!BE7</f>
        <v>769.91459701208487</v>
      </c>
      <c r="Z7" s="200">
        <f>(SEOG!Z7*1000)/SEOG!BF7</f>
        <v>742.37937079964934</v>
      </c>
      <c r="AA7" s="200">
        <f>(SEOG!AA7*1000)/SEOG!BG7</f>
        <v>687.56874845717107</v>
      </c>
      <c r="AB7" s="200">
        <f>(SEOG!AB7*1000)/SEOG!BH7</f>
        <v>614.21889891082367</v>
      </c>
      <c r="AC7" s="200">
        <f>(SEOG!AC7*1000)/SEOG!BI7</f>
        <v>593.05537619028155</v>
      </c>
      <c r="AD7" s="200">
        <f>(SEOG!AD7*1000)/SEOG!BJ7</f>
        <v>645.01096876472855</v>
      </c>
      <c r="AE7" s="200">
        <f>(SEOG!AE7*1000)/SEOG!BK7</f>
        <v>766.83917980003389</v>
      </c>
      <c r="AF7" s="200">
        <f>(SEOG!AF7*1000)/SEOG!BL7</f>
        <v>786.76434065934063</v>
      </c>
      <c r="AG7" s="200">
        <f>(SEOG!AG7*1000)/SEOG!BM7</f>
        <v>795.6481226317602</v>
      </c>
    </row>
    <row r="8" spans="1:56">
      <c r="A8" s="25" t="s">
        <v>19</v>
      </c>
      <c r="B8" s="200">
        <f>(SEOG!B8*1000)/SEOG!AH8</f>
        <v>408.26727066817665</v>
      </c>
      <c r="C8" s="200">
        <f>(SEOG!C8*1000)/SEOG!AI8</f>
        <v>624.16724098322993</v>
      </c>
      <c r="D8" s="200">
        <f>(SEOG!D8*1000)/SEOG!AJ8</f>
        <v>426.89134632262596</v>
      </c>
      <c r="E8" s="200">
        <f>(SEOG!E8*1000)/SEOG!AK8</f>
        <v>436.7120524457892</v>
      </c>
      <c r="F8" s="200">
        <f>(SEOG!F8*1000)/SEOG!AL8</f>
        <v>446.90341396465948</v>
      </c>
      <c r="G8" s="200">
        <f>(SEOG!G8*1000)/SEOG!AM8</f>
        <v>339.25648819265842</v>
      </c>
      <c r="H8" s="200">
        <f>(SEOG!H8*1000)/SEOG!AN8</f>
        <v>497.22706385675804</v>
      </c>
      <c r="I8" s="200">
        <f>(SEOG!I8*1000)/SEOG!AO8</f>
        <v>508.92857142857144</v>
      </c>
      <c r="J8" s="200">
        <f>(SEOG!J8*1000)/SEOG!AP8</f>
        <v>513.27987972939115</v>
      </c>
      <c r="K8" s="200">
        <f>(SEOG!K8*1000)/SEOG!AQ8</f>
        <v>516.9503275759381</v>
      </c>
      <c r="L8" s="200">
        <f>(SEOG!L8*1000)/SEOG!AR8</f>
        <v>537.43234799327081</v>
      </c>
      <c r="M8" s="200">
        <f>(SEOG!M8*1000)/SEOG!AS8</f>
        <v>539.47093567251466</v>
      </c>
      <c r="N8" s="200">
        <f>(SEOG!N8*1000)/SEOG!AT8</f>
        <v>541.40362269309639</v>
      </c>
      <c r="O8" s="200">
        <f>(SEOG!O8*1000)/SEOG!AU8</f>
        <v>545.82333178869328</v>
      </c>
      <c r="P8" s="200">
        <f>(SEOG!P8*1000)/SEOG!AV8</f>
        <v>564.88717833464432</v>
      </c>
      <c r="Q8" s="200">
        <f>(SEOG!Q8*1000)/SEOG!AW8</f>
        <v>574.96519695613244</v>
      </c>
      <c r="R8" s="200">
        <f>(SEOG!R8*1000)/SEOG!AX8</f>
        <v>582.07573059599872</v>
      </c>
      <c r="S8" s="200">
        <f>(SEOG!S8*1000)/SEOG!AY8</f>
        <v>564.07308291163872</v>
      </c>
      <c r="T8" s="200">
        <f>(SEOG!T8*1000)/SEOG!AZ8</f>
        <v>604.45509544174399</v>
      </c>
      <c r="U8" s="200">
        <f>(SEOG!U8*1000)/SEOG!BA8</f>
        <v>622.73677221654748</v>
      </c>
      <c r="V8" s="200">
        <f>(SEOG!V8*1000)/SEOG!BB8</f>
        <v>600.60497867698109</v>
      </c>
      <c r="W8" s="200">
        <f>(SEOG!W8*1000)/SEOG!BC8</f>
        <v>588.28305725079917</v>
      </c>
      <c r="X8" s="200">
        <f>(SEOG!X8*1000)/SEOG!BD8</f>
        <v>598.33220141651304</v>
      </c>
      <c r="Y8" s="200">
        <f>(SEOG!Y8*1000)/SEOG!BE8</f>
        <v>606.06882716049381</v>
      </c>
      <c r="Z8" s="200">
        <f>(SEOG!Z8*1000)/SEOG!BF8</f>
        <v>592.52585132890363</v>
      </c>
      <c r="AA8" s="200">
        <f>(SEOG!AA8*1000)/SEOG!BG8</f>
        <v>596.12581322140613</v>
      </c>
      <c r="AB8" s="200">
        <f>(SEOG!AB8*1000)/SEOG!BH8</f>
        <v>626.77490267918483</v>
      </c>
      <c r="AC8" s="200">
        <f>(SEOG!AC8*1000)/SEOG!BI8</f>
        <v>555.6858906150245</v>
      </c>
      <c r="AD8" s="200">
        <f>(SEOG!AD8*1000)/SEOG!BJ8</f>
        <v>551.99674565239502</v>
      </c>
      <c r="AE8" s="200">
        <f>(SEOG!AE8*1000)/SEOG!BK8</f>
        <v>505.0386449917259</v>
      </c>
      <c r="AF8" s="200">
        <f>(SEOG!AF8*1000)/SEOG!BL8</f>
        <v>557.43289224952741</v>
      </c>
      <c r="AG8" s="200">
        <f>(SEOG!AG8*1000)/SEOG!BM8</f>
        <v>610.66943911281726</v>
      </c>
    </row>
    <row r="9" spans="1:56">
      <c r="A9" s="25" t="s">
        <v>113</v>
      </c>
      <c r="B9" s="200">
        <f>(SEOG!B9*1000)/SEOG!AH9</f>
        <v>537.70157068062827</v>
      </c>
      <c r="C9" s="200">
        <f>(SEOG!C9*1000)/SEOG!AI9</f>
        <v>628.36141304347825</v>
      </c>
      <c r="D9" s="200">
        <f>(SEOG!D9*1000)/SEOG!AJ9</f>
        <v>726.19209039548025</v>
      </c>
      <c r="E9" s="200">
        <f>(SEOG!E9*1000)/SEOG!AK9</f>
        <v>542.9334365325077</v>
      </c>
      <c r="F9" s="200">
        <f>(SEOG!F9*1000)/SEOG!AL9</f>
        <v>522.6602223296278</v>
      </c>
      <c r="G9" s="200">
        <f>(SEOG!G9*1000)/SEOG!AM9</f>
        <v>588.96250642013354</v>
      </c>
      <c r="H9" s="200">
        <f>(SEOG!H9*1000)/SEOG!AN9</f>
        <v>587.31070070613794</v>
      </c>
      <c r="I9" s="200">
        <f>(SEOG!I9*1000)/SEOG!AO9</f>
        <v>502.80563613758807</v>
      </c>
      <c r="J9" s="200">
        <f>(SEOG!J9*1000)/SEOG!AP9</f>
        <v>491.86372881355931</v>
      </c>
      <c r="K9" s="200">
        <f>(SEOG!K9*1000)/SEOG!AQ9</f>
        <v>575.18795741849635</v>
      </c>
      <c r="L9" s="200">
        <f>(SEOG!L9*1000)/SEOG!AR9</f>
        <v>522.56144418681686</v>
      </c>
      <c r="M9" s="200">
        <f>(SEOG!M9*1000)/SEOG!AS9</f>
        <v>546.79663484872992</v>
      </c>
      <c r="N9" s="200">
        <f>(SEOG!N9*1000)/SEOG!AT9</f>
        <v>569.93580012650216</v>
      </c>
      <c r="O9" s="200">
        <f>(SEOG!O9*1000)/SEOG!AU9</f>
        <v>545.41885407846462</v>
      </c>
      <c r="P9" s="200">
        <f>(SEOG!P9*1000)/SEOG!AV9</f>
        <v>548.66247659802082</v>
      </c>
      <c r="Q9" s="200">
        <f>(SEOG!Q9*1000)/SEOG!AW9</f>
        <v>572.00593052809938</v>
      </c>
      <c r="R9" s="200">
        <f>(SEOG!R9*1000)/SEOG!AX9</f>
        <v>604.99892415277031</v>
      </c>
      <c r="S9" s="200">
        <f>(SEOG!S9*1000)/SEOG!AY9</f>
        <v>706.67131871261745</v>
      </c>
      <c r="T9" s="200">
        <f>(SEOG!T9*1000)/SEOG!AZ9</f>
        <v>684.35180541624879</v>
      </c>
      <c r="U9" s="200">
        <f>(SEOG!U9*1000)/SEOG!BA9</f>
        <v>565.61626287942079</v>
      </c>
      <c r="V9" s="200">
        <f>(SEOG!V9*1000)/SEOG!BB9</f>
        <v>518.40034812880765</v>
      </c>
      <c r="W9" s="200">
        <f>(SEOG!W9*1000)/SEOG!BC9</f>
        <v>546.97680805614891</v>
      </c>
      <c r="X9" s="200">
        <f>(SEOG!X9*1000)/SEOG!BD9</f>
        <v>544.54262295081969</v>
      </c>
      <c r="Y9" s="200">
        <f>(SEOG!Y9*1000)/SEOG!BE9</f>
        <v>523.85626080513703</v>
      </c>
      <c r="Z9" s="200">
        <f>(SEOG!Z9*1000)/SEOG!BF9</f>
        <v>522.02621264086235</v>
      </c>
      <c r="AA9" s="200">
        <f>(SEOG!AA9*1000)/SEOG!BG9</f>
        <v>456.95797767564017</v>
      </c>
      <c r="AB9" s="200">
        <f>(SEOG!AB9*1000)/SEOG!BH9</f>
        <v>549.62081877184221</v>
      </c>
      <c r="AC9" s="200">
        <f>(SEOG!AC9*1000)/SEOG!BI9</f>
        <v>522.9913989375159</v>
      </c>
      <c r="AD9" s="200">
        <f>(SEOG!AD9*1000)/SEOG!BJ9</f>
        <v>710.67620927936821</v>
      </c>
      <c r="AE9" s="200">
        <f>(SEOG!AE9*1000)/SEOG!BK9</f>
        <v>588.61646706586828</v>
      </c>
      <c r="AF9" s="200">
        <f>(SEOG!AF9*1000)/SEOG!BL9</f>
        <v>678.70817003316245</v>
      </c>
      <c r="AG9" s="200">
        <f>(SEOG!AG9*1000)/SEOG!BM9</f>
        <v>615.39688924644679</v>
      </c>
    </row>
    <row r="10" spans="1:56">
      <c r="A10" s="25" t="s">
        <v>20</v>
      </c>
      <c r="B10" s="200">
        <f>(SEOG!B10*1000)/SEOG!AH10</f>
        <v>575.53586739068305</v>
      </c>
      <c r="C10" s="200">
        <f>(SEOG!C10*1000)/SEOG!AI10</f>
        <v>638.10097470156609</v>
      </c>
      <c r="D10" s="200">
        <f>(SEOG!D10*1000)/SEOG!AJ10</f>
        <v>651.24636358450744</v>
      </c>
      <c r="E10" s="200">
        <f>(SEOG!E10*1000)/SEOG!AK10</f>
        <v>681.79688415134126</v>
      </c>
      <c r="F10" s="200">
        <f>(SEOG!F10*1000)/SEOG!AL10</f>
        <v>681.3367318040215</v>
      </c>
      <c r="G10" s="200">
        <f>(SEOG!G10*1000)/SEOG!AM10</f>
        <v>686.7286301996038</v>
      </c>
      <c r="H10" s="200">
        <f>(SEOG!H10*1000)/SEOG!AN10</f>
        <v>645.09197180677324</v>
      </c>
      <c r="I10" s="200">
        <f>(SEOG!I10*1000)/SEOG!AO10</f>
        <v>618.43094934432122</v>
      </c>
      <c r="J10" s="200">
        <f>(SEOG!J10*1000)/SEOG!AP10</f>
        <v>726.36765378168332</v>
      </c>
      <c r="K10" s="200">
        <f>(SEOG!K10*1000)/SEOG!AQ10</f>
        <v>656.8135127099747</v>
      </c>
      <c r="L10" s="200">
        <f>(SEOG!L10*1000)/SEOG!AR10</f>
        <v>604.96738331495771</v>
      </c>
      <c r="M10" s="200">
        <f>(SEOG!M10*1000)/SEOG!AS10</f>
        <v>586.27735282885044</v>
      </c>
      <c r="N10" s="200">
        <f>(SEOG!N10*1000)/SEOG!AT10</f>
        <v>569.36390280404919</v>
      </c>
      <c r="O10" s="200">
        <f>(SEOG!O10*1000)/SEOG!AU10</f>
        <v>601.63807037694471</v>
      </c>
      <c r="P10" s="200">
        <f>(SEOG!P10*1000)/SEOG!AV10</f>
        <v>634.48031480334782</v>
      </c>
      <c r="Q10" s="200">
        <f>(SEOG!Q10*1000)/SEOG!AW10</f>
        <v>624.01711612338818</v>
      </c>
      <c r="R10" s="200">
        <f>(SEOG!R10*1000)/SEOG!AX10</f>
        <v>650.05694170438278</v>
      </c>
      <c r="S10" s="200">
        <f>(SEOG!S10*1000)/SEOG!AY10</f>
        <v>659.66001218594317</v>
      </c>
      <c r="T10" s="200">
        <f>(SEOG!T10*1000)/SEOG!AZ10</f>
        <v>649.95461792414847</v>
      </c>
      <c r="U10" s="200">
        <f>(SEOG!U10*1000)/SEOG!BA10</f>
        <v>635.30544917308544</v>
      </c>
      <c r="V10" s="200">
        <f>(SEOG!V10*1000)/SEOG!BB10</f>
        <v>635.85389915659778</v>
      </c>
      <c r="W10" s="200">
        <f>(SEOG!W10*1000)/SEOG!BC10</f>
        <v>630.28589916644637</v>
      </c>
      <c r="X10" s="200">
        <f>(SEOG!X10*1000)/SEOG!BD10</f>
        <v>623.02819214820397</v>
      </c>
      <c r="Y10" s="200">
        <f>(SEOG!Y10*1000)/SEOG!BE10</f>
        <v>593.13263041065488</v>
      </c>
      <c r="Z10" s="200">
        <f>(SEOG!Z10*1000)/SEOG!BF10</f>
        <v>539.01497190545058</v>
      </c>
      <c r="AA10" s="200">
        <f>(SEOG!AA10*1000)/SEOG!BG10</f>
        <v>513.49466920926602</v>
      </c>
      <c r="AB10" s="200">
        <f>(SEOG!AB10*1000)/SEOG!BH10</f>
        <v>490.84164769418118</v>
      </c>
      <c r="AC10" s="200">
        <f>(SEOG!AC10*1000)/SEOG!BI10</f>
        <v>468.09635778278357</v>
      </c>
      <c r="AD10" s="200">
        <f>(SEOG!AD10*1000)/SEOG!BJ10</f>
        <v>502.24206328216735</v>
      </c>
      <c r="AE10" s="200">
        <f>(SEOG!AE10*1000)/SEOG!BK10</f>
        <v>504.16893955738243</v>
      </c>
      <c r="AF10" s="200">
        <f>(SEOG!AF10*1000)/SEOG!BL10</f>
        <v>518.45954006505178</v>
      </c>
      <c r="AG10" s="200">
        <f>(SEOG!AG10*1000)/SEOG!BM10</f>
        <v>544.21811170966828</v>
      </c>
    </row>
    <row r="11" spans="1:56">
      <c r="A11" s="25" t="s">
        <v>21</v>
      </c>
      <c r="B11" s="200">
        <f>(SEOG!B11*1000)/SEOG!AH11</f>
        <v>476.94807971944232</v>
      </c>
      <c r="C11" s="200">
        <f>(SEOG!C11*1000)/SEOG!AI11</f>
        <v>633.53316573196673</v>
      </c>
      <c r="D11" s="200">
        <f>(SEOG!D11*1000)/SEOG!AJ11</f>
        <v>580.43534819183071</v>
      </c>
      <c r="E11" s="200">
        <f>(SEOG!E11*1000)/SEOG!AK11</f>
        <v>610.98674014120888</v>
      </c>
      <c r="F11" s="200">
        <f>(SEOG!F11*1000)/SEOG!AL11</f>
        <v>570.88218175771181</v>
      </c>
      <c r="G11" s="200">
        <f>(SEOG!G11*1000)/SEOG!AM11</f>
        <v>606.61736084079405</v>
      </c>
      <c r="H11" s="200">
        <f>(SEOG!H11*1000)/SEOG!AN11</f>
        <v>649.34875936840569</v>
      </c>
      <c r="I11" s="200">
        <f>(SEOG!I11*1000)/SEOG!AO11</f>
        <v>612.28334589299175</v>
      </c>
      <c r="J11" s="200">
        <f>(SEOG!J11*1000)/SEOG!AP11</f>
        <v>638.325445120577</v>
      </c>
      <c r="K11" s="200">
        <f>(SEOG!K11*1000)/SEOG!AQ11</f>
        <v>693.40524543874892</v>
      </c>
      <c r="L11" s="200">
        <f>(SEOG!L11*1000)/SEOG!AR11</f>
        <v>718.04799460384993</v>
      </c>
      <c r="M11" s="200">
        <f>(SEOG!M11*1000)/SEOG!AS11</f>
        <v>701.61143706284736</v>
      </c>
      <c r="N11" s="200">
        <f>(SEOG!N11*1000)/SEOG!AT11</f>
        <v>685.57834801093225</v>
      </c>
      <c r="O11" s="200">
        <f>(SEOG!O11*1000)/SEOG!AU11</f>
        <v>719.40194701409405</v>
      </c>
      <c r="P11" s="200">
        <f>(SEOG!P11*1000)/SEOG!AV11</f>
        <v>712.75814450619919</v>
      </c>
      <c r="Q11" s="200">
        <f>(SEOG!Q11*1000)/SEOG!AW11</f>
        <v>646.58365712473233</v>
      </c>
      <c r="R11" s="200">
        <f>(SEOG!R11*1000)/SEOG!AX11</f>
        <v>724.39169202163623</v>
      </c>
      <c r="S11" s="200">
        <f>(SEOG!S11*1000)/SEOG!AY11</f>
        <v>681.05969982495992</v>
      </c>
      <c r="T11" s="200">
        <f>(SEOG!T11*1000)/SEOG!AZ11</f>
        <v>654.55289488133735</v>
      </c>
      <c r="U11" s="200">
        <f>(SEOG!U11*1000)/SEOG!BA11</f>
        <v>669.69128974916055</v>
      </c>
      <c r="V11" s="200">
        <f>(SEOG!V11*1000)/SEOG!BB11</f>
        <v>625.64639589652541</v>
      </c>
      <c r="W11" s="200">
        <f>(SEOG!W11*1000)/SEOG!BC11</f>
        <v>646.65082672104256</v>
      </c>
      <c r="X11" s="200">
        <f>(SEOG!X11*1000)/SEOG!BD11</f>
        <v>765.64962130587594</v>
      </c>
      <c r="Y11" s="200">
        <f>(SEOG!Y11*1000)/SEOG!BE11</f>
        <v>729.34088563300861</v>
      </c>
      <c r="Z11" s="200">
        <f>(SEOG!Z11*1000)/SEOG!BF11</f>
        <v>651.89899074383857</v>
      </c>
      <c r="AA11" s="200">
        <f>(SEOG!AA11*1000)/SEOG!BG11</f>
        <v>607.29512245317972</v>
      </c>
      <c r="AB11" s="200">
        <f>(SEOG!AB11*1000)/SEOG!BH11</f>
        <v>638.24209911297601</v>
      </c>
      <c r="AC11" s="200">
        <f>(SEOG!AC11*1000)/SEOG!BI11</f>
        <v>575.82259898425855</v>
      </c>
      <c r="AD11" s="200">
        <f>(SEOG!AD11*1000)/SEOG!BJ11</f>
        <v>619.00123743998415</v>
      </c>
      <c r="AE11" s="200">
        <f>(SEOG!AE11*1000)/SEOG!BK11</f>
        <v>576.68294365468478</v>
      </c>
      <c r="AF11" s="200">
        <f>(SEOG!AF11*1000)/SEOG!BL11</f>
        <v>584.37122032185903</v>
      </c>
      <c r="AG11" s="200">
        <f>(SEOG!AG11*1000)/SEOG!BM11</f>
        <v>638.95220744216226</v>
      </c>
    </row>
    <row r="12" spans="1:56">
      <c r="A12" s="25" t="s">
        <v>22</v>
      </c>
      <c r="B12" s="200">
        <f>(SEOG!B12*1000)/SEOG!AH12</f>
        <v>406.34723086496575</v>
      </c>
      <c r="C12" s="200">
        <f>(SEOG!C12*1000)/SEOG!AI12</f>
        <v>622.68979243673584</v>
      </c>
      <c r="D12" s="200">
        <f>(SEOG!D12*1000)/SEOG!AJ12</f>
        <v>456.23644870478148</v>
      </c>
      <c r="E12" s="200">
        <f>(SEOG!E12*1000)/SEOG!AK12</f>
        <v>475.05197505197503</v>
      </c>
      <c r="F12" s="200">
        <f>(SEOG!F12*1000)/SEOG!AL12</f>
        <v>482.38636363636363</v>
      </c>
      <c r="G12" s="200">
        <f>(SEOG!G12*1000)/SEOG!AM12</f>
        <v>493.0534115467737</v>
      </c>
      <c r="H12" s="200">
        <f>(SEOG!H12*1000)/SEOG!AN12</f>
        <v>509.44992947813824</v>
      </c>
      <c r="I12" s="200">
        <f>(SEOG!I12*1000)/SEOG!AO12</f>
        <v>514.29307236672673</v>
      </c>
      <c r="J12" s="200">
        <f>(SEOG!J12*1000)/SEOG!AP12</f>
        <v>522.43102758896441</v>
      </c>
      <c r="K12" s="200">
        <f>(SEOG!K12*1000)/SEOG!AQ12</f>
        <v>529.59409594095939</v>
      </c>
      <c r="L12" s="200">
        <f>(SEOG!L12*1000)/SEOG!AR12</f>
        <v>567.90304596138162</v>
      </c>
      <c r="M12" s="200">
        <f>(SEOG!M12*1000)/SEOG!AS12</f>
        <v>585.41132266217357</v>
      </c>
      <c r="N12" s="200">
        <f>(SEOG!N12*1000)/SEOG!AT12</f>
        <v>602.61662323778978</v>
      </c>
      <c r="O12" s="200">
        <f>(SEOG!O12*1000)/SEOG!AU12</f>
        <v>618.1661594249822</v>
      </c>
      <c r="P12" s="200">
        <f>(SEOG!P12*1000)/SEOG!AV12</f>
        <v>635.27233115468414</v>
      </c>
      <c r="Q12" s="200">
        <f>(SEOG!Q12*1000)/SEOG!AW12</f>
        <v>605.80382597963592</v>
      </c>
      <c r="R12" s="200">
        <f>(SEOG!R12*1000)/SEOG!AX12</f>
        <v>621.46329648490871</v>
      </c>
      <c r="S12" s="200">
        <f>(SEOG!S12*1000)/SEOG!AY12</f>
        <v>603.08534000108716</v>
      </c>
      <c r="T12" s="200">
        <f>(SEOG!T12*1000)/SEOG!AZ12</f>
        <v>595.34589929581193</v>
      </c>
      <c r="U12" s="200">
        <f>(SEOG!U12*1000)/SEOG!BA12</f>
        <v>599.69484525569771</v>
      </c>
      <c r="V12" s="200">
        <f>(SEOG!V12*1000)/SEOG!BB12</f>
        <v>591.65823970037457</v>
      </c>
      <c r="W12" s="200">
        <f>(SEOG!W12*1000)/SEOG!BC12</f>
        <v>532.95128472947567</v>
      </c>
      <c r="X12" s="200">
        <f>(SEOG!X12*1000)/SEOG!BD12</f>
        <v>582.9107978857287</v>
      </c>
      <c r="Y12" s="200">
        <f>(SEOG!Y12*1000)/SEOG!BE12</f>
        <v>594.67460793127555</v>
      </c>
      <c r="Z12" s="200">
        <f>(SEOG!Z12*1000)/SEOG!BF12</f>
        <v>576.54822901504122</v>
      </c>
      <c r="AA12" s="200">
        <f>(SEOG!AA12*1000)/SEOG!BG12</f>
        <v>516.6771357787901</v>
      </c>
      <c r="AB12" s="200">
        <f>(SEOG!AB12*1000)/SEOG!BH12</f>
        <v>517.77079996628174</v>
      </c>
      <c r="AC12" s="200">
        <f>(SEOG!AC12*1000)/SEOG!BI12</f>
        <v>579.6220400311455</v>
      </c>
      <c r="AD12" s="200">
        <f>(SEOG!AD12*1000)/SEOG!BJ12</f>
        <v>593.58410691062375</v>
      </c>
      <c r="AE12" s="200">
        <f>(SEOG!AE12*1000)/SEOG!BK12</f>
        <v>603.89784831700047</v>
      </c>
      <c r="AF12" s="200">
        <f>(SEOG!AF12*1000)/SEOG!BL12</f>
        <v>616.32549369852143</v>
      </c>
      <c r="AG12" s="200">
        <f>(SEOG!AG12*1000)/SEOG!BM12</f>
        <v>601.21103680637088</v>
      </c>
    </row>
    <row r="13" spans="1:56">
      <c r="A13" s="25" t="s">
        <v>23</v>
      </c>
      <c r="B13" s="200">
        <f>(SEOG!B13*1000)/SEOG!AH13</f>
        <v>424.00521852576645</v>
      </c>
      <c r="C13" s="200">
        <f>(SEOG!C13*1000)/SEOG!AI13</f>
        <v>624.90489475019024</v>
      </c>
      <c r="D13" s="200">
        <f>(SEOG!D13*1000)/SEOG!AJ13</f>
        <v>454.25895912119574</v>
      </c>
      <c r="E13" s="200">
        <f>(SEOG!E13*1000)/SEOG!AK13</f>
        <v>428.34905228458933</v>
      </c>
      <c r="F13" s="200">
        <f>(SEOG!F13*1000)/SEOG!AL13</f>
        <v>434.55812752775148</v>
      </c>
      <c r="G13" s="200">
        <f>(SEOG!G13*1000)/SEOG!AM13</f>
        <v>458.83312933496529</v>
      </c>
      <c r="H13" s="200">
        <f>(SEOG!H13*1000)/SEOG!AN13</f>
        <v>498.37186584174538</v>
      </c>
      <c r="I13" s="200">
        <f>(SEOG!I13*1000)/SEOG!AO13</f>
        <v>584.42957150550046</v>
      </c>
      <c r="J13" s="200">
        <f>(SEOG!J13*1000)/SEOG!AP13</f>
        <v>669.75060337892194</v>
      </c>
      <c r="K13" s="200">
        <f>(SEOG!K13*1000)/SEOG!AQ13</f>
        <v>714.55756672345262</v>
      </c>
      <c r="L13" s="200">
        <f>(SEOG!L13*1000)/SEOG!AR13</f>
        <v>725.46471806307738</v>
      </c>
      <c r="M13" s="200">
        <f>(SEOG!M13*1000)/SEOG!AS13</f>
        <v>687.1532065155485</v>
      </c>
      <c r="N13" s="200">
        <f>(SEOG!N13*1000)/SEOG!AT13</f>
        <v>652.24722443944563</v>
      </c>
      <c r="O13" s="200">
        <f>(SEOG!O13*1000)/SEOG!AU13</f>
        <v>605.62872502045104</v>
      </c>
      <c r="P13" s="200">
        <f>(SEOG!P13*1000)/SEOG!AV13</f>
        <v>692.88610780955048</v>
      </c>
      <c r="Q13" s="200">
        <f>(SEOG!Q13*1000)/SEOG!AW13</f>
        <v>719.31866485985313</v>
      </c>
      <c r="R13" s="200">
        <f>(SEOG!R13*1000)/SEOG!AX13</f>
        <v>688.84776138716359</v>
      </c>
      <c r="S13" s="200">
        <f>(SEOG!S13*1000)/SEOG!AY13</f>
        <v>677.90164114990637</v>
      </c>
      <c r="T13" s="200">
        <f>(SEOG!T13*1000)/SEOG!AZ13</f>
        <v>696.90703837184651</v>
      </c>
      <c r="U13" s="200">
        <f>(SEOG!U13*1000)/SEOG!BA13</f>
        <v>689.91843648867314</v>
      </c>
      <c r="V13" s="200">
        <f>(SEOG!V13*1000)/SEOG!BB13</f>
        <v>669.20855727684693</v>
      </c>
      <c r="W13" s="200">
        <f>(SEOG!W13*1000)/SEOG!BC13</f>
        <v>1043.2898156420044</v>
      </c>
      <c r="X13" s="200">
        <f>(SEOG!X13*1000)/SEOG!BD13</f>
        <v>970.59174372233667</v>
      </c>
      <c r="Y13" s="200">
        <f>(SEOG!Y13*1000)/SEOG!BE13</f>
        <v>686.90512607370465</v>
      </c>
      <c r="Z13" s="200">
        <f>(SEOG!Z13*1000)/SEOG!BF13</f>
        <v>685.99072485524346</v>
      </c>
      <c r="AA13" s="200">
        <f>(SEOG!AA13*1000)/SEOG!BG13</f>
        <v>635.47626793702432</v>
      </c>
      <c r="AB13" s="200">
        <f>(SEOG!AB13*1000)/SEOG!BH13</f>
        <v>609.09208358051546</v>
      </c>
      <c r="AC13" s="200">
        <f>(SEOG!AC13*1000)/SEOG!BI13</f>
        <v>524.3666223327358</v>
      </c>
      <c r="AD13" s="200">
        <f>(SEOG!AD13*1000)/SEOG!BJ13</f>
        <v>546.99467849223947</v>
      </c>
      <c r="AE13" s="200">
        <f>(SEOG!AE13*1000)/SEOG!BK13</f>
        <v>586.34817639018775</v>
      </c>
      <c r="AF13" s="200">
        <f>(SEOG!AF13*1000)/SEOG!BL13</f>
        <v>651.16804427513841</v>
      </c>
      <c r="AG13" s="200">
        <f>(SEOG!AG13*1000)/SEOG!BM13</f>
        <v>722.92453814064368</v>
      </c>
    </row>
    <row r="14" spans="1:56">
      <c r="A14" s="25" t="s">
        <v>24</v>
      </c>
      <c r="B14" s="200">
        <f>(SEOG!B14*1000)/SEOG!AH14</f>
        <v>508.04225754259068</v>
      </c>
      <c r="C14" s="200">
        <f>(SEOG!C14*1000)/SEOG!AI14</f>
        <v>626.26656274356981</v>
      </c>
      <c r="D14" s="200">
        <f>(SEOG!D14*1000)/SEOG!AJ14</f>
        <v>695.84954604409859</v>
      </c>
      <c r="E14" s="200">
        <f>(SEOG!E14*1000)/SEOG!AK14</f>
        <v>701.57504954626052</v>
      </c>
      <c r="F14" s="200">
        <f>(SEOG!F14*1000)/SEOG!AL14</f>
        <v>664.89099339054951</v>
      </c>
      <c r="G14" s="200">
        <f>(SEOG!G14*1000)/SEOG!AM14</f>
        <v>649.59739437256849</v>
      </c>
      <c r="H14" s="200">
        <f>(SEOG!H14*1000)/SEOG!AN14</f>
        <v>677.89646672144613</v>
      </c>
      <c r="I14" s="200">
        <f>(SEOG!I14*1000)/SEOG!AO14</f>
        <v>642.06503821369699</v>
      </c>
      <c r="J14" s="200">
        <f>(SEOG!J14*1000)/SEOG!AP14</f>
        <v>621.24180798594693</v>
      </c>
      <c r="K14" s="200">
        <f>(SEOG!K14*1000)/SEOG!AQ14</f>
        <v>590.90137708760619</v>
      </c>
      <c r="L14" s="200">
        <f>(SEOG!L14*1000)/SEOG!AR14</f>
        <v>585.03194595522984</v>
      </c>
      <c r="M14" s="200">
        <f>(SEOG!M14*1000)/SEOG!AS14</f>
        <v>595.65102785145893</v>
      </c>
      <c r="N14" s="200">
        <f>(SEOG!N14*1000)/SEOG!AT14</f>
        <v>605.55668891855805</v>
      </c>
      <c r="O14" s="200">
        <f>(SEOG!O14*1000)/SEOG!AU14</f>
        <v>630.31623661020524</v>
      </c>
      <c r="P14" s="200">
        <f>(SEOG!P14*1000)/SEOG!AV14</f>
        <v>641.58508205883845</v>
      </c>
      <c r="Q14" s="200">
        <f>(SEOG!Q14*1000)/SEOG!AW14</f>
        <v>667.57135838860233</v>
      </c>
      <c r="R14" s="200">
        <f>(SEOG!R14*1000)/SEOG!AX14</f>
        <v>720.97072259136212</v>
      </c>
      <c r="S14" s="200">
        <f>(SEOG!S14*1000)/SEOG!AY14</f>
        <v>740.03976385636224</v>
      </c>
      <c r="T14" s="200">
        <f>(SEOG!T14*1000)/SEOG!AZ14</f>
        <v>779.83174992338343</v>
      </c>
      <c r="U14" s="200">
        <f>(SEOG!U14*1000)/SEOG!BA14</f>
        <v>766.85073268843985</v>
      </c>
      <c r="V14" s="200">
        <f>(SEOG!V14*1000)/SEOG!BB14</f>
        <v>691.59856324296584</v>
      </c>
      <c r="W14" s="200">
        <f>(SEOG!W14*1000)/SEOG!BC14</f>
        <v>740.50701044509265</v>
      </c>
      <c r="X14" s="200">
        <f>(SEOG!X14*1000)/SEOG!BD14</f>
        <v>706.08756551180375</v>
      </c>
      <c r="Y14" s="200">
        <f>(SEOG!Y14*1000)/SEOG!BE14</f>
        <v>716.12776519350325</v>
      </c>
      <c r="Z14" s="200">
        <f>(SEOG!Z14*1000)/SEOG!BF14</f>
        <v>697.47606126109554</v>
      </c>
      <c r="AA14" s="200">
        <f>(SEOG!AA14*1000)/SEOG!BG14</f>
        <v>659.36227608909405</v>
      </c>
      <c r="AB14" s="200">
        <f>(SEOG!AB14*1000)/SEOG!BH14</f>
        <v>625.74401853411962</v>
      </c>
      <c r="AC14" s="200">
        <f>(SEOG!AC14*1000)/SEOG!BI14</f>
        <v>602.53396786587496</v>
      </c>
      <c r="AD14" s="200">
        <f>(SEOG!AD14*1000)/SEOG!BJ14</f>
        <v>619.63861211533379</v>
      </c>
      <c r="AE14" s="200">
        <f>(SEOG!AE14*1000)/SEOG!BK14</f>
        <v>646.06545574325912</v>
      </c>
      <c r="AF14" s="200">
        <f>(SEOG!AF14*1000)/SEOG!BL14</f>
        <v>642.31963450163323</v>
      </c>
      <c r="AG14" s="200">
        <f>(SEOG!AG14*1000)/SEOG!BM14</f>
        <v>699.36363205085627</v>
      </c>
    </row>
    <row r="15" spans="1:56">
      <c r="A15" s="25" t="s">
        <v>25</v>
      </c>
      <c r="B15" s="200">
        <f>(SEOG!B15*1000)/SEOG!AH15</f>
        <v>486.67719852553978</v>
      </c>
      <c r="C15" s="200">
        <f>(SEOG!C15*1000)/SEOG!AI15</f>
        <v>622.07234825260571</v>
      </c>
      <c r="D15" s="200">
        <f>(SEOG!D15*1000)/SEOG!AJ15</f>
        <v>549.6489468405216</v>
      </c>
      <c r="E15" s="200">
        <f>(SEOG!E15*1000)/SEOG!AK15</f>
        <v>620.04523271039159</v>
      </c>
      <c r="F15" s="200">
        <f>(SEOG!F15*1000)/SEOG!AL15</f>
        <v>509.9484156226971</v>
      </c>
      <c r="G15" s="200">
        <f>(SEOG!G15*1000)/SEOG!AM15</f>
        <v>562.40264797507791</v>
      </c>
      <c r="H15" s="200">
        <f>(SEOG!H15*1000)/SEOG!AN15</f>
        <v>577.36524689031285</v>
      </c>
      <c r="I15" s="200">
        <f>(SEOG!I15*1000)/SEOG!AO15</f>
        <v>646.24032436417247</v>
      </c>
      <c r="J15" s="200">
        <f>(SEOG!J15*1000)/SEOG!AP15</f>
        <v>592.52259654889076</v>
      </c>
      <c r="K15" s="200">
        <f>(SEOG!K15*1000)/SEOG!AQ15</f>
        <v>657.92396583486857</v>
      </c>
      <c r="L15" s="200">
        <f>(SEOG!L15*1000)/SEOG!AR15</f>
        <v>717.05858951175412</v>
      </c>
      <c r="M15" s="200">
        <f>(SEOG!M15*1000)/SEOG!AS15</f>
        <v>707.52510849349028</v>
      </c>
      <c r="N15" s="200">
        <f>(SEOG!N15*1000)/SEOG!AT15</f>
        <v>698.37389342128108</v>
      </c>
      <c r="O15" s="200">
        <f>(SEOG!O15*1000)/SEOG!AU15</f>
        <v>652.99837767683323</v>
      </c>
      <c r="P15" s="200">
        <f>(SEOG!P15*1000)/SEOG!AV15</f>
        <v>626.65763470742627</v>
      </c>
      <c r="Q15" s="200">
        <f>(SEOG!Q15*1000)/SEOG!AW15</f>
        <v>710.67275919865915</v>
      </c>
      <c r="R15" s="200">
        <f>(SEOG!R15*1000)/SEOG!AX15</f>
        <v>652.54018705246233</v>
      </c>
      <c r="S15" s="200">
        <f>(SEOG!S15*1000)/SEOG!AY15</f>
        <v>673.4572249699238</v>
      </c>
      <c r="T15" s="200">
        <f>(SEOG!T15*1000)/SEOG!AZ15</f>
        <v>637.35171769104932</v>
      </c>
      <c r="U15" s="200">
        <f>(SEOG!U15*1000)/SEOG!BA15</f>
        <v>606.99717314487634</v>
      </c>
      <c r="V15" s="200">
        <f>(SEOG!V15*1000)/SEOG!BB15</f>
        <v>637.42996245147333</v>
      </c>
      <c r="W15" s="200">
        <f>(SEOG!W15*1000)/SEOG!BC15</f>
        <v>653.55663694587463</v>
      </c>
      <c r="X15" s="200">
        <f>(SEOG!X15*1000)/SEOG!BD15</f>
        <v>630.18188410574203</v>
      </c>
      <c r="Y15" s="200">
        <f>(SEOG!Y15*1000)/SEOG!BE15</f>
        <v>670.0493052126684</v>
      </c>
      <c r="Z15" s="200">
        <f>(SEOG!Z15*1000)/SEOG!BF15</f>
        <v>628.29175132060141</v>
      </c>
      <c r="AA15" s="200">
        <f>(SEOG!AA15*1000)/SEOG!BG15</f>
        <v>589.81105069066814</v>
      </c>
      <c r="AB15" s="200">
        <f>(SEOG!AB15*1000)/SEOG!BH15</f>
        <v>630.60424791086348</v>
      </c>
      <c r="AC15" s="200">
        <f>(SEOG!AC15*1000)/SEOG!BI15</f>
        <v>649.36871191724526</v>
      </c>
      <c r="AD15" s="200">
        <f>(SEOG!AD15*1000)/SEOG!BJ15</f>
        <v>753.04580790771547</v>
      </c>
      <c r="AE15" s="200">
        <f>(SEOG!AE15*1000)/SEOG!BK15</f>
        <v>686.10991197856868</v>
      </c>
      <c r="AF15" s="200">
        <f>(SEOG!AF15*1000)/SEOG!BL15</f>
        <v>472.27597386403312</v>
      </c>
      <c r="AG15" s="200">
        <f>(SEOG!AG15*1000)/SEOG!BM15</f>
        <v>704.74181049665378</v>
      </c>
    </row>
    <row r="16" spans="1:56">
      <c r="A16" s="25" t="s">
        <v>26</v>
      </c>
      <c r="B16" s="200">
        <f>(SEOG!B16*1000)/SEOG!AH16</f>
        <v>588.02323252553572</v>
      </c>
      <c r="C16" s="200">
        <f>(SEOG!C16*1000)/SEOG!AI16</f>
        <v>620.30218384966986</v>
      </c>
      <c r="D16" s="200">
        <f>(SEOG!D16*1000)/SEOG!AJ16</f>
        <v>674.98000436268455</v>
      </c>
      <c r="E16" s="200">
        <f>(SEOG!E16*1000)/SEOG!AK16</f>
        <v>758.65027166142409</v>
      </c>
      <c r="F16" s="200">
        <f>(SEOG!F16*1000)/SEOG!AL16</f>
        <v>727.16422102085232</v>
      </c>
      <c r="G16" s="200">
        <f>(SEOG!G16*1000)/SEOG!AM16</f>
        <v>718.51992891596853</v>
      </c>
      <c r="H16" s="200">
        <f>(SEOG!H16*1000)/SEOG!AN16</f>
        <v>715.48612343925674</v>
      </c>
      <c r="I16" s="200">
        <f>(SEOG!I16*1000)/SEOG!AO16</f>
        <v>741.31787480721164</v>
      </c>
      <c r="J16" s="200">
        <f>(SEOG!J16*1000)/SEOG!AP16</f>
        <v>662.38496932515341</v>
      </c>
      <c r="K16" s="200">
        <f>(SEOG!K16*1000)/SEOG!AQ16</f>
        <v>684.58990589526104</v>
      </c>
      <c r="L16" s="200">
        <f>(SEOG!L16*1000)/SEOG!AR16</f>
        <v>727.64920333671716</v>
      </c>
      <c r="M16" s="200">
        <f>(SEOG!M16*1000)/SEOG!AS16</f>
        <v>716.58724628900325</v>
      </c>
      <c r="N16" s="200">
        <f>(SEOG!N16*1000)/SEOG!AT16</f>
        <v>705.94791357133761</v>
      </c>
      <c r="O16" s="200">
        <f>(SEOG!O16*1000)/SEOG!AU16</f>
        <v>753.32329870680519</v>
      </c>
      <c r="P16" s="200">
        <f>(SEOG!P16*1000)/SEOG!AV16</f>
        <v>853.47592067988671</v>
      </c>
      <c r="Q16" s="200">
        <f>(SEOG!Q16*1000)/SEOG!AW16</f>
        <v>958.94694408322493</v>
      </c>
      <c r="R16" s="200">
        <f>(SEOG!R16*1000)/SEOG!AX16</f>
        <v>1041.3463063063064</v>
      </c>
      <c r="S16" s="200">
        <f>(SEOG!S16*1000)/SEOG!AY16</f>
        <v>921.63412190127656</v>
      </c>
      <c r="T16" s="200">
        <f>(SEOG!T16*1000)/SEOG!AZ16</f>
        <v>913.56761694353565</v>
      </c>
      <c r="U16" s="200">
        <f>(SEOG!U16*1000)/SEOG!BA16</f>
        <v>971.79388097233868</v>
      </c>
      <c r="V16" s="200">
        <f>(SEOG!V16*1000)/SEOG!BB16</f>
        <v>930.54832867435721</v>
      </c>
      <c r="W16" s="200">
        <f>(SEOG!W16*1000)/SEOG!BC16</f>
        <v>897.53909184021848</v>
      </c>
      <c r="X16" s="200">
        <f>(SEOG!X16*1000)/SEOG!BD16</f>
        <v>887.32546658189028</v>
      </c>
      <c r="Y16" s="200">
        <f>(SEOG!Y16*1000)/SEOG!BE16</f>
        <v>937.90143340946679</v>
      </c>
      <c r="Z16" s="200">
        <f>(SEOG!Z16*1000)/SEOG!BF16</f>
        <v>866.74092985756522</v>
      </c>
      <c r="AA16" s="200">
        <f>(SEOG!AA16*1000)/SEOG!BG16</f>
        <v>846.97819202533469</v>
      </c>
      <c r="AB16" s="200">
        <f>(SEOG!AB16*1000)/SEOG!BH16</f>
        <v>780.40730228809696</v>
      </c>
      <c r="AC16" s="200">
        <f>(SEOG!AC16*1000)/SEOG!BI16</f>
        <v>685.68028683096998</v>
      </c>
      <c r="AD16" s="200">
        <f>(SEOG!AD16*1000)/SEOG!BJ16</f>
        <v>695.30905942696597</v>
      </c>
      <c r="AE16" s="200">
        <f>(SEOG!AE16*1000)/SEOG!BK16</f>
        <v>684.96648754274543</v>
      </c>
      <c r="AF16" s="200">
        <f>(SEOG!AF16*1000)/SEOG!BL16</f>
        <v>706.9014915127309</v>
      </c>
      <c r="AG16" s="200">
        <f>(SEOG!AG16*1000)/SEOG!BM16</f>
        <v>765.18437114364804</v>
      </c>
    </row>
    <row r="17" spans="1:33">
      <c r="A17" s="25" t="s">
        <v>27</v>
      </c>
      <c r="B17" s="200">
        <f>(SEOG!B17*1000)/SEOG!AH17</f>
        <v>385.396201702685</v>
      </c>
      <c r="C17" s="200">
        <f>(SEOG!C17*1000)/SEOG!AI17</f>
        <v>620.60266292922211</v>
      </c>
      <c r="D17" s="200">
        <f>(SEOG!D17*1000)/SEOG!AJ17</f>
        <v>425.81167189238391</v>
      </c>
      <c r="E17" s="200">
        <f>(SEOG!E17*1000)/SEOG!AK17</f>
        <v>445.87119715527461</v>
      </c>
      <c r="F17" s="200">
        <f>(SEOG!F17*1000)/SEOG!AL17</f>
        <v>453.3279220779221</v>
      </c>
      <c r="G17" s="200">
        <f>(SEOG!G17*1000)/SEOG!AM17</f>
        <v>460.40566824117809</v>
      </c>
      <c r="H17" s="200">
        <f>(SEOG!H17*1000)/SEOG!AN17</f>
        <v>493.2284840541721</v>
      </c>
      <c r="I17" s="200">
        <f>(SEOG!I17*1000)/SEOG!AO17</f>
        <v>516.21310847067843</v>
      </c>
      <c r="J17" s="200">
        <f>(SEOG!J17*1000)/SEOG!AP17</f>
        <v>558.29426886435806</v>
      </c>
      <c r="K17" s="200">
        <f>(SEOG!K17*1000)/SEOG!AQ17</f>
        <v>482.10865678528165</v>
      </c>
      <c r="L17" s="200">
        <f>(SEOG!L17*1000)/SEOG!AR17</f>
        <v>629.40413900819988</v>
      </c>
      <c r="M17" s="200">
        <f>(SEOG!M17*1000)/SEOG!AS17</f>
        <v>618.53219834332174</v>
      </c>
      <c r="N17" s="200">
        <f>(SEOG!N17*1000)/SEOG!AT17</f>
        <v>608.13679808841096</v>
      </c>
      <c r="O17" s="200">
        <f>(SEOG!O17*1000)/SEOG!AU17</f>
        <v>612.04611650485435</v>
      </c>
      <c r="P17" s="200">
        <f>(SEOG!P17*1000)/SEOG!AV17</f>
        <v>576.99074943990752</v>
      </c>
      <c r="Q17" s="200">
        <f>(SEOG!Q17*1000)/SEOG!AW17</f>
        <v>617.30208942139097</v>
      </c>
      <c r="R17" s="200">
        <f>(SEOG!R17*1000)/SEOG!AX17</f>
        <v>583.53187967760505</v>
      </c>
      <c r="S17" s="200">
        <f>(SEOG!S17*1000)/SEOG!AY17</f>
        <v>620.31771854174838</v>
      </c>
      <c r="T17" s="200">
        <f>(SEOG!T17*1000)/SEOG!AZ17</f>
        <v>621.06256232963233</v>
      </c>
      <c r="U17" s="200">
        <f>(SEOG!U17*1000)/SEOG!BA17</f>
        <v>602.68793810342549</v>
      </c>
      <c r="V17" s="200">
        <f>(SEOG!V17*1000)/SEOG!BB17</f>
        <v>571.03356090091245</v>
      </c>
      <c r="W17" s="200">
        <f>(SEOG!W17*1000)/SEOG!BC17</f>
        <v>570.01303822425746</v>
      </c>
      <c r="X17" s="200">
        <f>(SEOG!X17*1000)/SEOG!BD17</f>
        <v>617.25557969583247</v>
      </c>
      <c r="Y17" s="200">
        <f>(SEOG!Y17*1000)/SEOG!BE17</f>
        <v>624.9838430851064</v>
      </c>
      <c r="Z17" s="200">
        <f>(SEOG!Z17*1000)/SEOG!BF17</f>
        <v>617.57163421990674</v>
      </c>
      <c r="AA17" s="200">
        <f>(SEOG!AA17*1000)/SEOG!BG17</f>
        <v>616.42475058374021</v>
      </c>
      <c r="AB17" s="200">
        <f>(SEOG!AB17*1000)/SEOG!BH17</f>
        <v>568.27725085910652</v>
      </c>
      <c r="AC17" s="200">
        <f>(SEOG!AC17*1000)/SEOG!BI17</f>
        <v>543.04428600808944</v>
      </c>
      <c r="AD17" s="200">
        <f>(SEOG!AD17*1000)/SEOG!BJ17</f>
        <v>547.92381721515585</v>
      </c>
      <c r="AE17" s="200">
        <f>(SEOG!AE17*1000)/SEOG!BK17</f>
        <v>595.33347998240208</v>
      </c>
      <c r="AF17" s="200">
        <f>(SEOG!AF17*1000)/SEOG!BL17</f>
        <v>560.11526589027642</v>
      </c>
      <c r="AG17" s="200">
        <f>(SEOG!AG17*1000)/SEOG!BM17</f>
        <v>533.41330085921118</v>
      </c>
    </row>
    <row r="18" spans="1:33">
      <c r="A18" s="25" t="s">
        <v>28</v>
      </c>
      <c r="B18" s="200">
        <f>(SEOG!B18*1000)/SEOG!AH18</f>
        <v>478.28591176131783</v>
      </c>
      <c r="C18" s="200">
        <f>(SEOG!C18*1000)/SEOG!AI18</f>
        <v>639.74257945889156</v>
      </c>
      <c r="D18" s="200">
        <f>(SEOG!D18*1000)/SEOG!AJ18</f>
        <v>526.42543859649118</v>
      </c>
      <c r="E18" s="200">
        <f>(SEOG!E18*1000)/SEOG!AK18</f>
        <v>557.05212439772231</v>
      </c>
      <c r="F18" s="200">
        <f>(SEOG!F18*1000)/SEOG!AL18</f>
        <v>565.28073517875157</v>
      </c>
      <c r="G18" s="200">
        <f>(SEOG!G18*1000)/SEOG!AM18</f>
        <v>552.48786407766988</v>
      </c>
      <c r="H18" s="200">
        <f>(SEOG!H18*1000)/SEOG!AN18</f>
        <v>557.70132183369265</v>
      </c>
      <c r="I18" s="200">
        <f>(SEOG!I18*1000)/SEOG!AO18</f>
        <v>557.93697396750827</v>
      </c>
      <c r="J18" s="200">
        <f>(SEOG!J18*1000)/SEOG!AP18</f>
        <v>616.2157413914266</v>
      </c>
      <c r="K18" s="200">
        <f>(SEOG!K18*1000)/SEOG!AQ18</f>
        <v>613.43050699300704</v>
      </c>
      <c r="L18" s="200">
        <f>(SEOG!L18*1000)/SEOG!AR18</f>
        <v>598.98847362906042</v>
      </c>
      <c r="M18" s="200">
        <f>(SEOG!M18*1000)/SEOG!AS18</f>
        <v>617.49695264885133</v>
      </c>
      <c r="N18" s="200">
        <f>(SEOG!N18*1000)/SEOG!AT18</f>
        <v>637.2486208438944</v>
      </c>
      <c r="O18" s="200">
        <f>(SEOG!O18*1000)/SEOG!AU18</f>
        <v>677.97988893891636</v>
      </c>
      <c r="P18" s="200">
        <f>(SEOG!P18*1000)/SEOG!AV18</f>
        <v>659.96017997750278</v>
      </c>
      <c r="Q18" s="200">
        <f>(SEOG!Q18*1000)/SEOG!AW18</f>
        <v>711.34143434209659</v>
      </c>
      <c r="R18" s="200">
        <f>(SEOG!R18*1000)/SEOG!AX18</f>
        <v>735.24016403947201</v>
      </c>
      <c r="S18" s="200">
        <f>(SEOG!S18*1000)/SEOG!AY18</f>
        <v>755.02808394046951</v>
      </c>
      <c r="T18" s="200">
        <f>(SEOG!T18*1000)/SEOG!AZ18</f>
        <v>761.81748530023162</v>
      </c>
      <c r="U18" s="200">
        <f>(SEOG!U18*1000)/SEOG!BA18</f>
        <v>728.58467533956104</v>
      </c>
      <c r="V18" s="200">
        <f>(SEOG!V18*1000)/SEOG!BB18</f>
        <v>750.84751445086704</v>
      </c>
      <c r="W18" s="200">
        <f>(SEOG!W18*1000)/SEOG!BC18</f>
        <v>803.63147097864123</v>
      </c>
      <c r="X18" s="200">
        <f>(SEOG!X18*1000)/SEOG!BD18</f>
        <v>874.54026612852363</v>
      </c>
      <c r="Y18" s="200">
        <f>(SEOG!Y18*1000)/SEOG!BE18</f>
        <v>846.16673225764134</v>
      </c>
      <c r="Z18" s="200">
        <f>(SEOG!Z18*1000)/SEOG!BF18</f>
        <v>858.43841614315625</v>
      </c>
      <c r="AA18" s="200">
        <f>(SEOG!AA18*1000)/SEOG!BG18</f>
        <v>889.63601939812656</v>
      </c>
      <c r="AB18" s="200">
        <f>(SEOG!AB18*1000)/SEOG!BH18</f>
        <v>843.39392684610073</v>
      </c>
      <c r="AC18" s="200">
        <f>(SEOG!AC18*1000)/SEOG!BI18</f>
        <v>814.83130647462463</v>
      </c>
      <c r="AD18" s="200">
        <f>(SEOG!AD18*1000)/SEOG!BJ18</f>
        <v>839.25837353549275</v>
      </c>
      <c r="AE18" s="200">
        <f>(SEOG!AE18*1000)/SEOG!BK18</f>
        <v>813.17047639393297</v>
      </c>
      <c r="AF18" s="200">
        <f>(SEOG!AF18*1000)/SEOG!BL18</f>
        <v>797.09243641231592</v>
      </c>
      <c r="AG18" s="200">
        <f>(SEOG!AG18*1000)/SEOG!BM18</f>
        <v>842.45189504373172</v>
      </c>
    </row>
    <row r="19" spans="1:33">
      <c r="A19" s="25" t="s">
        <v>29</v>
      </c>
      <c r="B19" s="200">
        <f>(SEOG!B19*1000)/SEOG!AH19</f>
        <v>523.17938830952585</v>
      </c>
      <c r="C19" s="200">
        <f>(SEOG!C19*1000)/SEOG!AI19</f>
        <v>621.50673781315004</v>
      </c>
      <c r="D19" s="200">
        <f>(SEOG!D19*1000)/SEOG!AJ19</f>
        <v>636.77924986004848</v>
      </c>
      <c r="E19" s="200">
        <f>(SEOG!E19*1000)/SEOG!AK19</f>
        <v>618.92515076268182</v>
      </c>
      <c r="F19" s="200">
        <f>(SEOG!F19*1000)/SEOG!AL19</f>
        <v>584.1830590124448</v>
      </c>
      <c r="G19" s="200">
        <f>(SEOG!G19*1000)/SEOG!AM19</f>
        <v>578.09760374050268</v>
      </c>
      <c r="H19" s="200">
        <f>(SEOG!H19*1000)/SEOG!AN19</f>
        <v>592.86097691894793</v>
      </c>
      <c r="I19" s="200">
        <f>(SEOG!I19*1000)/SEOG!AO19</f>
        <v>595.58656682550486</v>
      </c>
      <c r="J19" s="200">
        <f>(SEOG!J19*1000)/SEOG!AP19</f>
        <v>652.45848434034724</v>
      </c>
      <c r="K19" s="200">
        <f>(SEOG!K19*1000)/SEOG!AQ19</f>
        <v>654.7591899845379</v>
      </c>
      <c r="L19" s="200">
        <f>(SEOG!L19*1000)/SEOG!AR19</f>
        <v>748.26189252469874</v>
      </c>
      <c r="M19" s="200">
        <f>(SEOG!M19*1000)/SEOG!AS19</f>
        <v>714.22874448724406</v>
      </c>
      <c r="N19" s="200">
        <f>(SEOG!N19*1000)/SEOG!AT19</f>
        <v>681.68959868959871</v>
      </c>
      <c r="O19" s="200">
        <f>(SEOG!O19*1000)/SEOG!AU19</f>
        <v>706.06587692967412</v>
      </c>
      <c r="P19" s="200">
        <f>(SEOG!P19*1000)/SEOG!AV19</f>
        <v>673.445955165692</v>
      </c>
      <c r="Q19" s="200">
        <f>(SEOG!Q19*1000)/SEOG!AW19</f>
        <v>714.70258785332317</v>
      </c>
      <c r="R19" s="200">
        <f>(SEOG!R19*1000)/SEOG!AX19</f>
        <v>683.92243627877178</v>
      </c>
      <c r="S19" s="200">
        <f>(SEOG!S19*1000)/SEOG!AY19</f>
        <v>700.49554613854536</v>
      </c>
      <c r="T19" s="200">
        <f>(SEOG!T19*1000)/SEOG!AZ19</f>
        <v>719.33782842152721</v>
      </c>
      <c r="U19" s="200">
        <f>(SEOG!U19*1000)/SEOG!BA19</f>
        <v>753.54121294014783</v>
      </c>
      <c r="V19" s="200">
        <f>(SEOG!V19*1000)/SEOG!BB19</f>
        <v>705.35473581507051</v>
      </c>
      <c r="W19" s="200">
        <f>(SEOG!W19*1000)/SEOG!BC19</f>
        <v>684.83927040299318</v>
      </c>
      <c r="X19" s="200">
        <f>(SEOG!X19*1000)/SEOG!BD19</f>
        <v>673.85761795124802</v>
      </c>
      <c r="Y19" s="200">
        <f>(SEOG!Y19*1000)/SEOG!BE19</f>
        <v>670.68602337277036</v>
      </c>
      <c r="Z19" s="200">
        <f>(SEOG!Z19*1000)/SEOG!BF19</f>
        <v>649.76496550700983</v>
      </c>
      <c r="AA19" s="200">
        <f>(SEOG!AA19*1000)/SEOG!BG19</f>
        <v>618.5395081443628</v>
      </c>
      <c r="AB19" s="200">
        <f>(SEOG!AB19*1000)/SEOG!BH19</f>
        <v>563.53890421221104</v>
      </c>
      <c r="AC19" s="200">
        <f>(SEOG!AC19*1000)/SEOG!BI19</f>
        <v>555.45473149389602</v>
      </c>
      <c r="AD19" s="200">
        <f>(SEOG!AD19*1000)/SEOG!BJ19</f>
        <v>644.45302157654942</v>
      </c>
      <c r="AE19" s="200">
        <f>(SEOG!AE19*1000)/SEOG!BK19</f>
        <v>637.06902014030322</v>
      </c>
      <c r="AF19" s="200">
        <f>(SEOG!AF19*1000)/SEOG!BL19</f>
        <v>696.92723388782838</v>
      </c>
      <c r="AG19" s="200">
        <f>(SEOG!AG19*1000)/SEOG!BM19</f>
        <v>723.77640433350837</v>
      </c>
    </row>
    <row r="20" spans="1:33">
      <c r="A20" s="25" t="s">
        <v>30</v>
      </c>
      <c r="B20" s="200">
        <f>(SEOG!B20*1000)/SEOG!AH20</f>
        <v>506.75286048134996</v>
      </c>
      <c r="C20" s="200">
        <f>(SEOG!C20*1000)/SEOG!AI20</f>
        <v>624.96443137626864</v>
      </c>
      <c r="D20" s="200">
        <f>(SEOG!D20*1000)/SEOG!AJ20</f>
        <v>620.97246631517282</v>
      </c>
      <c r="E20" s="200">
        <f>(SEOG!E20*1000)/SEOG!AK20</f>
        <v>581.635764820688</v>
      </c>
      <c r="F20" s="200">
        <f>(SEOG!F20*1000)/SEOG!AL20</f>
        <v>635.85487015028616</v>
      </c>
      <c r="G20" s="200">
        <f>(SEOG!G20*1000)/SEOG!AM20</f>
        <v>625.70009815809226</v>
      </c>
      <c r="H20" s="200">
        <f>(SEOG!H20*1000)/SEOG!AN20</f>
        <v>641.28954963785873</v>
      </c>
      <c r="I20" s="200">
        <f>(SEOG!I20*1000)/SEOG!AO20</f>
        <v>633.89236785911373</v>
      </c>
      <c r="J20" s="200">
        <f>(SEOG!J20*1000)/SEOG!AP20</f>
        <v>627.38982761198815</v>
      </c>
      <c r="K20" s="200">
        <f>(SEOG!K20*1000)/SEOG!AQ20</f>
        <v>624.85939465699698</v>
      </c>
      <c r="L20" s="200">
        <f>(SEOG!L20*1000)/SEOG!AR20</f>
        <v>598.7984774084149</v>
      </c>
      <c r="M20" s="200">
        <f>(SEOG!M20*1000)/SEOG!AS20</f>
        <v>620.33562087498467</v>
      </c>
      <c r="N20" s="200">
        <f>(SEOG!N20*1000)/SEOG!AT20</f>
        <v>641.49380509474565</v>
      </c>
      <c r="O20" s="200">
        <f>(SEOG!O20*1000)/SEOG!AU20</f>
        <v>689.53955432244015</v>
      </c>
      <c r="P20" s="200">
        <f>(SEOG!P20*1000)/SEOG!AV20</f>
        <v>680.42648870316373</v>
      </c>
      <c r="Q20" s="200">
        <f>(SEOG!Q20*1000)/SEOG!AW20</f>
        <v>690.76263779592239</v>
      </c>
      <c r="R20" s="200">
        <f>(SEOG!R20*1000)/SEOG!AX20</f>
        <v>719.40041535811974</v>
      </c>
      <c r="S20" s="200">
        <f>(SEOG!S20*1000)/SEOG!AY20</f>
        <v>707.62534818941504</v>
      </c>
      <c r="T20" s="200">
        <f>(SEOG!T20*1000)/SEOG!AZ20</f>
        <v>719.15229198048678</v>
      </c>
      <c r="U20" s="200">
        <f>(SEOG!U20*1000)/SEOG!BA20</f>
        <v>741.67323145651164</v>
      </c>
      <c r="V20" s="200">
        <f>(SEOG!V20*1000)/SEOG!BB20</f>
        <v>772.48302338402789</v>
      </c>
      <c r="W20" s="200">
        <f>(SEOG!W20*1000)/SEOG!BC20</f>
        <v>757.67473018235955</v>
      </c>
      <c r="X20" s="200">
        <f>(SEOG!X20*1000)/SEOG!BD20</f>
        <v>779.79739969996535</v>
      </c>
      <c r="Y20" s="200">
        <f>(SEOG!Y20*1000)/SEOG!BE20</f>
        <v>740.92958287868271</v>
      </c>
      <c r="Z20" s="200">
        <f>(SEOG!Z20*1000)/SEOG!BF20</f>
        <v>693.03954325637767</v>
      </c>
      <c r="AA20" s="200">
        <f>(SEOG!AA20*1000)/SEOG!BG20</f>
        <v>659.08003790127407</v>
      </c>
      <c r="AB20" s="200">
        <f>(SEOG!AB20*1000)/SEOG!BH20</f>
        <v>635.58164991185856</v>
      </c>
      <c r="AC20" s="200">
        <f>(SEOG!AC20*1000)/SEOG!BI20</f>
        <v>616.9620723167784</v>
      </c>
      <c r="AD20" s="200">
        <f>(SEOG!AD20*1000)/SEOG!BJ20</f>
        <v>659.09267533170862</v>
      </c>
      <c r="AE20" s="200">
        <f>(SEOG!AE20*1000)/SEOG!BK20</f>
        <v>649.72884257022565</v>
      </c>
      <c r="AF20" s="200">
        <f>(SEOG!AF20*1000)/SEOG!BL20</f>
        <v>668.38290040283368</v>
      </c>
      <c r="AG20" s="200">
        <f>(SEOG!AG20*1000)/SEOG!BM20</f>
        <v>741.4238764835751</v>
      </c>
    </row>
    <row r="21" spans="1:33">
      <c r="A21" s="25" t="s">
        <v>31</v>
      </c>
      <c r="B21" s="200">
        <f>(SEOG!B21*1000)/SEOG!AH21</f>
        <v>564.14150437734497</v>
      </c>
      <c r="C21" s="200">
        <f>(SEOG!C21*1000)/SEOG!AI21</f>
        <v>622.60458289162523</v>
      </c>
      <c r="D21" s="200">
        <f>(SEOG!D21*1000)/SEOG!AJ21</f>
        <v>708.92279241793801</v>
      </c>
      <c r="E21" s="200">
        <f>(SEOG!E21*1000)/SEOG!AK21</f>
        <v>730.81772334293953</v>
      </c>
      <c r="F21" s="200">
        <f>(SEOG!F21*1000)/SEOG!AL21</f>
        <v>742.8888067971925</v>
      </c>
      <c r="G21" s="200">
        <f>(SEOG!G21*1000)/SEOG!AM21</f>
        <v>714.11290322580646</v>
      </c>
      <c r="H21" s="200">
        <f>(SEOG!H21*1000)/SEOG!AN21</f>
        <v>741.01773323053203</v>
      </c>
      <c r="I21" s="200">
        <f>(SEOG!I21*1000)/SEOG!AO21</f>
        <v>696.98626807631547</v>
      </c>
      <c r="J21" s="200">
        <f>(SEOG!J21*1000)/SEOG!AP21</f>
        <v>646.6637465323405</v>
      </c>
      <c r="K21" s="200">
        <f>(SEOG!K21*1000)/SEOG!AQ21</f>
        <v>673.44227183630539</v>
      </c>
      <c r="L21" s="200">
        <f>(SEOG!L21*1000)/SEOG!AR21</f>
        <v>685.96331062086051</v>
      </c>
      <c r="M21" s="200">
        <f>(SEOG!M21*1000)/SEOG!AS21</f>
        <v>635.85059459932984</v>
      </c>
      <c r="N21" s="200">
        <f>(SEOG!N21*1000)/SEOG!AT21</f>
        <v>593.22614898273491</v>
      </c>
      <c r="O21" s="200">
        <f>(SEOG!O21*1000)/SEOG!AU21</f>
        <v>661.71425651089578</v>
      </c>
      <c r="P21" s="200">
        <f>(SEOG!P21*1000)/SEOG!AV21</f>
        <v>628.76132575757572</v>
      </c>
      <c r="Q21" s="200">
        <f>(SEOG!Q21*1000)/SEOG!AW21</f>
        <v>588.97965909847528</v>
      </c>
      <c r="R21" s="200">
        <f>(SEOG!R21*1000)/SEOG!AX21</f>
        <v>616.8917287253272</v>
      </c>
      <c r="S21" s="200">
        <f>(SEOG!S21*1000)/SEOG!AY21</f>
        <v>673.83099532398126</v>
      </c>
      <c r="T21" s="200">
        <f>(SEOG!T21*1000)/SEOG!AZ21</f>
        <v>647.33873793411431</v>
      </c>
      <c r="U21" s="200">
        <f>(SEOG!U21*1000)/SEOG!BA21</f>
        <v>644.70695148914035</v>
      </c>
      <c r="V21" s="200">
        <f>(SEOG!V21*1000)/SEOG!BB21</f>
        <v>622.38156367134377</v>
      </c>
      <c r="W21" s="200">
        <f>(SEOG!W21*1000)/SEOG!BC21</f>
        <v>618.42446941323351</v>
      </c>
      <c r="X21" s="200">
        <f>(SEOG!X21*1000)/SEOG!BD21</f>
        <v>618.49478811193148</v>
      </c>
      <c r="Y21" s="200">
        <f>(SEOG!Y21*1000)/SEOG!BE21</f>
        <v>626.28206530480941</v>
      </c>
      <c r="Z21" s="200">
        <f>(SEOG!Z21*1000)/SEOG!BF21</f>
        <v>609.22749264775643</v>
      </c>
      <c r="AA21" s="200">
        <f>(SEOG!AA21*1000)/SEOG!BG21</f>
        <v>539.4144554351808</v>
      </c>
      <c r="AB21" s="200">
        <f>(SEOG!AB21*1000)/SEOG!BH21</f>
        <v>502.57416353096716</v>
      </c>
      <c r="AC21" s="200">
        <f>(SEOG!AC21*1000)/SEOG!BI21</f>
        <v>524.58200476452259</v>
      </c>
      <c r="AD21" s="200">
        <f>(SEOG!AD21*1000)/SEOG!BJ21</f>
        <v>554.91119742477849</v>
      </c>
      <c r="AE21" s="200">
        <f>(SEOG!AE21*1000)/SEOG!BK21</f>
        <v>541.91732627249939</v>
      </c>
      <c r="AF21" s="200">
        <f>(SEOG!AF21*1000)/SEOG!BL21</f>
        <v>523.84107349537032</v>
      </c>
      <c r="AG21" s="200">
        <f>(SEOG!AG21*1000)/SEOG!BM21</f>
        <v>501.86568393863143</v>
      </c>
    </row>
    <row r="22" spans="1:33">
      <c r="A22" s="171" t="s">
        <v>32</v>
      </c>
      <c r="B22" s="200">
        <f>(SEOG!B22*1000)/SEOG!AH22</f>
        <v>497.38219895287961</v>
      </c>
      <c r="C22" s="200">
        <f>(SEOG!C22*1000)/SEOG!AI22</f>
        <v>620.10712814173883</v>
      </c>
      <c r="D22" s="200">
        <f>(SEOG!D22*1000)/SEOG!AJ22</f>
        <v>574.65618860510801</v>
      </c>
      <c r="E22" s="200">
        <f>(SEOG!E22*1000)/SEOG!AK22</f>
        <v>691.61810847153743</v>
      </c>
      <c r="F22" s="200">
        <f>(SEOG!F22*1000)/SEOG!AL22</f>
        <v>703.36650434046157</v>
      </c>
      <c r="G22" s="200">
        <f>(SEOG!G22*1000)/SEOG!AM22</f>
        <v>735.22458628841605</v>
      </c>
      <c r="H22" s="200">
        <f>(SEOG!H22*1000)/SEOG!AN22</f>
        <v>776.31578947368416</v>
      </c>
      <c r="I22" s="200">
        <f>(SEOG!I22*1000)/SEOG!AO22</f>
        <v>768.84337753902969</v>
      </c>
      <c r="J22" s="200">
        <f>(SEOG!J22*1000)/SEOG!AP22</f>
        <v>708.98735935546608</v>
      </c>
      <c r="K22" s="200">
        <f>(SEOG!K22*1000)/SEOG!AQ22</f>
        <v>780.80115036976167</v>
      </c>
      <c r="L22" s="200">
        <f>(SEOG!L22*1000)/SEOG!AR22</f>
        <v>819.07505773672051</v>
      </c>
      <c r="M22" s="200">
        <f>(SEOG!M22*1000)/SEOG!AS22</f>
        <v>821.04725750372529</v>
      </c>
      <c r="N22" s="200">
        <f>(SEOG!N22*1000)/SEOG!AT22</f>
        <v>822.95422191207263</v>
      </c>
      <c r="O22" s="200">
        <f>(SEOG!O22*1000)/SEOG!AU22</f>
        <v>844.49431009957323</v>
      </c>
      <c r="P22" s="200">
        <f>(SEOG!P22*1000)/SEOG!AV22</f>
        <v>805.83814206236252</v>
      </c>
      <c r="Q22" s="200">
        <f>(SEOG!Q22*1000)/SEOG!AW22</f>
        <v>852.54102564102561</v>
      </c>
      <c r="R22" s="200">
        <f>(SEOG!R22*1000)/SEOG!AX22</f>
        <v>864.58601919495777</v>
      </c>
      <c r="S22" s="200">
        <f>(SEOG!S22*1000)/SEOG!AY22</f>
        <v>815.69784079084286</v>
      </c>
      <c r="T22" s="200">
        <f>(SEOG!T22*1000)/SEOG!AZ22</f>
        <v>883.67010848255131</v>
      </c>
      <c r="U22" s="200">
        <f>(SEOG!U22*1000)/SEOG!BA22</f>
        <v>896.12516314278253</v>
      </c>
      <c r="V22" s="200">
        <f>(SEOG!V22*1000)/SEOG!BB22</f>
        <v>903.57829725063084</v>
      </c>
      <c r="W22" s="200">
        <f>(SEOG!W22*1000)/SEOG!BC22</f>
        <v>862.72035266360365</v>
      </c>
      <c r="X22" s="200">
        <f>(SEOG!X22*1000)/SEOG!BD22</f>
        <v>834.20948519474132</v>
      </c>
      <c r="Y22" s="200">
        <f>(SEOG!Y22*1000)/SEOG!BE22</f>
        <v>769.64888543861593</v>
      </c>
      <c r="Z22" s="200">
        <f>(SEOG!Z22*1000)/SEOG!BF22</f>
        <v>879.26664370982553</v>
      </c>
      <c r="AA22" s="200">
        <f>(SEOG!AA22*1000)/SEOG!BG22</f>
        <v>737.48796378091868</v>
      </c>
      <c r="AB22" s="200">
        <f>(SEOG!AB22*1000)/SEOG!BH22</f>
        <v>768.14160780356542</v>
      </c>
      <c r="AC22" s="200">
        <f>(SEOG!AC22*1000)/SEOG!BI22</f>
        <v>779.0263783539001</v>
      </c>
      <c r="AD22" s="200">
        <f>(SEOG!AD22*1000)/SEOG!BJ22</f>
        <v>825.98514851485152</v>
      </c>
      <c r="AE22" s="200">
        <f>(SEOG!AE22*1000)/SEOG!BK22</f>
        <v>797.63261351052051</v>
      </c>
      <c r="AF22" s="200">
        <f>(SEOG!AF22*1000)/SEOG!BL22</f>
        <v>766.62837397313865</v>
      </c>
      <c r="AG22" s="200">
        <f>(SEOG!AG22*1000)/SEOG!BM22</f>
        <v>794.95731625983728</v>
      </c>
    </row>
    <row r="23" spans="1:33">
      <c r="A23" s="40" t="s">
        <v>217</v>
      </c>
      <c r="B23" s="202"/>
      <c r="C23" s="202"/>
      <c r="D23" s="202"/>
      <c r="E23" s="202"/>
      <c r="F23" s="202"/>
      <c r="G23" s="202"/>
      <c r="H23" s="202"/>
      <c r="I23" s="202"/>
      <c r="J23" s="202"/>
      <c r="K23" s="202"/>
      <c r="L23" s="202"/>
      <c r="M23" s="202"/>
      <c r="N23" s="202"/>
      <c r="O23" s="202"/>
      <c r="P23" s="202">
        <f>(SEOG!P23*1000)/SEOG!AV23</f>
        <v>663.4475669984206</v>
      </c>
      <c r="Q23" s="202">
        <f>(SEOG!Q23*1000)/SEOG!AW23</f>
        <v>677.25816077062916</v>
      </c>
      <c r="R23" s="202">
        <f>(SEOG!R23*1000)/SEOG!AX23</f>
        <v>694.42675987644259</v>
      </c>
      <c r="S23" s="202">
        <f>(SEOG!S23*1000)/SEOG!AY23</f>
        <v>704.20336370675614</v>
      </c>
      <c r="T23" s="202">
        <f>(SEOG!T23*1000)/SEOG!AZ23</f>
        <v>681.46206806734233</v>
      </c>
      <c r="U23" s="202">
        <f>(SEOG!U23*1000)/SEOG!BA23</f>
        <v>686.39383891804027</v>
      </c>
      <c r="V23" s="202">
        <f>(SEOG!V23*1000)/SEOG!BB23</f>
        <v>678.1663457742626</v>
      </c>
      <c r="W23" s="202">
        <f>(SEOG!W23*1000)/SEOG!BC23</f>
        <v>688.59712188080323</v>
      </c>
      <c r="X23" s="202">
        <f>(SEOG!X23*1000)/SEOG!BD23</f>
        <v>688.10128871187032</v>
      </c>
      <c r="Y23" s="202">
        <f>(SEOG!Y23*1000)/SEOG!BE23</f>
        <v>661.54360302806015</v>
      </c>
      <c r="Z23" s="202">
        <f>(SEOG!Z23*1000)/SEOG!BF23</f>
        <v>650.27736589908636</v>
      </c>
      <c r="AA23" s="202">
        <f>(SEOG!AA23*1000)/SEOG!BG23</f>
        <v>595.46238996986926</v>
      </c>
      <c r="AB23" s="202">
        <f>(SEOG!AB23*1000)/SEOG!BH23</f>
        <v>541.50726414363351</v>
      </c>
      <c r="AC23" s="202">
        <f>(SEOG!AC23*1000)/SEOG!BI23</f>
        <v>498.58127971821176</v>
      </c>
      <c r="AD23" s="202">
        <f>(SEOG!AD23*1000)/SEOG!BJ23</f>
        <v>524.67492309930594</v>
      </c>
      <c r="AE23" s="202">
        <f>(SEOG!AE23*1000)/SEOG!BK23</f>
        <v>539.66403555594889</v>
      </c>
      <c r="AF23" s="202">
        <f>(SEOG!AF23*1000)/SEOG!BL23</f>
        <v>540.84329641515239</v>
      </c>
      <c r="AG23" s="202">
        <f>(SEOG!AG23*1000)/SEOG!BM23</f>
        <v>570.01758178723799</v>
      </c>
    </row>
    <row r="24" spans="1:33">
      <c r="A24" s="173" t="s">
        <v>215</v>
      </c>
      <c r="B24" s="197"/>
      <c r="C24" s="197"/>
      <c r="D24" s="197"/>
      <c r="E24" s="197"/>
      <c r="F24" s="197"/>
      <c r="G24" s="197"/>
      <c r="H24" s="197"/>
      <c r="I24" s="197"/>
      <c r="J24" s="197"/>
      <c r="K24" s="197"/>
      <c r="L24" s="197"/>
      <c r="M24" s="197"/>
      <c r="N24" s="197"/>
      <c r="O24" s="197"/>
      <c r="P24" s="197">
        <f t="shared" ref="P24" si="5">(P23/P4)*100</f>
        <v>88.581491982148947</v>
      </c>
      <c r="Q24" s="197">
        <f t="shared" ref="Q24:AC24" si="6">(Q23/Q4)*100</f>
        <v>88.829636447852238</v>
      </c>
      <c r="R24" s="197">
        <f t="shared" si="6"/>
        <v>87.542794646769366</v>
      </c>
      <c r="S24" s="197">
        <f t="shared" si="6"/>
        <v>88.023789039331021</v>
      </c>
      <c r="T24" s="197">
        <f t="shared" si="6"/>
        <v>86.950459825119651</v>
      </c>
      <c r="U24" s="197">
        <f t="shared" si="6"/>
        <v>87.344081058807205</v>
      </c>
      <c r="V24" s="197">
        <f t="shared" si="6"/>
        <v>87.188330294281428</v>
      </c>
      <c r="W24" s="197">
        <f t="shared" si="6"/>
        <v>87.787439399460482</v>
      </c>
      <c r="X24" s="197">
        <f t="shared" si="6"/>
        <v>88.106485078941319</v>
      </c>
      <c r="Y24" s="197">
        <f t="shared" si="6"/>
        <v>87.742435441483849</v>
      </c>
      <c r="Z24" s="197">
        <f t="shared" si="6"/>
        <v>88.603187720024508</v>
      </c>
      <c r="AA24" s="197">
        <f t="shared" si="6"/>
        <v>87.091952901345337</v>
      </c>
      <c r="AB24" s="197">
        <f t="shared" si="6"/>
        <v>85.680529808436134</v>
      </c>
      <c r="AC24" s="197">
        <f t="shared" si="6"/>
        <v>83.253818943840812</v>
      </c>
      <c r="AD24" s="197">
        <f t="shared" ref="AD24:AE24" si="7">(AD23/AD4)*100</f>
        <v>86.091610238734816</v>
      </c>
      <c r="AE24" s="197">
        <f t="shared" si="7"/>
        <v>88.612373147385753</v>
      </c>
      <c r="AF24" s="197">
        <f t="shared" ref="AF24:AG24" si="8">(AF23/AF4)*100</f>
        <v>87.505310275221788</v>
      </c>
      <c r="AG24" s="197">
        <f t="shared" si="8"/>
        <v>86.07313892128073</v>
      </c>
    </row>
    <row r="25" spans="1:33">
      <c r="A25" s="39" t="s">
        <v>142</v>
      </c>
      <c r="B25" s="200"/>
      <c r="C25" s="200"/>
      <c r="D25" s="200"/>
      <c r="E25" s="200"/>
      <c r="F25" s="200"/>
      <c r="G25" s="200"/>
      <c r="H25" s="200"/>
      <c r="I25" s="200"/>
      <c r="J25" s="200"/>
      <c r="K25" s="200"/>
      <c r="L25" s="200"/>
      <c r="M25" s="200"/>
      <c r="N25" s="200"/>
      <c r="O25" s="200"/>
      <c r="P25" s="200">
        <f>(SEOG!P25*1000)/SEOG!AV25</f>
        <v>746.7813008130081</v>
      </c>
      <c r="Q25" s="200">
        <f>(SEOG!Q25*1000)/SEOG!AW25</f>
        <v>541.5894955079475</v>
      </c>
      <c r="R25" s="200">
        <f>(SEOG!R25*1000)/SEOG!AX25</f>
        <v>607.87311968606934</v>
      </c>
      <c r="S25" s="200">
        <f>(SEOG!S25*1000)/SEOG!AY25</f>
        <v>544.61553211888781</v>
      </c>
      <c r="T25" s="200">
        <f>(SEOG!T25*1000)/SEOG!AZ25</f>
        <v>595.5545454545454</v>
      </c>
      <c r="U25" s="200">
        <f>(SEOG!U25*1000)/SEOG!BA25</f>
        <v>604.74019329164298</v>
      </c>
      <c r="V25" s="200">
        <f>(SEOG!V25*1000)/SEOG!BB25</f>
        <v>595.43181818181813</v>
      </c>
      <c r="W25" s="200">
        <f>(SEOG!W25*1000)/SEOG!BC25</f>
        <v>630.21015424164523</v>
      </c>
      <c r="X25" s="200">
        <f>(SEOG!X25*1000)/SEOG!BD25</f>
        <v>605.61691542288554</v>
      </c>
      <c r="Y25" s="200">
        <f>(SEOG!Y25*1000)/SEOG!BE25</f>
        <v>816.87345454545459</v>
      </c>
      <c r="Z25" s="200">
        <f>(SEOG!Z25*1000)/SEOG!BF25</f>
        <v>616.23882503192851</v>
      </c>
      <c r="AA25" s="200">
        <f>(SEOG!AA25*1000)/SEOG!BG25</f>
        <v>341.14844804318489</v>
      </c>
      <c r="AB25" s="200">
        <f>(SEOG!AB25*1000)/SEOG!BH25</f>
        <v>461.57531091662827</v>
      </c>
      <c r="AC25" s="200">
        <f>(SEOG!AC25*1000)/SEOG!BI25</f>
        <v>371.19760101010098</v>
      </c>
      <c r="AD25" s="200">
        <f>(SEOG!AD25*1000)/SEOG!BJ25</f>
        <v>469.36567656765675</v>
      </c>
      <c r="AE25" s="200">
        <f>(SEOG!AE25*1000)/SEOG!BK25</f>
        <v>322.10762942779292</v>
      </c>
      <c r="AF25" s="200">
        <f>(SEOG!AF25*1000)/SEOG!BL25</f>
        <v>738.62448304383793</v>
      </c>
      <c r="AG25" s="200">
        <f>(SEOG!AG25*1000)/SEOG!BM25</f>
        <v>852.95374264087468</v>
      </c>
    </row>
    <row r="26" spans="1:33">
      <c r="A26" s="39" t="s">
        <v>143</v>
      </c>
      <c r="B26" s="200"/>
      <c r="C26" s="200"/>
      <c r="D26" s="200"/>
      <c r="E26" s="200"/>
      <c r="F26" s="200"/>
      <c r="G26" s="200"/>
      <c r="H26" s="200"/>
      <c r="I26" s="200"/>
      <c r="J26" s="200"/>
      <c r="K26" s="200"/>
      <c r="L26" s="200"/>
      <c r="M26" s="200"/>
      <c r="N26" s="200"/>
      <c r="O26" s="200"/>
      <c r="P26" s="200">
        <f>(SEOG!P26*1000)/SEOG!AV26</f>
        <v>641.16738434360161</v>
      </c>
      <c r="Q26" s="200">
        <f>(SEOG!Q26*1000)/SEOG!AW26</f>
        <v>660.12230454495193</v>
      </c>
      <c r="R26" s="200">
        <f>(SEOG!R26*1000)/SEOG!AX26</f>
        <v>626.82525846340968</v>
      </c>
      <c r="S26" s="200">
        <f>(SEOG!S26*1000)/SEOG!AY26</f>
        <v>596.95855448017483</v>
      </c>
      <c r="T26" s="200">
        <f>(SEOG!T26*1000)/SEOG!AZ26</f>
        <v>617.68576745628661</v>
      </c>
      <c r="U26" s="200">
        <f>(SEOG!U26*1000)/SEOG!BA26</f>
        <v>629.99435424483636</v>
      </c>
      <c r="V26" s="200">
        <f>(SEOG!V26*1000)/SEOG!BB26</f>
        <v>659.79194164640501</v>
      </c>
      <c r="W26" s="200">
        <f>(SEOG!W26*1000)/SEOG!BC26</f>
        <v>733.77285854939282</v>
      </c>
      <c r="X26" s="200">
        <f>(SEOG!X26*1000)/SEOG!BD26</f>
        <v>705.92216331487134</v>
      </c>
      <c r="Y26" s="200">
        <f>(SEOG!Y26*1000)/SEOG!BE26</f>
        <v>770.48898859363646</v>
      </c>
      <c r="Z26" s="200">
        <f>(SEOG!Z26*1000)/SEOG!BF26</f>
        <v>781.25332896031489</v>
      </c>
      <c r="AA26" s="200">
        <f>(SEOG!AA26*1000)/SEOG!BG26</f>
        <v>732.03356939207208</v>
      </c>
      <c r="AB26" s="200">
        <f>(SEOG!AB26*1000)/SEOG!BH26</f>
        <v>555.79641384329261</v>
      </c>
      <c r="AC26" s="200">
        <f>(SEOG!AC26*1000)/SEOG!BI26</f>
        <v>457.34207123753521</v>
      </c>
      <c r="AD26" s="200">
        <f>(SEOG!AD26*1000)/SEOG!BJ26</f>
        <v>503.68152333124084</v>
      </c>
      <c r="AE26" s="200">
        <f>(SEOG!AE26*1000)/SEOG!BK26</f>
        <v>507.0338193600648</v>
      </c>
      <c r="AF26" s="200">
        <f>(SEOG!AF26*1000)/SEOG!BL26</f>
        <v>547.21275002674088</v>
      </c>
      <c r="AG26" s="200">
        <f>(SEOG!AG26*1000)/SEOG!BM26</f>
        <v>576.70513974751418</v>
      </c>
    </row>
    <row r="27" spans="1:33">
      <c r="A27" s="39" t="s">
        <v>144</v>
      </c>
      <c r="B27" s="200"/>
      <c r="C27" s="200"/>
      <c r="D27" s="200"/>
      <c r="E27" s="200"/>
      <c r="F27" s="200"/>
      <c r="G27" s="200"/>
      <c r="H27" s="200"/>
      <c r="I27" s="200"/>
      <c r="J27" s="200"/>
      <c r="K27" s="200"/>
      <c r="L27" s="200"/>
      <c r="M27" s="200"/>
      <c r="N27" s="200"/>
      <c r="O27" s="200"/>
      <c r="P27" s="200">
        <f>(SEOG!P27*1000)/SEOG!AV27</f>
        <v>647.91942156405651</v>
      </c>
      <c r="Q27" s="200">
        <f>(SEOG!Q27*1000)/SEOG!AW27</f>
        <v>659.05324611225296</v>
      </c>
      <c r="R27" s="200">
        <f>(SEOG!R27*1000)/SEOG!AX27</f>
        <v>687.30519378178951</v>
      </c>
      <c r="S27" s="200">
        <f>(SEOG!S27*1000)/SEOG!AY27</f>
        <v>706.79564884647334</v>
      </c>
      <c r="T27" s="200">
        <f>(SEOG!T27*1000)/SEOG!AZ27</f>
        <v>670.65238750123899</v>
      </c>
      <c r="U27" s="200">
        <f>(SEOG!U27*1000)/SEOG!BA27</f>
        <v>672.40150065585999</v>
      </c>
      <c r="V27" s="200">
        <f>(SEOG!V27*1000)/SEOG!BB27</f>
        <v>650.64724593700294</v>
      </c>
      <c r="W27" s="200">
        <f>(SEOG!W27*1000)/SEOG!BC27</f>
        <v>666.96467800583548</v>
      </c>
      <c r="X27" s="200">
        <f>(SEOG!X27*1000)/SEOG!BD27</f>
        <v>661.61196653352317</v>
      </c>
      <c r="Y27" s="200">
        <f>(SEOG!Y27*1000)/SEOG!BE27</f>
        <v>604.57710834423767</v>
      </c>
      <c r="Z27" s="200">
        <f>(SEOG!Z27*1000)/SEOG!BF27</f>
        <v>577.63279073093975</v>
      </c>
      <c r="AA27" s="200">
        <f>(SEOG!AA27*1000)/SEOG!BG27</f>
        <v>532.24987080627022</v>
      </c>
      <c r="AB27" s="200">
        <f>(SEOG!AB27*1000)/SEOG!BH27</f>
        <v>501.43960299561508</v>
      </c>
      <c r="AC27" s="200">
        <f>(SEOG!AC27*1000)/SEOG!BI27</f>
        <v>461.5121921164756</v>
      </c>
      <c r="AD27" s="200">
        <f>(SEOG!AD27*1000)/SEOG!BJ27</f>
        <v>488.24887795266221</v>
      </c>
      <c r="AE27" s="200">
        <f>(SEOG!AE27*1000)/SEOG!BK27</f>
        <v>497.85804392809951</v>
      </c>
      <c r="AF27" s="200">
        <f>(SEOG!AF27*1000)/SEOG!BL27</f>
        <v>494.33446869685326</v>
      </c>
      <c r="AG27" s="200">
        <f>(SEOG!AG27*1000)/SEOG!BM27</f>
        <v>533.13731578712407</v>
      </c>
    </row>
    <row r="28" spans="1:33">
      <c r="A28" s="39" t="s">
        <v>145</v>
      </c>
      <c r="B28" s="200"/>
      <c r="C28" s="200"/>
      <c r="D28" s="200"/>
      <c r="E28" s="200"/>
      <c r="F28" s="200"/>
      <c r="G28" s="200"/>
      <c r="H28" s="200"/>
      <c r="I28" s="200"/>
      <c r="J28" s="200"/>
      <c r="K28" s="200"/>
      <c r="L28" s="200"/>
      <c r="M28" s="200"/>
      <c r="N28" s="200"/>
      <c r="O28" s="200"/>
      <c r="P28" s="200">
        <f>(SEOG!P28*1000)/SEOG!AV28</f>
        <v>946.09151504233466</v>
      </c>
      <c r="Q28" s="200">
        <f>(SEOG!Q28*1000)/SEOG!AW28</f>
        <v>960.52494103258493</v>
      </c>
      <c r="R28" s="200">
        <f>(SEOG!R28*1000)/SEOG!AX28</f>
        <v>969.58775786269871</v>
      </c>
      <c r="S28" s="200">
        <f>(SEOG!S28*1000)/SEOG!AY28</f>
        <v>969.8442113150993</v>
      </c>
      <c r="T28" s="200">
        <f>(SEOG!T28*1000)/SEOG!AZ28</f>
        <v>950.42403852964094</v>
      </c>
      <c r="U28" s="200">
        <f>(SEOG!U28*1000)/SEOG!BA28</f>
        <v>893.23658136716801</v>
      </c>
      <c r="V28" s="200">
        <f>(SEOG!V28*1000)/SEOG!BB28</f>
        <v>892.53972071891496</v>
      </c>
      <c r="W28" s="200">
        <f>(SEOG!W28*1000)/SEOG!BC28</f>
        <v>892.073714323731</v>
      </c>
      <c r="X28" s="200">
        <f>(SEOG!X28*1000)/SEOG!BD28</f>
        <v>918.1167148869016</v>
      </c>
      <c r="Y28" s="200">
        <f>(SEOG!Y28*1000)/SEOG!BE28</f>
        <v>938.34772972665792</v>
      </c>
      <c r="Z28" s="200">
        <f>(SEOG!Z28*1000)/SEOG!BF28</f>
        <v>973.48216175829646</v>
      </c>
      <c r="AA28" s="200">
        <f>(SEOG!AA28*1000)/SEOG!BG28</f>
        <v>797.34923076923076</v>
      </c>
      <c r="AB28" s="200">
        <f>(SEOG!AB28*1000)/SEOG!BH28</f>
        <v>720.38566163110625</v>
      </c>
      <c r="AC28" s="200">
        <f>(SEOG!AC28*1000)/SEOG!BI28</f>
        <v>786.63792074480784</v>
      </c>
      <c r="AD28" s="200">
        <f>(SEOG!AD28*1000)/SEOG!BJ28</f>
        <v>855.788360101938</v>
      </c>
      <c r="AE28" s="200">
        <f>(SEOG!AE28*1000)/SEOG!BK28</f>
        <v>885.58693191970929</v>
      </c>
      <c r="AF28" s="200">
        <f>(SEOG!AF28*1000)/SEOG!BL28</f>
        <v>914.34298367373913</v>
      </c>
      <c r="AG28" s="200">
        <f>(SEOG!AG28*1000)/SEOG!BM28</f>
        <v>1023.3039308290344</v>
      </c>
    </row>
    <row r="29" spans="1:33">
      <c r="A29" s="39" t="s">
        <v>148</v>
      </c>
      <c r="B29" s="200"/>
      <c r="C29" s="200"/>
      <c r="D29" s="200"/>
      <c r="E29" s="200"/>
      <c r="F29" s="200"/>
      <c r="G29" s="200"/>
      <c r="H29" s="200"/>
      <c r="I29" s="200"/>
      <c r="J29" s="200"/>
      <c r="K29" s="200"/>
      <c r="L29" s="200"/>
      <c r="M29" s="200"/>
      <c r="N29" s="200"/>
      <c r="O29" s="200"/>
      <c r="P29" s="200">
        <f>(SEOG!P29*1000)/SEOG!AV29</f>
        <v>716.07245024875624</v>
      </c>
      <c r="Q29" s="200">
        <f>(SEOG!Q29*1000)/SEOG!AW29</f>
        <v>734.29760403530895</v>
      </c>
      <c r="R29" s="200">
        <f>(SEOG!R29*1000)/SEOG!AX29</f>
        <v>722.82160493827155</v>
      </c>
      <c r="S29" s="200">
        <f>(SEOG!S29*1000)/SEOG!AY29</f>
        <v>699.83410005750432</v>
      </c>
      <c r="T29" s="200">
        <f>(SEOG!T29*1000)/SEOG!AZ29</f>
        <v>699.49886621315193</v>
      </c>
      <c r="U29" s="200">
        <f>(SEOG!U29*1000)/SEOG!BA29</f>
        <v>668.36555075593958</v>
      </c>
      <c r="V29" s="200">
        <f>(SEOG!V29*1000)/SEOG!BB29</f>
        <v>750.95768645357691</v>
      </c>
      <c r="W29" s="200">
        <f>(SEOG!W29*1000)/SEOG!BC29</f>
        <v>758.93491906177735</v>
      </c>
      <c r="X29" s="200">
        <f>(SEOG!X29*1000)/SEOG!BD29</f>
        <v>804.82901554404145</v>
      </c>
      <c r="Y29" s="200">
        <f>(SEOG!Y29*1000)/SEOG!BE29</f>
        <v>902.76896012509769</v>
      </c>
      <c r="Z29" s="200">
        <f>(SEOG!Z29*1000)/SEOG!BF29</f>
        <v>1276.2315164597949</v>
      </c>
      <c r="AA29" s="200">
        <f>(SEOG!AA29*1000)/SEOG!BG29</f>
        <v>1179.4830710538865</v>
      </c>
      <c r="AB29" s="200">
        <f>(SEOG!AB29*1000)/SEOG!BH29</f>
        <v>976.82493483927021</v>
      </c>
      <c r="AC29" s="200">
        <f>(SEOG!AC29*1000)/SEOG!BI29</f>
        <v>974.64315352697099</v>
      </c>
      <c r="AD29" s="200">
        <f>(SEOG!AD29*1000)/SEOG!BJ29</f>
        <v>991.74839486356336</v>
      </c>
      <c r="AE29" s="200">
        <f>(SEOG!AE29*1000)/SEOG!BK29</f>
        <v>1011.8856573705179</v>
      </c>
      <c r="AF29" s="200">
        <f>(SEOG!AF29*1000)/SEOG!BL29</f>
        <v>808.51684172401303</v>
      </c>
      <c r="AG29" s="200">
        <f>(SEOG!AG29*1000)/SEOG!BM29</f>
        <v>786.10871033085755</v>
      </c>
    </row>
    <row r="30" spans="1:33">
      <c r="A30" s="39" t="s">
        <v>149</v>
      </c>
      <c r="B30" s="200"/>
      <c r="C30" s="200"/>
      <c r="D30" s="200"/>
      <c r="E30" s="200"/>
      <c r="F30" s="200"/>
      <c r="G30" s="200"/>
      <c r="H30" s="200"/>
      <c r="I30" s="200"/>
      <c r="J30" s="200"/>
      <c r="K30" s="200"/>
      <c r="L30" s="200"/>
      <c r="M30" s="200"/>
      <c r="N30" s="200"/>
      <c r="O30" s="200"/>
      <c r="P30" s="200">
        <f>(SEOG!P30*1000)/SEOG!AV30</f>
        <v>420.31984154323112</v>
      </c>
      <c r="Q30" s="200">
        <f>(SEOG!Q30*1000)/SEOG!AW30</f>
        <v>440.46673819742489</v>
      </c>
      <c r="R30" s="200">
        <f>(SEOG!R30*1000)/SEOG!AX30</f>
        <v>400.10728808257744</v>
      </c>
      <c r="S30" s="200">
        <f>(SEOG!S30*1000)/SEOG!AY30</f>
        <v>437.51687510707558</v>
      </c>
      <c r="T30" s="200">
        <f>(SEOG!T30*1000)/SEOG!AZ30</f>
        <v>415.51965583741287</v>
      </c>
      <c r="U30" s="200">
        <f>(SEOG!U30*1000)/SEOG!BA30</f>
        <v>418.47101449275362</v>
      </c>
      <c r="V30" s="200">
        <f>(SEOG!V30*1000)/SEOG!BB30</f>
        <v>401.35974958008859</v>
      </c>
      <c r="W30" s="200">
        <f>(SEOG!W30*1000)/SEOG!BC30</f>
        <v>421.71891971231469</v>
      </c>
      <c r="X30" s="200">
        <f>(SEOG!X30*1000)/SEOG!BD30</f>
        <v>453.81683251813121</v>
      </c>
      <c r="Y30" s="200">
        <f>(SEOG!Y30*1000)/SEOG!BE30</f>
        <v>449.33998701720219</v>
      </c>
      <c r="Z30" s="200">
        <f>(SEOG!Z30*1000)/SEOG!BF30</f>
        <v>481.12046234422974</v>
      </c>
      <c r="AA30" s="200">
        <f>(SEOG!AA30*1000)/SEOG!BG30</f>
        <v>472.67388602875911</v>
      </c>
      <c r="AB30" s="200">
        <f>(SEOG!AB30*1000)/SEOG!BH30</f>
        <v>381.15310508374091</v>
      </c>
      <c r="AC30" s="200">
        <f>(SEOG!AC30*1000)/SEOG!BI30</f>
        <v>481.6346377373111</v>
      </c>
      <c r="AD30" s="200">
        <f>(SEOG!AD30*1000)/SEOG!BJ30</f>
        <v>457.279853989223</v>
      </c>
      <c r="AE30" s="200">
        <f>(SEOG!AE30*1000)/SEOG!BK30</f>
        <v>462.70665195460276</v>
      </c>
      <c r="AF30" s="200">
        <f>(SEOG!AF30*1000)/SEOG!BL30</f>
        <v>467.78397773872291</v>
      </c>
      <c r="AG30" s="200">
        <f>(SEOG!AG30*1000)/SEOG!BM30</f>
        <v>464.32545931758528</v>
      </c>
    </row>
    <row r="31" spans="1:33">
      <c r="A31" s="39" t="s">
        <v>159</v>
      </c>
      <c r="B31" s="200"/>
      <c r="C31" s="200"/>
      <c r="D31" s="200"/>
      <c r="E31" s="200"/>
      <c r="F31" s="200"/>
      <c r="G31" s="200"/>
      <c r="H31" s="200"/>
      <c r="I31" s="200"/>
      <c r="J31" s="200"/>
      <c r="K31" s="200"/>
      <c r="L31" s="200"/>
      <c r="M31" s="200"/>
      <c r="N31" s="200"/>
      <c r="O31" s="200"/>
      <c r="P31" s="200">
        <f>(SEOG!P31*1000)/SEOG!AV31</f>
        <v>543.44979423868313</v>
      </c>
      <c r="Q31" s="200">
        <f>(SEOG!Q31*1000)/SEOG!AW31</f>
        <v>567.78014989779695</v>
      </c>
      <c r="R31" s="200">
        <f>(SEOG!R31*1000)/SEOG!AX31</f>
        <v>514.17423935091279</v>
      </c>
      <c r="S31" s="200">
        <f>(SEOG!S31*1000)/SEOG!AY31</f>
        <v>566.34484088717454</v>
      </c>
      <c r="T31" s="200">
        <f>(SEOG!T31*1000)/SEOG!AZ31</f>
        <v>560.443409046787</v>
      </c>
      <c r="U31" s="200">
        <f>(SEOG!U31*1000)/SEOG!BA31</f>
        <v>608.06192199437078</v>
      </c>
      <c r="V31" s="200">
        <f>(SEOG!V31*1000)/SEOG!BB31</f>
        <v>666.20849759088924</v>
      </c>
      <c r="W31" s="200">
        <f>(SEOG!W31*1000)/SEOG!BC31</f>
        <v>685.4349360388178</v>
      </c>
      <c r="X31" s="200">
        <f>(SEOG!X31*1000)/SEOG!BD31</f>
        <v>724.71119221411197</v>
      </c>
      <c r="Y31" s="200">
        <f>(SEOG!Y31*1000)/SEOG!BE31</f>
        <v>766.69224826165339</v>
      </c>
      <c r="Z31" s="200">
        <f>(SEOG!Z31*1000)/SEOG!BF31</f>
        <v>777.53434903047093</v>
      </c>
      <c r="AA31" s="200">
        <f>(SEOG!AA31*1000)/SEOG!BG31</f>
        <v>757.10653325485578</v>
      </c>
      <c r="AB31" s="200">
        <f>(SEOG!AB31*1000)/SEOG!BH31</f>
        <v>646.48670062252404</v>
      </c>
      <c r="AC31" s="200">
        <f>(SEOG!AC31*1000)/SEOG!BI31</f>
        <v>556.58598108173658</v>
      </c>
      <c r="AD31" s="200">
        <f>(SEOG!AD31*1000)/SEOG!BJ31</f>
        <v>539.26584963469247</v>
      </c>
      <c r="AE31" s="200">
        <f>(SEOG!AE31*1000)/SEOG!BK31</f>
        <v>557.48870888561612</v>
      </c>
      <c r="AF31" s="200">
        <f>(SEOG!AF31*1000)/SEOG!BL31</f>
        <v>598.18569075076493</v>
      </c>
      <c r="AG31" s="200">
        <f>(SEOG!AG31*1000)/SEOG!BM31</f>
        <v>571.58050329831417</v>
      </c>
    </row>
    <row r="32" spans="1:33">
      <c r="A32" s="39" t="s">
        <v>161</v>
      </c>
      <c r="B32" s="200"/>
      <c r="C32" s="200"/>
      <c r="D32" s="200"/>
      <c r="E32" s="200"/>
      <c r="F32" s="200"/>
      <c r="G32" s="200"/>
      <c r="H32" s="200"/>
      <c r="I32" s="200"/>
      <c r="J32" s="200"/>
      <c r="K32" s="200"/>
      <c r="L32" s="200"/>
      <c r="M32" s="200"/>
      <c r="N32" s="200"/>
      <c r="O32" s="200"/>
      <c r="P32" s="200">
        <f>(SEOG!P32*1000)/SEOG!AV32</f>
        <v>835.98096532970771</v>
      </c>
      <c r="Q32" s="200">
        <f>(SEOG!Q32*1000)/SEOG!AW32</f>
        <v>826.60539752005832</v>
      </c>
      <c r="R32" s="200">
        <f>(SEOG!R32*1000)/SEOG!AX32</f>
        <v>729.62547288776796</v>
      </c>
      <c r="S32" s="200">
        <f>(SEOG!S32*1000)/SEOG!AY32</f>
        <v>861.84827123195703</v>
      </c>
      <c r="T32" s="200">
        <f>(SEOG!T32*1000)/SEOG!AZ32</f>
        <v>1034.063599458728</v>
      </c>
      <c r="U32" s="200">
        <f>(SEOG!U32*1000)/SEOG!BA32</f>
        <v>1057.1232269503546</v>
      </c>
      <c r="V32" s="200">
        <f>(SEOG!V32*1000)/SEOG!BB32</f>
        <v>919.21961222967934</v>
      </c>
      <c r="W32" s="200">
        <f>(SEOG!W32*1000)/SEOG!BC32</f>
        <v>1076.187769502156</v>
      </c>
      <c r="X32" s="200">
        <f>(SEOG!X32*1000)/SEOG!BD32</f>
        <v>873.14777777777783</v>
      </c>
      <c r="Y32" s="200">
        <f>(SEOG!Y32*1000)/SEOG!BE32</f>
        <v>971.70463472113124</v>
      </c>
      <c r="Z32" s="200">
        <f>(SEOG!Z32*1000)/SEOG!BF32</f>
        <v>759.72929092113986</v>
      </c>
      <c r="AA32" s="200">
        <f>(SEOG!AA32*1000)/SEOG!BG32</f>
        <v>646.8376780435367</v>
      </c>
      <c r="AB32" s="200">
        <f>(SEOG!AB32*1000)/SEOG!BH32</f>
        <v>535.05693463903435</v>
      </c>
      <c r="AC32" s="200">
        <f>(SEOG!AC32*1000)/SEOG!BI32</f>
        <v>539.21676564641393</v>
      </c>
      <c r="AD32" s="200">
        <f>(SEOG!AD32*1000)/SEOG!BJ32</f>
        <v>442.33127099169172</v>
      </c>
      <c r="AE32" s="200">
        <f>(SEOG!AE32*1000)/SEOG!BK32</f>
        <v>632.12583518930956</v>
      </c>
      <c r="AF32" s="200">
        <f>(SEOG!AF32*1000)/SEOG!BL32</f>
        <v>642.96085858585855</v>
      </c>
      <c r="AG32" s="200">
        <f>(SEOG!AG32*1000)/SEOG!BM32</f>
        <v>748.00184246890831</v>
      </c>
    </row>
    <row r="33" spans="1:33">
      <c r="A33" s="39" t="s">
        <v>164</v>
      </c>
      <c r="B33" s="200"/>
      <c r="C33" s="200"/>
      <c r="D33" s="200"/>
      <c r="E33" s="200"/>
      <c r="F33" s="200"/>
      <c r="G33" s="200"/>
      <c r="H33" s="200"/>
      <c r="I33" s="200"/>
      <c r="J33" s="200"/>
      <c r="K33" s="200"/>
      <c r="L33" s="200"/>
      <c r="M33" s="200"/>
      <c r="N33" s="200"/>
      <c r="O33" s="200"/>
      <c r="P33" s="200">
        <f>(SEOG!P33*1000)/SEOG!AV33</f>
        <v>704.3201790747803</v>
      </c>
      <c r="Q33" s="200">
        <f>(SEOG!Q33*1000)/SEOG!AW33</f>
        <v>785.26327624978376</v>
      </c>
      <c r="R33" s="200">
        <f>(SEOG!R33*1000)/SEOG!AX33</f>
        <v>872.70065986802638</v>
      </c>
      <c r="S33" s="200">
        <f>(SEOG!S33*1000)/SEOG!AY33</f>
        <v>890.5010077258986</v>
      </c>
      <c r="T33" s="200">
        <f>(SEOG!T33*1000)/SEOG!AZ33</f>
        <v>848.58839093765505</v>
      </c>
      <c r="U33" s="200">
        <f>(SEOG!U33*1000)/SEOG!BA33</f>
        <v>817.4145258483984</v>
      </c>
      <c r="V33" s="200">
        <f>(SEOG!V33*1000)/SEOG!BB33</f>
        <v>801.36482680934944</v>
      </c>
      <c r="W33" s="200">
        <f>(SEOG!W33*1000)/SEOG!BC33</f>
        <v>791.47191964917249</v>
      </c>
      <c r="X33" s="200">
        <f>(SEOG!X33*1000)/SEOG!BD33</f>
        <v>797.69831193190021</v>
      </c>
      <c r="Y33" s="200">
        <f>(SEOG!Y33*1000)/SEOG!BE33</f>
        <v>734.43832145684883</v>
      </c>
      <c r="Z33" s="200">
        <f>(SEOG!Z33*1000)/SEOG!BF33</f>
        <v>905.55455929622735</v>
      </c>
      <c r="AA33" s="200">
        <f>(SEOG!AA33*1000)/SEOG!BG33</f>
        <v>757.12131794716061</v>
      </c>
      <c r="AB33" s="200">
        <f>(SEOG!AB33*1000)/SEOG!BH33</f>
        <v>772.3926317334508</v>
      </c>
      <c r="AC33" s="200">
        <f>(SEOG!AC33*1000)/SEOG!BI33</f>
        <v>698.96739562624259</v>
      </c>
      <c r="AD33" s="200">
        <f>(SEOG!AD33*1000)/SEOG!BJ33</f>
        <v>683.31609055501463</v>
      </c>
      <c r="AE33" s="200">
        <f>(SEOG!AE33*1000)/SEOG!BK33</f>
        <v>692.44858090674529</v>
      </c>
      <c r="AF33" s="200">
        <f>(SEOG!AF33*1000)/SEOG!BL33</f>
        <v>704.52800473653053</v>
      </c>
      <c r="AG33" s="200">
        <f>(SEOG!AG33*1000)/SEOG!BM33</f>
        <v>709.67824828085418</v>
      </c>
    </row>
    <row r="34" spans="1:33">
      <c r="A34" s="39" t="s">
        <v>168</v>
      </c>
      <c r="B34" s="200"/>
      <c r="C34" s="200"/>
      <c r="D34" s="200"/>
      <c r="E34" s="200"/>
      <c r="F34" s="200"/>
      <c r="G34" s="200"/>
      <c r="H34" s="200"/>
      <c r="I34" s="200"/>
      <c r="J34" s="200"/>
      <c r="K34" s="200"/>
      <c r="L34" s="200"/>
      <c r="M34" s="200"/>
      <c r="N34" s="200"/>
      <c r="O34" s="200"/>
      <c r="P34" s="200">
        <f>(SEOG!P34*1000)/SEOG!AV34</f>
        <v>694.42919652135868</v>
      </c>
      <c r="Q34" s="200">
        <f>(SEOG!Q34*1000)/SEOG!AW34</f>
        <v>689.14102904476181</v>
      </c>
      <c r="R34" s="200">
        <f>(SEOG!R34*1000)/SEOG!AX34</f>
        <v>671.92506313456681</v>
      </c>
      <c r="S34" s="200">
        <f>(SEOG!S34*1000)/SEOG!AY34</f>
        <v>675.60925710234471</v>
      </c>
      <c r="T34" s="200">
        <f>(SEOG!T34*1000)/SEOG!AZ34</f>
        <v>659.1992078060091</v>
      </c>
      <c r="U34" s="200">
        <f>(SEOG!U34*1000)/SEOG!BA34</f>
        <v>748.51041022469599</v>
      </c>
      <c r="V34" s="200">
        <f>(SEOG!V34*1000)/SEOG!BB34</f>
        <v>699.81575775836097</v>
      </c>
      <c r="W34" s="200">
        <f>(SEOG!W34*1000)/SEOG!BC34</f>
        <v>692.09587971099393</v>
      </c>
      <c r="X34" s="200">
        <f>(SEOG!X34*1000)/SEOG!BD34</f>
        <v>748.13385111962884</v>
      </c>
      <c r="Y34" s="200">
        <f>(SEOG!Y34*1000)/SEOG!BE34</f>
        <v>745.98031156441868</v>
      </c>
      <c r="Z34" s="200">
        <f>(SEOG!Z34*1000)/SEOG!BF34</f>
        <v>756.89658912206494</v>
      </c>
      <c r="AA34" s="200">
        <f>(SEOG!AA34*1000)/SEOG!BG34</f>
        <v>764.49188249986423</v>
      </c>
      <c r="AB34" s="200">
        <f>(SEOG!AB34*1000)/SEOG!BH34</f>
        <v>647.26519495412845</v>
      </c>
      <c r="AC34" s="200">
        <f>(SEOG!AC34*1000)/SEOG!BI34</f>
        <v>648.21806246474182</v>
      </c>
      <c r="AD34" s="200">
        <f>(SEOG!AD34*1000)/SEOG!BJ34</f>
        <v>685.91828691539672</v>
      </c>
      <c r="AE34" s="200">
        <f>(SEOG!AE34*1000)/SEOG!BK34</f>
        <v>723.52699943278503</v>
      </c>
      <c r="AF34" s="200">
        <f>(SEOG!AF34*1000)/SEOG!BL34</f>
        <v>714.11029211029211</v>
      </c>
      <c r="AG34" s="200">
        <f>(SEOG!AG34*1000)/SEOG!BM34</f>
        <v>605.849609375</v>
      </c>
    </row>
    <row r="35" spans="1:33">
      <c r="A35" s="39" t="s">
        <v>172</v>
      </c>
      <c r="B35" s="200"/>
      <c r="C35" s="200"/>
      <c r="D35" s="200"/>
      <c r="E35" s="200"/>
      <c r="F35" s="200"/>
      <c r="G35" s="200"/>
      <c r="H35" s="200"/>
      <c r="I35" s="200"/>
      <c r="J35" s="200"/>
      <c r="K35" s="200"/>
      <c r="L35" s="200"/>
      <c r="M35" s="200"/>
      <c r="N35" s="200"/>
      <c r="O35" s="200"/>
      <c r="P35" s="200">
        <f>(SEOG!P35*1000)/SEOG!AV35</f>
        <v>574.9790773884547</v>
      </c>
      <c r="Q35" s="200">
        <f>(SEOG!Q35*1000)/SEOG!AW35</f>
        <v>516.78514558689722</v>
      </c>
      <c r="R35" s="200">
        <f>(SEOG!R35*1000)/SEOG!AX35</f>
        <v>583.15769559379953</v>
      </c>
      <c r="S35" s="200">
        <f>(SEOG!S35*1000)/SEOG!AY35</f>
        <v>586.81549137667105</v>
      </c>
      <c r="T35" s="200">
        <f>(SEOG!T35*1000)/SEOG!AZ35</f>
        <v>563.64141320474778</v>
      </c>
      <c r="U35" s="200">
        <f>(SEOG!U35*1000)/SEOG!BA35</f>
        <v>535.1399522673031</v>
      </c>
      <c r="V35" s="200">
        <f>(SEOG!V35*1000)/SEOG!BB35</f>
        <v>555.42108245962027</v>
      </c>
      <c r="W35" s="200">
        <f>(SEOG!W35*1000)/SEOG!BC35</f>
        <v>538.12158493127436</v>
      </c>
      <c r="X35" s="200">
        <f>(SEOG!X35*1000)/SEOG!BD35</f>
        <v>525.61611968355919</v>
      </c>
      <c r="Y35" s="200">
        <f>(SEOG!Y35*1000)/SEOG!BE35</f>
        <v>491.84554580665559</v>
      </c>
      <c r="Z35" s="200">
        <f>(SEOG!Z35*1000)/SEOG!BF35</f>
        <v>399.84275980683998</v>
      </c>
      <c r="AA35" s="200">
        <f>(SEOG!AA35*1000)/SEOG!BG35</f>
        <v>374.2710141173423</v>
      </c>
      <c r="AB35" s="200">
        <f>(SEOG!AB35*1000)/SEOG!BH35</f>
        <v>363.90786434909444</v>
      </c>
      <c r="AC35" s="200">
        <f>(SEOG!AC35*1000)/SEOG!BI35</f>
        <v>379.19338739862758</v>
      </c>
      <c r="AD35" s="200">
        <f>(SEOG!AD35*1000)/SEOG!BJ35</f>
        <v>368.46236012207527</v>
      </c>
      <c r="AE35" s="200">
        <f>(SEOG!AE35*1000)/SEOG!BK35</f>
        <v>440.11486829693058</v>
      </c>
      <c r="AF35" s="200">
        <f>(SEOG!AF35*1000)/SEOG!BL35</f>
        <v>422.39782956591318</v>
      </c>
      <c r="AG35" s="200">
        <f>(SEOG!AG35*1000)/SEOG!BM35</f>
        <v>435.34194932570495</v>
      </c>
    </row>
    <row r="36" spans="1:33">
      <c r="A36" s="39" t="s">
        <v>174</v>
      </c>
      <c r="B36" s="200"/>
      <c r="C36" s="200"/>
      <c r="D36" s="200"/>
      <c r="E36" s="200"/>
      <c r="F36" s="200"/>
      <c r="G36" s="200"/>
      <c r="H36" s="200"/>
      <c r="I36" s="200"/>
      <c r="J36" s="200"/>
      <c r="K36" s="200"/>
      <c r="L36" s="200"/>
      <c r="M36" s="200"/>
      <c r="N36" s="200"/>
      <c r="O36" s="200"/>
      <c r="P36" s="200">
        <f>(SEOG!P36*1000)/SEOG!AV36</f>
        <v>695.54107961992133</v>
      </c>
      <c r="Q36" s="200">
        <f>(SEOG!Q36*1000)/SEOG!AW36</f>
        <v>745.31138705643946</v>
      </c>
      <c r="R36" s="200">
        <f>(SEOG!R36*1000)/SEOG!AX36</f>
        <v>794.37046048481568</v>
      </c>
      <c r="S36" s="200">
        <f>(SEOG!S36*1000)/SEOG!AY36</f>
        <v>762.73113504001344</v>
      </c>
      <c r="T36" s="200">
        <f>(SEOG!T36*1000)/SEOG!AZ36</f>
        <v>755.32892296277976</v>
      </c>
      <c r="U36" s="200">
        <f>(SEOG!U36*1000)/SEOG!BA36</f>
        <v>757.85187426865195</v>
      </c>
      <c r="V36" s="200">
        <f>(SEOG!V36*1000)/SEOG!BB36</f>
        <v>797.12921745274684</v>
      </c>
      <c r="W36" s="200">
        <f>(SEOG!W36*1000)/SEOG!BC36</f>
        <v>696.62909626941826</v>
      </c>
      <c r="X36" s="200">
        <f>(SEOG!X36*1000)/SEOG!BD36</f>
        <v>695.47635422301209</v>
      </c>
      <c r="Y36" s="200">
        <f>(SEOG!Y36*1000)/SEOG!BE36</f>
        <v>678.83299966003096</v>
      </c>
      <c r="Z36" s="200">
        <f>(SEOG!Z36*1000)/SEOG!BF36</f>
        <v>751.05212937337353</v>
      </c>
      <c r="AA36" s="200">
        <f>(SEOG!AA36*1000)/SEOG!BG36</f>
        <v>689.60507368028357</v>
      </c>
      <c r="AB36" s="200">
        <f>(SEOG!AB36*1000)/SEOG!BH36</f>
        <v>646.24267177503884</v>
      </c>
      <c r="AC36" s="200">
        <f>(SEOG!AC36*1000)/SEOG!BI36</f>
        <v>561.79162552456182</v>
      </c>
      <c r="AD36" s="200">
        <f>(SEOG!AD36*1000)/SEOG!BJ36</f>
        <v>568.80820185284722</v>
      </c>
      <c r="AE36" s="200">
        <f>(SEOG!AE36*1000)/SEOG!BK36</f>
        <v>556.54509093181673</v>
      </c>
      <c r="AF36" s="200">
        <f>(SEOG!AF36*1000)/SEOG!BL36</f>
        <v>546.4433211318343</v>
      </c>
      <c r="AG36" s="200">
        <f>(SEOG!AG36*1000)/SEOG!BM36</f>
        <v>565.43947490706319</v>
      </c>
    </row>
    <row r="37" spans="1:33">
      <c r="A37" s="39" t="s">
        <v>176</v>
      </c>
      <c r="B37" s="200"/>
      <c r="C37" s="200"/>
      <c r="D37" s="200"/>
      <c r="E37" s="200"/>
      <c r="F37" s="200"/>
      <c r="G37" s="200"/>
      <c r="H37" s="200"/>
      <c r="I37" s="200"/>
      <c r="J37" s="200"/>
      <c r="K37" s="200"/>
      <c r="L37" s="200"/>
      <c r="M37" s="200"/>
      <c r="N37" s="200"/>
      <c r="O37" s="200"/>
      <c r="P37" s="200">
        <f>(SEOG!P37*1000)/SEOG!AV37</f>
        <v>628.26659038901607</v>
      </c>
      <c r="Q37" s="200">
        <f>(SEOG!Q37*1000)/SEOG!AW37</f>
        <v>775.6235045742435</v>
      </c>
      <c r="R37" s="200">
        <f>(SEOG!R37*1000)/SEOG!AX37</f>
        <v>718.43700061462812</v>
      </c>
      <c r="S37" s="200">
        <f>(SEOG!S37*1000)/SEOG!AY37</f>
        <v>800.59755387303437</v>
      </c>
      <c r="T37" s="200">
        <f>(SEOG!T37*1000)/SEOG!AZ37</f>
        <v>820.23752969121142</v>
      </c>
      <c r="U37" s="200">
        <f>(SEOG!U37*1000)/SEOG!BA37</f>
        <v>818.64986301369868</v>
      </c>
      <c r="V37" s="200">
        <f>(SEOG!V37*1000)/SEOG!BB37</f>
        <v>816.8852108916177</v>
      </c>
      <c r="W37" s="200">
        <f>(SEOG!W37*1000)/SEOG!BC37</f>
        <v>956.46384872080091</v>
      </c>
      <c r="X37" s="200">
        <f>(SEOG!X37*1000)/SEOG!BD37</f>
        <v>1034.8260606060605</v>
      </c>
      <c r="Y37" s="200">
        <f>(SEOG!Y37*1000)/SEOG!BE37</f>
        <v>893.77829967120715</v>
      </c>
      <c r="Z37" s="200">
        <f>(SEOG!Z37*1000)/SEOG!BF37</f>
        <v>840.55640449438204</v>
      </c>
      <c r="AA37" s="200">
        <f>(SEOG!AA37*1000)/SEOG!BG37</f>
        <v>651.53129713423834</v>
      </c>
      <c r="AB37" s="200">
        <f>(SEOG!AB37*1000)/SEOG!BH37</f>
        <v>531.00197238658779</v>
      </c>
      <c r="AC37" s="200">
        <f>(SEOG!AC37*1000)/SEOG!BI37</f>
        <v>440.41897003200467</v>
      </c>
      <c r="AD37" s="200">
        <f>(SEOG!AD37*1000)/SEOG!BJ37</f>
        <v>546.51055594651655</v>
      </c>
      <c r="AE37" s="200">
        <f>(SEOG!AE37*1000)/SEOG!BK37</f>
        <v>606.82555505210689</v>
      </c>
      <c r="AF37" s="200">
        <f>(SEOG!AF37*1000)/SEOG!BL37</f>
        <v>723.92637296318651</v>
      </c>
      <c r="AG37" s="200">
        <f>(SEOG!AG37*1000)/SEOG!BM37</f>
        <v>1050.6554216867469</v>
      </c>
    </row>
    <row r="38" spans="1:33">
      <c r="A38" s="150" t="s">
        <v>218</v>
      </c>
      <c r="B38" s="202"/>
      <c r="C38" s="202"/>
      <c r="D38" s="202"/>
      <c r="E38" s="202"/>
      <c r="F38" s="202"/>
      <c r="G38" s="202"/>
      <c r="H38" s="202"/>
      <c r="I38" s="202"/>
      <c r="J38" s="202"/>
      <c r="K38" s="202"/>
      <c r="L38" s="202"/>
      <c r="M38" s="202"/>
      <c r="N38" s="202"/>
      <c r="O38" s="202"/>
      <c r="P38" s="202">
        <f>(SEOG!P38*1000)/SEOG!AV38</f>
        <v>755.61163123972472</v>
      </c>
      <c r="Q38" s="202">
        <f>(SEOG!Q38*1000)/SEOG!AW38</f>
        <v>753.16143793384265</v>
      </c>
      <c r="R38" s="202">
        <f>(SEOG!R38*1000)/SEOG!AX38</f>
        <v>800.77220959201611</v>
      </c>
      <c r="S38" s="202">
        <f>(SEOG!S38*1000)/SEOG!AY38</f>
        <v>833.63268551657916</v>
      </c>
      <c r="T38" s="202">
        <f>(SEOG!T38*1000)/SEOG!AZ38</f>
        <v>795.47991757429236</v>
      </c>
      <c r="U38" s="202">
        <f>(SEOG!U38*1000)/SEOG!BA38</f>
        <v>814.90514583674894</v>
      </c>
      <c r="V38" s="202">
        <f>(SEOG!V38*1000)/SEOG!BB38</f>
        <v>804.05741052278074</v>
      </c>
      <c r="W38" s="202">
        <f>(SEOG!W38*1000)/SEOG!BC38</f>
        <v>810.41444659972979</v>
      </c>
      <c r="X38" s="202">
        <f>(SEOG!X38*1000)/SEOG!BD38</f>
        <v>789.75970985389461</v>
      </c>
      <c r="Y38" s="202">
        <f>(SEOG!Y38*1000)/SEOG!BE38</f>
        <v>765.11674854366322</v>
      </c>
      <c r="Z38" s="202">
        <f>(SEOG!Z38*1000)/SEOG!BF38</f>
        <v>752.15740148781015</v>
      </c>
      <c r="AA38" s="202">
        <f>(SEOG!AA38*1000)/SEOG!BG38</f>
        <v>683.65415270436847</v>
      </c>
      <c r="AB38" s="202">
        <f>(SEOG!AB38*1000)/SEOG!BH38</f>
        <v>633.1563928767946</v>
      </c>
      <c r="AC38" s="202">
        <f>(SEOG!AC38*1000)/SEOG!BI38</f>
        <v>608.86280248001776</v>
      </c>
      <c r="AD38" s="202">
        <f>(SEOG!AD38*1000)/SEOG!BJ38</f>
        <v>588.39728221247503</v>
      </c>
      <c r="AE38" s="202">
        <f>(SEOG!AE38*1000)/SEOG!BK38</f>
        <v>582.66339517780182</v>
      </c>
      <c r="AF38" s="202">
        <f>(SEOG!AF38*1000)/SEOG!BL38</f>
        <v>601.66517814892495</v>
      </c>
      <c r="AG38" s="202">
        <f>(SEOG!AG38*1000)/SEOG!BM38</f>
        <v>661.00847452931589</v>
      </c>
    </row>
    <row r="39" spans="1:33">
      <c r="A39" s="173" t="s">
        <v>215</v>
      </c>
      <c r="B39" s="197"/>
      <c r="C39" s="197"/>
      <c r="D39" s="197"/>
      <c r="E39" s="197"/>
      <c r="F39" s="197"/>
      <c r="G39" s="197"/>
      <c r="H39" s="197"/>
      <c r="I39" s="197"/>
      <c r="J39" s="197"/>
      <c r="K39" s="197"/>
      <c r="L39" s="197"/>
      <c r="M39" s="197"/>
      <c r="N39" s="197"/>
      <c r="O39" s="197"/>
      <c r="P39" s="197">
        <f t="shared" ref="P39" si="9">(P38/P4)*100</f>
        <v>100.88695623242747</v>
      </c>
      <c r="Q39" s="197">
        <f t="shared" ref="Q39:AC39" si="10">(Q38/Q4)*100</f>
        <v>98.785161395586798</v>
      </c>
      <c r="R39" s="197">
        <f t="shared" si="10"/>
        <v>100.9492161788619</v>
      </c>
      <c r="S39" s="197">
        <f t="shared" si="10"/>
        <v>104.2021544173694</v>
      </c>
      <c r="T39" s="197">
        <f t="shared" si="10"/>
        <v>101.49845142649652</v>
      </c>
      <c r="U39" s="197">
        <f t="shared" si="10"/>
        <v>103.69723193524048</v>
      </c>
      <c r="V39" s="197">
        <f t="shared" si="10"/>
        <v>103.37349165297583</v>
      </c>
      <c r="W39" s="197">
        <f t="shared" si="10"/>
        <v>103.31761033941152</v>
      </c>
      <c r="X39" s="197">
        <f t="shared" si="10"/>
        <v>101.12312421685897</v>
      </c>
      <c r="Y39" s="197">
        <f t="shared" si="10"/>
        <v>101.47964035477624</v>
      </c>
      <c r="Z39" s="197">
        <f t="shared" si="10"/>
        <v>102.48479638667357</v>
      </c>
      <c r="AA39" s="197">
        <f t="shared" si="10"/>
        <v>99.990824393041535</v>
      </c>
      <c r="AB39" s="197">
        <f t="shared" si="10"/>
        <v>100.18180509374042</v>
      </c>
      <c r="AC39" s="197">
        <f t="shared" si="10"/>
        <v>101.6687861765688</v>
      </c>
      <c r="AD39" s="197">
        <f t="shared" ref="AD39:AE39" si="11">(AD38/AD4)*100</f>
        <v>96.547533063972097</v>
      </c>
      <c r="AE39" s="197">
        <f t="shared" si="11"/>
        <v>95.672831226614633</v>
      </c>
      <c r="AF39" s="197">
        <f t="shared" ref="AF39:AG39" si="12">(AF38/AF4)*100</f>
        <v>97.345938175971895</v>
      </c>
      <c r="AG39" s="197">
        <f t="shared" si="12"/>
        <v>99.812840996792346</v>
      </c>
    </row>
    <row r="40" spans="1:33">
      <c r="A40" s="39" t="s">
        <v>150</v>
      </c>
      <c r="B40" s="200"/>
      <c r="C40" s="200"/>
      <c r="D40" s="200"/>
      <c r="E40" s="200"/>
      <c r="F40" s="200"/>
      <c r="G40" s="200"/>
      <c r="H40" s="200"/>
      <c r="I40" s="200"/>
      <c r="J40" s="200"/>
      <c r="K40" s="200"/>
      <c r="L40" s="200"/>
      <c r="M40" s="200"/>
      <c r="N40" s="200"/>
      <c r="O40" s="200"/>
      <c r="P40" s="200">
        <f>(SEOG!P40*1000)/SEOG!AV40</f>
        <v>908.02604715744008</v>
      </c>
      <c r="Q40" s="200">
        <f>(SEOG!Q40*1000)/SEOG!AW40</f>
        <v>913.14636329060113</v>
      </c>
      <c r="R40" s="200">
        <f>(SEOG!R40*1000)/SEOG!AX40</f>
        <v>1050.4647503147294</v>
      </c>
      <c r="S40" s="200">
        <f>(SEOG!S40*1000)/SEOG!AY40</f>
        <v>1054.9206377606806</v>
      </c>
      <c r="T40" s="200">
        <f>(SEOG!T40*1000)/SEOG!AZ40</f>
        <v>1067.0408872924588</v>
      </c>
      <c r="U40" s="200">
        <f>(SEOG!U40*1000)/SEOG!BA40</f>
        <v>1113.7757256996026</v>
      </c>
      <c r="V40" s="200">
        <f>(SEOG!V40*1000)/SEOG!BB40</f>
        <v>1135.263052047301</v>
      </c>
      <c r="W40" s="200">
        <f>(SEOG!W40*1000)/SEOG!BC40</f>
        <v>1135.4496609926464</v>
      </c>
      <c r="X40" s="200">
        <f>(SEOG!X40*1000)/SEOG!BD40</f>
        <v>1089.660628551062</v>
      </c>
      <c r="Y40" s="200">
        <f>(SEOG!Y40*1000)/SEOG!BE40</f>
        <v>1032.9265315702996</v>
      </c>
      <c r="Z40" s="200">
        <f>(SEOG!Z40*1000)/SEOG!BF40</f>
        <v>1037.6001271333359</v>
      </c>
      <c r="AA40" s="200">
        <f>(SEOG!AA40*1000)/SEOG!BG40</f>
        <v>921.34600353587052</v>
      </c>
      <c r="AB40" s="200">
        <f>(SEOG!AB40*1000)/SEOG!BH40</f>
        <v>954.25150641413006</v>
      </c>
      <c r="AC40" s="200">
        <f>(SEOG!AC40*1000)/SEOG!BI40</f>
        <v>873.1192137199331</v>
      </c>
      <c r="AD40" s="200">
        <f>(SEOG!AD40*1000)/SEOG!BJ40</f>
        <v>838.82687494750985</v>
      </c>
      <c r="AE40" s="200">
        <f>(SEOG!AE40*1000)/SEOG!BK40</f>
        <v>791.12978519871297</v>
      </c>
      <c r="AF40" s="200">
        <f>(SEOG!AF40*1000)/SEOG!BL40</f>
        <v>796.60948440483764</v>
      </c>
      <c r="AG40" s="200">
        <f>(SEOG!AG40*1000)/SEOG!BM40</f>
        <v>826.28870177755766</v>
      </c>
    </row>
    <row r="41" spans="1:33">
      <c r="A41" s="39" t="s">
        <v>151</v>
      </c>
      <c r="B41" s="200"/>
      <c r="C41" s="200"/>
      <c r="D41" s="200"/>
      <c r="E41" s="200"/>
      <c r="F41" s="200"/>
      <c r="G41" s="200"/>
      <c r="H41" s="200"/>
      <c r="I41" s="200"/>
      <c r="J41" s="200"/>
      <c r="K41" s="200"/>
      <c r="L41" s="200"/>
      <c r="M41" s="200"/>
      <c r="N41" s="200"/>
      <c r="O41" s="200"/>
      <c r="P41" s="200">
        <f>(SEOG!P41*1000)/SEOG!AV41</f>
        <v>665.62588632940231</v>
      </c>
      <c r="Q41" s="200">
        <f>(SEOG!Q41*1000)/SEOG!AW41</f>
        <v>723.47246444211919</v>
      </c>
      <c r="R41" s="200">
        <f>(SEOG!R41*1000)/SEOG!AX41</f>
        <v>694.60123126152132</v>
      </c>
      <c r="S41" s="200">
        <f>(SEOG!S41*1000)/SEOG!AY41</f>
        <v>734.04604891033102</v>
      </c>
      <c r="T41" s="200">
        <f>(SEOG!T41*1000)/SEOG!AZ41</f>
        <v>689.46071879523265</v>
      </c>
      <c r="U41" s="200">
        <f>(SEOG!U41*1000)/SEOG!BA41</f>
        <v>741.14030509211796</v>
      </c>
      <c r="V41" s="200">
        <f>(SEOG!V41*1000)/SEOG!BB41</f>
        <v>729.51799077076578</v>
      </c>
      <c r="W41" s="200">
        <f>(SEOG!W41*1000)/SEOG!BC41</f>
        <v>723.70225743570393</v>
      </c>
      <c r="X41" s="200">
        <f>(SEOG!X41*1000)/SEOG!BD41</f>
        <v>698.32342326351909</v>
      </c>
      <c r="Y41" s="200">
        <f>(SEOG!Y41*1000)/SEOG!BE41</f>
        <v>682.47483734638274</v>
      </c>
      <c r="Z41" s="200">
        <f>(SEOG!Z41*1000)/SEOG!BF41</f>
        <v>714.72546594569724</v>
      </c>
      <c r="AA41" s="200">
        <f>(SEOG!AA41*1000)/SEOG!BG41</f>
        <v>672.9177305702176</v>
      </c>
      <c r="AB41" s="200">
        <f>(SEOG!AB41*1000)/SEOG!BH41</f>
        <v>522.38775727844722</v>
      </c>
      <c r="AC41" s="200">
        <f>(SEOG!AC41*1000)/SEOG!BI41</f>
        <v>504.0462188388824</v>
      </c>
      <c r="AD41" s="200">
        <f>(SEOG!AD41*1000)/SEOG!BJ41</f>
        <v>436.21088223378729</v>
      </c>
      <c r="AE41" s="200">
        <f>(SEOG!AE41*1000)/SEOG!BK41</f>
        <v>439.53837818313167</v>
      </c>
      <c r="AF41" s="200">
        <f>(SEOG!AF41*1000)/SEOG!BL41</f>
        <v>465.05458410587556</v>
      </c>
      <c r="AG41" s="200">
        <f>(SEOG!AG41*1000)/SEOG!BM41</f>
        <v>565.9631352114734</v>
      </c>
    </row>
    <row r="42" spans="1:33">
      <c r="A42" s="39" t="s">
        <v>152</v>
      </c>
      <c r="B42" s="200"/>
      <c r="C42" s="200"/>
      <c r="D42" s="200"/>
      <c r="E42" s="200"/>
      <c r="F42" s="200"/>
      <c r="G42" s="200"/>
      <c r="H42" s="200"/>
      <c r="I42" s="200"/>
      <c r="J42" s="200"/>
      <c r="K42" s="200"/>
      <c r="L42" s="200"/>
      <c r="M42" s="200"/>
      <c r="N42" s="200"/>
      <c r="O42" s="200"/>
      <c r="P42" s="200">
        <f>(SEOG!P42*1000)/SEOG!AV42</f>
        <v>790.91753007440377</v>
      </c>
      <c r="Q42" s="200">
        <f>(SEOG!Q42*1000)/SEOG!AW42</f>
        <v>783.17595959595963</v>
      </c>
      <c r="R42" s="200">
        <f>(SEOG!R42*1000)/SEOG!AX42</f>
        <v>761.48272843579559</v>
      </c>
      <c r="S42" s="200">
        <f>(SEOG!S42*1000)/SEOG!AY42</f>
        <v>733.31578947368416</v>
      </c>
      <c r="T42" s="200">
        <f>(SEOG!T42*1000)/SEOG!AZ42</f>
        <v>605.65410039248093</v>
      </c>
      <c r="U42" s="200">
        <f>(SEOG!U42*1000)/SEOG!BA42</f>
        <v>661.86643334726284</v>
      </c>
      <c r="V42" s="200">
        <f>(SEOG!V42*1000)/SEOG!BB42</f>
        <v>639.20270959959169</v>
      </c>
      <c r="W42" s="200">
        <f>(SEOG!W42*1000)/SEOG!BC42</f>
        <v>670.75281582952812</v>
      </c>
      <c r="X42" s="200">
        <f>(SEOG!X42*1000)/SEOG!BD42</f>
        <v>604.818031926853</v>
      </c>
      <c r="Y42" s="200">
        <f>(SEOG!Y42*1000)/SEOG!BE42</f>
        <v>584.15849443579327</v>
      </c>
      <c r="Z42" s="200">
        <f>(SEOG!Z42*1000)/SEOG!BF42</f>
        <v>590.21763396928463</v>
      </c>
      <c r="AA42" s="200">
        <f>(SEOG!AA42*1000)/SEOG!BG42</f>
        <v>531.24200445173381</v>
      </c>
      <c r="AB42" s="200">
        <f>(SEOG!AB42*1000)/SEOG!BH42</f>
        <v>501.79504101809005</v>
      </c>
      <c r="AC42" s="200">
        <f>(SEOG!AC42*1000)/SEOG!BI42</f>
        <v>471.89265345686528</v>
      </c>
      <c r="AD42" s="200">
        <f>(SEOG!AD42*1000)/SEOG!BJ42</f>
        <v>436.79054588607596</v>
      </c>
      <c r="AE42" s="200">
        <f>(SEOG!AE42*1000)/SEOG!BK42</f>
        <v>382.66821240454647</v>
      </c>
      <c r="AF42" s="200">
        <f>(SEOG!AF42*1000)/SEOG!BL42</f>
        <v>371.77866214655955</v>
      </c>
      <c r="AG42" s="200">
        <f>(SEOG!AG42*1000)/SEOG!BM42</f>
        <v>454.35628201711529</v>
      </c>
    </row>
    <row r="43" spans="1:33">
      <c r="A43" s="39" t="s">
        <v>153</v>
      </c>
      <c r="B43" s="200"/>
      <c r="C43" s="200"/>
      <c r="D43" s="200"/>
      <c r="E43" s="200"/>
      <c r="F43" s="200"/>
      <c r="G43" s="200"/>
      <c r="H43" s="200"/>
      <c r="I43" s="200"/>
      <c r="J43" s="200"/>
      <c r="K43" s="200"/>
      <c r="L43" s="200"/>
      <c r="M43" s="200"/>
      <c r="N43" s="200"/>
      <c r="O43" s="200"/>
      <c r="P43" s="200">
        <f>(SEOG!P43*1000)/SEOG!AV43</f>
        <v>531.71966110142034</v>
      </c>
      <c r="Q43" s="200">
        <f>(SEOG!Q43*1000)/SEOG!AW43</f>
        <v>541.0927484622855</v>
      </c>
      <c r="R43" s="200">
        <f>(SEOG!R43*1000)/SEOG!AX43</f>
        <v>494.33628183620556</v>
      </c>
      <c r="S43" s="200">
        <f>(SEOG!S43*1000)/SEOG!AY43</f>
        <v>492.83052276559863</v>
      </c>
      <c r="T43" s="200">
        <f>(SEOG!T43*1000)/SEOG!AZ43</f>
        <v>443.80706469571896</v>
      </c>
      <c r="U43" s="200">
        <f>(SEOG!U43*1000)/SEOG!BA43</f>
        <v>483.26820896546991</v>
      </c>
      <c r="V43" s="200">
        <f>(SEOG!V43*1000)/SEOG!BB43</f>
        <v>471.33019322010591</v>
      </c>
      <c r="W43" s="200">
        <f>(SEOG!W43*1000)/SEOG!BC43</f>
        <v>491.74442119944212</v>
      </c>
      <c r="X43" s="200">
        <f>(SEOG!X43*1000)/SEOG!BD43</f>
        <v>515.69711234455144</v>
      </c>
      <c r="Y43" s="200">
        <f>(SEOG!Y43*1000)/SEOG!BE43</f>
        <v>509.68866099071209</v>
      </c>
      <c r="Z43" s="200">
        <f>(SEOG!Z43*1000)/SEOG!BF43</f>
        <v>519.51984706291273</v>
      </c>
      <c r="AA43" s="200">
        <f>(SEOG!AA43*1000)/SEOG!BG43</f>
        <v>498.00825734185395</v>
      </c>
      <c r="AB43" s="200">
        <f>(SEOG!AB43*1000)/SEOG!BH43</f>
        <v>452.72561174551385</v>
      </c>
      <c r="AC43" s="200">
        <f>(SEOG!AC43*1000)/SEOG!BI43</f>
        <v>446.30863713576377</v>
      </c>
      <c r="AD43" s="200">
        <f>(SEOG!AD43*1000)/SEOG!BJ43</f>
        <v>426.45752271757027</v>
      </c>
      <c r="AE43" s="200">
        <f>(SEOG!AE43*1000)/SEOG!BK43</f>
        <v>496.75723750540112</v>
      </c>
      <c r="AF43" s="200">
        <f>(SEOG!AF43*1000)/SEOG!BL43</f>
        <v>480.85627665245204</v>
      </c>
      <c r="AG43" s="200">
        <f>(SEOG!AG43*1000)/SEOG!BM43</f>
        <v>544.71930182015751</v>
      </c>
    </row>
    <row r="44" spans="1:33">
      <c r="A44" s="39" t="s">
        <v>156</v>
      </c>
      <c r="B44" s="200"/>
      <c r="C44" s="200"/>
      <c r="D44" s="200"/>
      <c r="E44" s="200"/>
      <c r="F44" s="200"/>
      <c r="G44" s="200"/>
      <c r="H44" s="200"/>
      <c r="I44" s="200"/>
      <c r="J44" s="200"/>
      <c r="K44" s="200"/>
      <c r="L44" s="200"/>
      <c r="M44" s="200"/>
      <c r="N44" s="200"/>
      <c r="O44" s="200"/>
      <c r="P44" s="200">
        <f>(SEOG!P44*1000)/SEOG!AV44</f>
        <v>616.39295050353542</v>
      </c>
      <c r="Q44" s="200">
        <f>(SEOG!Q44*1000)/SEOG!AW44</f>
        <v>510.47660582750984</v>
      </c>
      <c r="R44" s="200">
        <f>(SEOG!R44*1000)/SEOG!AX44</f>
        <v>656.97236005827824</v>
      </c>
      <c r="S44" s="200">
        <f>(SEOG!S44*1000)/SEOG!AY44</f>
        <v>699.09098526496496</v>
      </c>
      <c r="T44" s="200">
        <f>(SEOG!T44*1000)/SEOG!AZ44</f>
        <v>678.18775085785592</v>
      </c>
      <c r="U44" s="200">
        <f>(SEOG!U44*1000)/SEOG!BA44</f>
        <v>678.12309627213233</v>
      </c>
      <c r="V44" s="200">
        <f>(SEOG!V44*1000)/SEOG!BB44</f>
        <v>715.36792874862749</v>
      </c>
      <c r="W44" s="200">
        <f>(SEOG!W44*1000)/SEOG!BC44</f>
        <v>758.14284498893994</v>
      </c>
      <c r="X44" s="200">
        <f>(SEOG!X44*1000)/SEOG!BD44</f>
        <v>783.69553569418497</v>
      </c>
      <c r="Y44" s="200">
        <f>(SEOG!Y44*1000)/SEOG!BE44</f>
        <v>744.09141589985904</v>
      </c>
      <c r="Z44" s="200">
        <f>(SEOG!Z44*1000)/SEOG!BF44</f>
        <v>674.17054871863581</v>
      </c>
      <c r="AA44" s="200">
        <f>(SEOG!AA44*1000)/SEOG!BG44</f>
        <v>594.65524894335738</v>
      </c>
      <c r="AB44" s="200">
        <f>(SEOG!AB44*1000)/SEOG!BH44</f>
        <v>507.16204533005669</v>
      </c>
      <c r="AC44" s="200">
        <f>(SEOG!AC44*1000)/SEOG!BI44</f>
        <v>552.51721186763029</v>
      </c>
      <c r="AD44" s="200">
        <f>(SEOG!AD44*1000)/SEOG!BJ44</f>
        <v>511.88142844410112</v>
      </c>
      <c r="AE44" s="200">
        <f>(SEOG!AE44*1000)/SEOG!BK44</f>
        <v>524.30515638207942</v>
      </c>
      <c r="AF44" s="200">
        <f>(SEOG!AF44*1000)/SEOG!BL44</f>
        <v>571.55384056340949</v>
      </c>
      <c r="AG44" s="200">
        <f>(SEOG!AG44*1000)/SEOG!BM44</f>
        <v>642.41121245658894</v>
      </c>
    </row>
    <row r="45" spans="1:33">
      <c r="A45" s="39" t="s">
        <v>157</v>
      </c>
      <c r="B45" s="200"/>
      <c r="C45" s="200"/>
      <c r="D45" s="200"/>
      <c r="E45" s="200"/>
      <c r="F45" s="200"/>
      <c r="G45" s="200"/>
      <c r="H45" s="200"/>
      <c r="I45" s="200"/>
      <c r="J45" s="200"/>
      <c r="K45" s="200"/>
      <c r="L45" s="200"/>
      <c r="M45" s="200"/>
      <c r="N45" s="200"/>
      <c r="O45" s="200"/>
      <c r="P45" s="200">
        <f>(SEOG!P45*1000)/SEOG!AV45</f>
        <v>919.18126531326561</v>
      </c>
      <c r="Q45" s="200">
        <f>(SEOG!Q45*1000)/SEOG!AW45</f>
        <v>1014.5333978234582</v>
      </c>
      <c r="R45" s="200">
        <f>(SEOG!R45*1000)/SEOG!AX45</f>
        <v>1061.6419603291833</v>
      </c>
      <c r="S45" s="200">
        <f>(SEOG!S45*1000)/SEOG!AY45</f>
        <v>1111.0457594508866</v>
      </c>
      <c r="T45" s="200">
        <f>(SEOG!T45*1000)/SEOG!AZ45</f>
        <v>1077.2904544983953</v>
      </c>
      <c r="U45" s="200">
        <f>(SEOG!U45*1000)/SEOG!BA45</f>
        <v>1088.202206235012</v>
      </c>
      <c r="V45" s="200">
        <f>(SEOG!V45*1000)/SEOG!BB45</f>
        <v>1047.8472646107593</v>
      </c>
      <c r="W45" s="200">
        <f>(SEOG!W45*1000)/SEOG!BC45</f>
        <v>1084.2259201066515</v>
      </c>
      <c r="X45" s="200">
        <f>(SEOG!X45*1000)/SEOG!BD45</f>
        <v>990.78146303093865</v>
      </c>
      <c r="Y45" s="200">
        <f>(SEOG!Y45*1000)/SEOG!BE45</f>
        <v>983.15782915091097</v>
      </c>
      <c r="Z45" s="200">
        <f>(SEOG!Z45*1000)/SEOG!BF45</f>
        <v>975.46157566165482</v>
      </c>
      <c r="AA45" s="200">
        <f>(SEOG!AA45*1000)/SEOG!BG45</f>
        <v>791.6304219242902</v>
      </c>
      <c r="AB45" s="200">
        <f>(SEOG!AB45*1000)/SEOG!BH45</f>
        <v>661.02926212076341</v>
      </c>
      <c r="AC45" s="200">
        <f>(SEOG!AC45*1000)/SEOG!BI45</f>
        <v>666.50983230458291</v>
      </c>
      <c r="AD45" s="200">
        <f>(SEOG!AD45*1000)/SEOG!BJ45</f>
        <v>733.58412270154554</v>
      </c>
      <c r="AE45" s="200">
        <f>(SEOG!AE45*1000)/SEOG!BK45</f>
        <v>790.9985063728094</v>
      </c>
      <c r="AF45" s="200">
        <f>(SEOG!AF45*1000)/SEOG!BL45</f>
        <v>781.99285736662387</v>
      </c>
      <c r="AG45" s="200">
        <f>(SEOG!AG45*1000)/SEOG!BM45</f>
        <v>786.01810788487194</v>
      </c>
    </row>
    <row r="46" spans="1:33">
      <c r="A46" s="39" t="s">
        <v>158</v>
      </c>
      <c r="B46" s="200"/>
      <c r="C46" s="200"/>
      <c r="D46" s="200"/>
      <c r="E46" s="200"/>
      <c r="F46" s="200"/>
      <c r="G46" s="200"/>
      <c r="H46" s="200"/>
      <c r="I46" s="200"/>
      <c r="J46" s="200"/>
      <c r="K46" s="200"/>
      <c r="L46" s="200"/>
      <c r="M46" s="200"/>
      <c r="N46" s="200"/>
      <c r="O46" s="200"/>
      <c r="P46" s="200">
        <f>(SEOG!P46*1000)/SEOG!AV46</f>
        <v>804.19674447817442</v>
      </c>
      <c r="Q46" s="200">
        <f>(SEOG!Q46*1000)/SEOG!AW46</f>
        <v>830.91118669690093</v>
      </c>
      <c r="R46" s="200">
        <f>(SEOG!R46*1000)/SEOG!AX46</f>
        <v>810.36020899497998</v>
      </c>
      <c r="S46" s="200">
        <f>(SEOG!S46*1000)/SEOG!AY46</f>
        <v>841.67823315118392</v>
      </c>
      <c r="T46" s="200">
        <f>(SEOG!T46*1000)/SEOG!AZ46</f>
        <v>826.30674353130451</v>
      </c>
      <c r="U46" s="200">
        <f>(SEOG!U46*1000)/SEOG!BA46</f>
        <v>789.07499085477377</v>
      </c>
      <c r="V46" s="200">
        <f>(SEOG!V46*1000)/SEOG!BB46</f>
        <v>760.44690643965623</v>
      </c>
      <c r="W46" s="200">
        <f>(SEOG!W46*1000)/SEOG!BC46</f>
        <v>705.33867601307452</v>
      </c>
      <c r="X46" s="200">
        <f>(SEOG!X46*1000)/SEOG!BD46</f>
        <v>736.71976018796079</v>
      </c>
      <c r="Y46" s="200">
        <f>(SEOG!Y46*1000)/SEOG!BE46</f>
        <v>685.38715486194474</v>
      </c>
      <c r="Z46" s="200">
        <f>(SEOG!Z46*1000)/SEOG!BF46</f>
        <v>674.96941781971429</v>
      </c>
      <c r="AA46" s="200">
        <f>(SEOG!AA46*1000)/SEOG!BG46</f>
        <v>649.2350815050421</v>
      </c>
      <c r="AB46" s="200">
        <f>(SEOG!AB46*1000)/SEOG!BH46</f>
        <v>661.11820444872728</v>
      </c>
      <c r="AC46" s="200">
        <f>(SEOG!AC46*1000)/SEOG!BI46</f>
        <v>650.64335635754276</v>
      </c>
      <c r="AD46" s="200">
        <f>(SEOG!AD46*1000)/SEOG!BJ46</f>
        <v>628.02431879288895</v>
      </c>
      <c r="AE46" s="200">
        <f>(SEOG!AE46*1000)/SEOG!BK46</f>
        <v>604.82558520216071</v>
      </c>
      <c r="AF46" s="200">
        <f>(SEOG!AF46*1000)/SEOG!BL46</f>
        <v>661.0183674306096</v>
      </c>
      <c r="AG46" s="200">
        <f>(SEOG!AG46*1000)/SEOG!BM46</f>
        <v>687.2841728152855</v>
      </c>
    </row>
    <row r="47" spans="1:33">
      <c r="A47" s="39" t="s">
        <v>160</v>
      </c>
      <c r="B47" s="200"/>
      <c r="C47" s="200"/>
      <c r="D47" s="200"/>
      <c r="E47" s="200"/>
      <c r="F47" s="200"/>
      <c r="G47" s="200"/>
      <c r="H47" s="200"/>
      <c r="I47" s="200"/>
      <c r="J47" s="200"/>
      <c r="K47" s="200"/>
      <c r="L47" s="200"/>
      <c r="M47" s="200"/>
      <c r="N47" s="200"/>
      <c r="O47" s="200"/>
      <c r="P47" s="200">
        <f>(SEOG!P47*1000)/SEOG!AV47</f>
        <v>550.43562381569757</v>
      </c>
      <c r="Q47" s="200">
        <f>(SEOG!Q47*1000)/SEOG!AW47</f>
        <v>614.05793507664566</v>
      </c>
      <c r="R47" s="200">
        <f>(SEOG!R47*1000)/SEOG!AX47</f>
        <v>642.35258669698692</v>
      </c>
      <c r="S47" s="200">
        <f>(SEOG!S47*1000)/SEOG!AY47</f>
        <v>619.77442793623254</v>
      </c>
      <c r="T47" s="200">
        <f>(SEOG!T47*1000)/SEOG!AZ47</f>
        <v>606.76524935426187</v>
      </c>
      <c r="U47" s="200">
        <f>(SEOG!U47*1000)/SEOG!BA47</f>
        <v>617.39781546421386</v>
      </c>
      <c r="V47" s="200">
        <f>(SEOG!V47*1000)/SEOG!BB47</f>
        <v>558.15299214730567</v>
      </c>
      <c r="W47" s="200">
        <f>(SEOG!W47*1000)/SEOG!BC47</f>
        <v>647.967646759589</v>
      </c>
      <c r="X47" s="200">
        <f>(SEOG!X47*1000)/SEOG!BD47</f>
        <v>708.34689655172417</v>
      </c>
      <c r="Y47" s="200">
        <f>(SEOG!Y47*1000)/SEOG!BE47</f>
        <v>779.02187729161574</v>
      </c>
      <c r="Z47" s="200">
        <f>(SEOG!Z47*1000)/SEOG!BF47</f>
        <v>726.78261980830666</v>
      </c>
      <c r="AA47" s="200">
        <f>(SEOG!AA47*1000)/SEOG!BG47</f>
        <v>745.97937606056655</v>
      </c>
      <c r="AB47" s="200">
        <f>(SEOG!AB47*1000)/SEOG!BH47</f>
        <v>732.23909078153497</v>
      </c>
      <c r="AC47" s="200">
        <f>(SEOG!AC47*1000)/SEOG!BI47</f>
        <v>763.07161319750651</v>
      </c>
      <c r="AD47" s="200">
        <f>(SEOG!AD47*1000)/SEOG!BJ47</f>
        <v>585.91568791946304</v>
      </c>
      <c r="AE47" s="200">
        <f>(SEOG!AE47*1000)/SEOG!BK47</f>
        <v>588.09429730884233</v>
      </c>
      <c r="AF47" s="200">
        <f>(SEOG!AF47*1000)/SEOG!BL47</f>
        <v>640.51331262480585</v>
      </c>
      <c r="AG47" s="200">
        <f>(SEOG!AG47*1000)/SEOG!BM47</f>
        <v>694.9360395085522</v>
      </c>
    </row>
    <row r="48" spans="1:33">
      <c r="A48" s="39" t="s">
        <v>166</v>
      </c>
      <c r="B48" s="200"/>
      <c r="C48" s="200"/>
      <c r="D48" s="200"/>
      <c r="E48" s="200"/>
      <c r="F48" s="200"/>
      <c r="G48" s="200"/>
      <c r="H48" s="200"/>
      <c r="I48" s="200"/>
      <c r="J48" s="200"/>
      <c r="K48" s="200"/>
      <c r="L48" s="200"/>
      <c r="M48" s="200"/>
      <c r="N48" s="200"/>
      <c r="O48" s="200"/>
      <c r="P48" s="200">
        <f>(SEOG!P48*1000)/SEOG!AV48</f>
        <v>760.02821792923817</v>
      </c>
      <c r="Q48" s="200">
        <f>(SEOG!Q48*1000)/SEOG!AW48</f>
        <v>693.22708039492238</v>
      </c>
      <c r="R48" s="200">
        <f>(SEOG!R48*1000)/SEOG!AX48</f>
        <v>723.18835827013731</v>
      </c>
      <c r="S48" s="200">
        <f>(SEOG!S48*1000)/SEOG!AY48</f>
        <v>728.60371517027863</v>
      </c>
      <c r="T48" s="200">
        <f>(SEOG!T48*1000)/SEOG!AZ48</f>
        <v>820.88641762038435</v>
      </c>
      <c r="U48" s="200">
        <f>(SEOG!U48*1000)/SEOG!BA48</f>
        <v>766.61763518966904</v>
      </c>
      <c r="V48" s="200">
        <f>(SEOG!V48*1000)/SEOG!BB48</f>
        <v>762.95791666666662</v>
      </c>
      <c r="W48" s="200">
        <f>(SEOG!W48*1000)/SEOG!BC48</f>
        <v>717.94072803506765</v>
      </c>
      <c r="X48" s="200">
        <f>(SEOG!X48*1000)/SEOG!BD48</f>
        <v>720.04113983770526</v>
      </c>
      <c r="Y48" s="200">
        <f>(SEOG!Y48*1000)/SEOG!BE48</f>
        <v>752.82436260623228</v>
      </c>
      <c r="Z48" s="200">
        <f>(SEOG!Z48*1000)/SEOG!BF48</f>
        <v>787.80270502361532</v>
      </c>
      <c r="AA48" s="200">
        <f>(SEOG!AA48*1000)/SEOG!BG48</f>
        <v>658.56132879045992</v>
      </c>
      <c r="AB48" s="200">
        <f>(SEOG!AB48*1000)/SEOG!BH48</f>
        <v>739.27233304423248</v>
      </c>
      <c r="AC48" s="200">
        <f>(SEOG!AC48*1000)/SEOG!BI48</f>
        <v>728.74949312908313</v>
      </c>
      <c r="AD48" s="200">
        <f>(SEOG!AD48*1000)/SEOG!BJ48</f>
        <v>727.28689329927295</v>
      </c>
      <c r="AE48" s="200">
        <f>(SEOG!AE48*1000)/SEOG!BK48</f>
        <v>496.59150784753365</v>
      </c>
      <c r="AF48" s="200">
        <f>(SEOG!AF48*1000)/SEOG!BL48</f>
        <v>449.47338970405372</v>
      </c>
      <c r="AG48" s="200">
        <f>(SEOG!AG48*1000)/SEOG!BM48</f>
        <v>442.73376623376623</v>
      </c>
    </row>
    <row r="49" spans="1:33">
      <c r="A49" s="39" t="s">
        <v>167</v>
      </c>
      <c r="B49" s="200"/>
      <c r="C49" s="200"/>
      <c r="D49" s="200"/>
      <c r="E49" s="200"/>
      <c r="F49" s="200"/>
      <c r="G49" s="200"/>
      <c r="H49" s="200"/>
      <c r="I49" s="200"/>
      <c r="J49" s="200"/>
      <c r="K49" s="200"/>
      <c r="L49" s="200"/>
      <c r="M49" s="200"/>
      <c r="N49" s="200"/>
      <c r="O49" s="200"/>
      <c r="P49" s="200">
        <f>(SEOG!P49*1000)/SEOG!AV49</f>
        <v>800.96820707293409</v>
      </c>
      <c r="Q49" s="200">
        <f>(SEOG!Q49*1000)/SEOG!AW49</f>
        <v>825.57242103755345</v>
      </c>
      <c r="R49" s="200">
        <f>(SEOG!R49*1000)/SEOG!AX49</f>
        <v>800.55300891949867</v>
      </c>
      <c r="S49" s="200">
        <f>(SEOG!S49*1000)/SEOG!AY49</f>
        <v>856.6846262698798</v>
      </c>
      <c r="T49" s="200">
        <f>(SEOG!T49*1000)/SEOG!AZ49</f>
        <v>767.41656903765693</v>
      </c>
      <c r="U49" s="200">
        <f>(SEOG!U49*1000)/SEOG!BA49</f>
        <v>794.11975547103691</v>
      </c>
      <c r="V49" s="200">
        <f>(SEOG!V49*1000)/SEOG!BB49</f>
        <v>748.57132992422828</v>
      </c>
      <c r="W49" s="200">
        <f>(SEOG!W49*1000)/SEOG!BC49</f>
        <v>753.68423104872295</v>
      </c>
      <c r="X49" s="200">
        <f>(SEOG!X49*1000)/SEOG!BD49</f>
        <v>720.01735829522909</v>
      </c>
      <c r="Y49" s="200">
        <f>(SEOG!Y49*1000)/SEOG!BE49</f>
        <v>712.8295881070627</v>
      </c>
      <c r="Z49" s="200">
        <f>(SEOG!Z49*1000)/SEOG!BF49</f>
        <v>676.39200331073118</v>
      </c>
      <c r="AA49" s="200">
        <f>(SEOG!AA49*1000)/SEOG!BG49</f>
        <v>627.97517395412763</v>
      </c>
      <c r="AB49" s="200">
        <f>(SEOG!AB49*1000)/SEOG!BH49</f>
        <v>602.01125851338202</v>
      </c>
      <c r="AC49" s="200">
        <f>(SEOG!AC49*1000)/SEOG!BI49</f>
        <v>565.92712486800838</v>
      </c>
      <c r="AD49" s="200">
        <f>(SEOG!AD49*1000)/SEOG!BJ49</f>
        <v>580.45209976968692</v>
      </c>
      <c r="AE49" s="200">
        <f>(SEOG!AE49*1000)/SEOG!BK49</f>
        <v>616.96017119560202</v>
      </c>
      <c r="AF49" s="200">
        <f>(SEOG!AF49*1000)/SEOG!BL49</f>
        <v>641.57572623686497</v>
      </c>
      <c r="AG49" s="200">
        <f>(SEOG!AG49*1000)/SEOG!BM49</f>
        <v>668.14112994350285</v>
      </c>
    </row>
    <row r="50" spans="1:33">
      <c r="A50" s="39" t="s">
        <v>171</v>
      </c>
      <c r="B50" s="200"/>
      <c r="C50" s="200"/>
      <c r="D50" s="200"/>
      <c r="E50" s="200"/>
      <c r="F50" s="200"/>
      <c r="G50" s="200"/>
      <c r="H50" s="200"/>
      <c r="I50" s="200"/>
      <c r="J50" s="200"/>
      <c r="K50" s="200"/>
      <c r="L50" s="200"/>
      <c r="M50" s="200"/>
      <c r="N50" s="200"/>
      <c r="O50" s="200"/>
      <c r="P50" s="200">
        <f>(SEOG!P50*1000)/SEOG!AV50</f>
        <v>621.96588414119242</v>
      </c>
      <c r="Q50" s="200">
        <f>(SEOG!Q50*1000)/SEOG!AW50</f>
        <v>632.5813878602479</v>
      </c>
      <c r="R50" s="200">
        <f>(SEOG!R50*1000)/SEOG!AX50</f>
        <v>660.1318135070278</v>
      </c>
      <c r="S50" s="200">
        <f>(SEOG!S50*1000)/SEOG!AY50</f>
        <v>664.99933840555741</v>
      </c>
      <c r="T50" s="200">
        <f>(SEOG!T50*1000)/SEOG!AZ50</f>
        <v>645.40451682286061</v>
      </c>
      <c r="U50" s="200">
        <f>(SEOG!U50*1000)/SEOG!BA50</f>
        <v>651.4115421002839</v>
      </c>
      <c r="V50" s="200">
        <f>(SEOG!V50*1000)/SEOG!BB50</f>
        <v>667.66966292134828</v>
      </c>
      <c r="W50" s="200">
        <f>(SEOG!W50*1000)/SEOG!BC50</f>
        <v>701.66831592450069</v>
      </c>
      <c r="X50" s="200">
        <f>(SEOG!X50*1000)/SEOG!BD50</f>
        <v>693.44103392568661</v>
      </c>
      <c r="Y50" s="200">
        <f>(SEOG!Y50*1000)/SEOG!BE50</f>
        <v>697.79792375156615</v>
      </c>
      <c r="Z50" s="200">
        <f>(SEOG!Z50*1000)/SEOG!BF50</f>
        <v>698.71699905033233</v>
      </c>
      <c r="AA50" s="200">
        <f>(SEOG!AA50*1000)/SEOG!BG50</f>
        <v>665.86297590583047</v>
      </c>
      <c r="AB50" s="200">
        <f>(SEOG!AB50*1000)/SEOG!BH50</f>
        <v>672.90205806688721</v>
      </c>
      <c r="AC50" s="200">
        <f>(SEOG!AC50*1000)/SEOG!BI50</f>
        <v>649.77069271758432</v>
      </c>
      <c r="AD50" s="200">
        <f>(SEOG!AD50*1000)/SEOG!BJ50</f>
        <v>671.85511734028671</v>
      </c>
      <c r="AE50" s="200">
        <f>(SEOG!AE50*1000)/SEOG!BK50</f>
        <v>504.51491030058213</v>
      </c>
      <c r="AF50" s="200">
        <f>(SEOG!AF50*1000)/SEOG!BL50</f>
        <v>814.55166540499624</v>
      </c>
      <c r="AG50" s="200">
        <f>(SEOG!AG50*1000)/SEOG!BM50</f>
        <v>966.1726513569937</v>
      </c>
    </row>
    <row r="51" spans="1:33">
      <c r="A51" s="39" t="s">
        <v>175</v>
      </c>
      <c r="B51" s="200"/>
      <c r="C51" s="200"/>
      <c r="D51" s="200"/>
      <c r="E51" s="200"/>
      <c r="F51" s="200"/>
      <c r="G51" s="200"/>
      <c r="H51" s="200"/>
      <c r="I51" s="200"/>
      <c r="J51" s="200"/>
      <c r="K51" s="200"/>
      <c r="L51" s="200"/>
      <c r="M51" s="200"/>
      <c r="N51" s="200"/>
      <c r="O51" s="200"/>
      <c r="P51" s="200">
        <f>(SEOG!P51*1000)/SEOG!AV51</f>
        <v>802.67260131375861</v>
      </c>
      <c r="Q51" s="200">
        <f>(SEOG!Q51*1000)/SEOG!AW51</f>
        <v>840.72761474793083</v>
      </c>
      <c r="R51" s="200">
        <f>(SEOG!R51*1000)/SEOG!AX51</f>
        <v>847.65616144596765</v>
      </c>
      <c r="S51" s="200">
        <f>(SEOG!S51*1000)/SEOG!AY51</f>
        <v>899.22799664710817</v>
      </c>
      <c r="T51" s="200">
        <f>(SEOG!T51*1000)/SEOG!AZ51</f>
        <v>877.52761638874222</v>
      </c>
      <c r="U51" s="200">
        <f>(SEOG!U51*1000)/SEOG!BA51</f>
        <v>871.30131924171314</v>
      </c>
      <c r="V51" s="200">
        <f>(SEOG!V51*1000)/SEOG!BB51</f>
        <v>844.24419255005785</v>
      </c>
      <c r="W51" s="200">
        <f>(SEOG!W51*1000)/SEOG!BC51</f>
        <v>807.61055140288158</v>
      </c>
      <c r="X51" s="200">
        <f>(SEOG!X51*1000)/SEOG!BD51</f>
        <v>799.02938740231207</v>
      </c>
      <c r="Y51" s="200">
        <f>(SEOG!Y51*1000)/SEOG!BE51</f>
        <v>750.49032847998876</v>
      </c>
      <c r="Z51" s="200">
        <f>(SEOG!Z51*1000)/SEOG!BF51</f>
        <v>766.43209746875323</v>
      </c>
      <c r="AA51" s="200">
        <f>(SEOG!AA51*1000)/SEOG!BG51</f>
        <v>672.9606743295019</v>
      </c>
      <c r="AB51" s="200">
        <f>(SEOG!AB51*1000)/SEOG!BH51</f>
        <v>690.93935269709539</v>
      </c>
      <c r="AC51" s="200">
        <f>(SEOG!AC51*1000)/SEOG!BI51</f>
        <v>620.74542755344419</v>
      </c>
      <c r="AD51" s="200">
        <f>(SEOG!AD51*1000)/SEOG!BJ51</f>
        <v>628.43078036774284</v>
      </c>
      <c r="AE51" s="200">
        <f>(SEOG!AE51*1000)/SEOG!BK51</f>
        <v>615.31089965397928</v>
      </c>
      <c r="AF51" s="200">
        <f>(SEOG!AF51*1000)/SEOG!BL51</f>
        <v>624.29428389349141</v>
      </c>
      <c r="AG51" s="200">
        <f>(SEOG!AG51*1000)/SEOG!BM51</f>
        <v>648.85688649618658</v>
      </c>
    </row>
    <row r="52" spans="1:33">
      <c r="A52" s="150" t="s">
        <v>219</v>
      </c>
      <c r="B52" s="202"/>
      <c r="C52" s="202"/>
      <c r="D52" s="202"/>
      <c r="E52" s="202"/>
      <c r="F52" s="202"/>
      <c r="G52" s="202"/>
      <c r="H52" s="202"/>
      <c r="I52" s="202"/>
      <c r="J52" s="202"/>
      <c r="K52" s="202"/>
      <c r="L52" s="202"/>
      <c r="M52" s="202"/>
      <c r="N52" s="202"/>
      <c r="O52" s="202"/>
      <c r="P52" s="202">
        <f>(SEOG!P52*1000)/SEOG!AV52</f>
        <v>901.82862279888764</v>
      </c>
      <c r="Q52" s="202">
        <f>(SEOG!Q52*1000)/SEOG!AW52</f>
        <v>944.74925265594595</v>
      </c>
      <c r="R52" s="202">
        <f>(SEOG!R52*1000)/SEOG!AX52</f>
        <v>982.21852913452472</v>
      </c>
      <c r="S52" s="202">
        <f>(SEOG!S52*1000)/SEOG!AY52</f>
        <v>969.09217987603847</v>
      </c>
      <c r="T52" s="202">
        <f>(SEOG!T52*1000)/SEOG!AZ52</f>
        <v>965.17322555178907</v>
      </c>
      <c r="U52" s="202">
        <f>(SEOG!U52*1000)/SEOG!BA52</f>
        <v>950.75217465571291</v>
      </c>
      <c r="V52" s="202">
        <f>(SEOG!V52*1000)/SEOG!BB52</f>
        <v>947.30632895746862</v>
      </c>
      <c r="W52" s="202">
        <f>(SEOG!W52*1000)/SEOG!BC52</f>
        <v>941.57310414097037</v>
      </c>
      <c r="X52" s="202">
        <f>(SEOG!X52*1000)/SEOG!BD52</f>
        <v>928.51241529841036</v>
      </c>
      <c r="Y52" s="202">
        <f>(SEOG!Y52*1000)/SEOG!BE52</f>
        <v>898.93649943557887</v>
      </c>
      <c r="Z52" s="202">
        <f>(SEOG!Z52*1000)/SEOG!BF52</f>
        <v>886.23253243963779</v>
      </c>
      <c r="AA52" s="202">
        <f>(SEOG!AA52*1000)/SEOG!BG52</f>
        <v>844.6602284071032</v>
      </c>
      <c r="AB52" s="202">
        <f>(SEOG!AB52*1000)/SEOG!BH52</f>
        <v>786.2345194944179</v>
      </c>
      <c r="AC52" s="202">
        <f>(SEOG!AC52*1000)/SEOG!BI52</f>
        <v>729.73060839433606</v>
      </c>
      <c r="AD52" s="202">
        <f>(SEOG!AD52*1000)/SEOG!BJ52</f>
        <v>724.47298630984608</v>
      </c>
      <c r="AE52" s="202">
        <f>(SEOG!AE52*1000)/SEOG!BK52</f>
        <v>713.5974418960293</v>
      </c>
      <c r="AF52" s="202">
        <f>(SEOG!AF52*1000)/SEOG!BL52</f>
        <v>730.78040404040405</v>
      </c>
      <c r="AG52" s="202">
        <f>(SEOG!AG52*1000)/SEOG!BM52</f>
        <v>776.4891070013897</v>
      </c>
    </row>
    <row r="53" spans="1:33">
      <c r="A53" s="173" t="s">
        <v>215</v>
      </c>
      <c r="B53" s="197"/>
      <c r="C53" s="197"/>
      <c r="D53" s="197"/>
      <c r="E53" s="197"/>
      <c r="F53" s="197"/>
      <c r="G53" s="197"/>
      <c r="H53" s="197"/>
      <c r="I53" s="197"/>
      <c r="J53" s="197"/>
      <c r="K53" s="197"/>
      <c r="L53" s="197"/>
      <c r="M53" s="197"/>
      <c r="N53" s="197"/>
      <c r="O53" s="197"/>
      <c r="P53" s="197">
        <f t="shared" ref="P53" si="13">(P52/P4)*100</f>
        <v>120.4094021795128</v>
      </c>
      <c r="Q53" s="197">
        <f t="shared" ref="Q53:AC53" si="14">(Q52/Q4)*100</f>
        <v>123.91394819416584</v>
      </c>
      <c r="R53" s="197">
        <f t="shared" si="14"/>
        <v>123.82321644628848</v>
      </c>
      <c r="S53" s="197">
        <f t="shared" si="14"/>
        <v>121.13427739404511</v>
      </c>
      <c r="T53" s="197">
        <f t="shared" si="14"/>
        <v>123.1502965537456</v>
      </c>
      <c r="U53" s="197">
        <f t="shared" si="14"/>
        <v>120.98385839369637</v>
      </c>
      <c r="V53" s="197">
        <f t="shared" si="14"/>
        <v>121.79026224710303</v>
      </c>
      <c r="W53" s="197">
        <f t="shared" si="14"/>
        <v>120.03868327850135</v>
      </c>
      <c r="X53" s="197">
        <f t="shared" si="14"/>
        <v>118.88942312147992</v>
      </c>
      <c r="Y53" s="197">
        <f t="shared" si="14"/>
        <v>119.22853974656935</v>
      </c>
      <c r="Z53" s="197">
        <f t="shared" si="14"/>
        <v>120.75313020740688</v>
      </c>
      <c r="AA53" s="197">
        <f t="shared" si="14"/>
        <v>123.53947129019073</v>
      </c>
      <c r="AB53" s="197">
        <f t="shared" si="14"/>
        <v>124.40274516076396</v>
      </c>
      <c r="AC53" s="197">
        <f t="shared" si="14"/>
        <v>121.85146619098329</v>
      </c>
      <c r="AD53" s="197">
        <f t="shared" ref="AD53:AE53" si="15">(AD52/AD4)*100</f>
        <v>118.87559938532546</v>
      </c>
      <c r="AE53" s="197">
        <f t="shared" si="15"/>
        <v>117.17208973017661</v>
      </c>
      <c r="AF53" s="197">
        <f t="shared" ref="AF53:AG53" si="16">(AF52/AF4)*100</f>
        <v>118.23603328813661</v>
      </c>
      <c r="AG53" s="197">
        <f t="shared" si="16"/>
        <v>117.25051456875639</v>
      </c>
    </row>
    <row r="54" spans="1:33">
      <c r="A54" s="39" t="s">
        <v>146</v>
      </c>
      <c r="B54" s="200"/>
      <c r="C54" s="200"/>
      <c r="D54" s="200"/>
      <c r="E54" s="200"/>
      <c r="F54" s="200"/>
      <c r="G54" s="200"/>
      <c r="H54" s="200"/>
      <c r="I54" s="200"/>
      <c r="J54" s="200"/>
      <c r="K54" s="200"/>
      <c r="L54" s="200"/>
      <c r="M54" s="200"/>
      <c r="N54" s="200"/>
      <c r="O54" s="200"/>
      <c r="P54" s="200">
        <f>(SEOG!P54*1000)/SEOG!AV54</f>
        <v>1034.4535086912535</v>
      </c>
      <c r="Q54" s="200">
        <f>(SEOG!Q54*1000)/SEOG!AW54</f>
        <v>928.85333761232346</v>
      </c>
      <c r="R54" s="200">
        <f>(SEOG!R54*1000)/SEOG!AX54</f>
        <v>1134.5800492610838</v>
      </c>
      <c r="S54" s="200">
        <f>(SEOG!S54*1000)/SEOG!AY54</f>
        <v>1121.4307638031398</v>
      </c>
      <c r="T54" s="200">
        <f>(SEOG!T54*1000)/SEOG!AZ54</f>
        <v>1036.9841774606375</v>
      </c>
      <c r="U54" s="200">
        <f>(SEOG!U54*1000)/SEOG!BA54</f>
        <v>989.99866962305987</v>
      </c>
      <c r="V54" s="200">
        <f>(SEOG!V54*1000)/SEOG!BB54</f>
        <v>1026.7909706546275</v>
      </c>
      <c r="W54" s="200">
        <f>(SEOG!W54*1000)/SEOG!BC54</f>
        <v>964.6467640008716</v>
      </c>
      <c r="X54" s="200">
        <f>(SEOG!X54*1000)/SEOG!BD54</f>
        <v>914.39380965749581</v>
      </c>
      <c r="Y54" s="200">
        <f>(SEOG!Y54*1000)/SEOG!BE54</f>
        <v>855.87709996806132</v>
      </c>
      <c r="Z54" s="200">
        <f>(SEOG!Z54*1000)/SEOG!BF54</f>
        <v>861.95412722578942</v>
      </c>
      <c r="AA54" s="200">
        <f>(SEOG!AA54*1000)/SEOG!BG54</f>
        <v>841.52427124122073</v>
      </c>
      <c r="AB54" s="200">
        <f>(SEOG!AB54*1000)/SEOG!BH54</f>
        <v>805.03969625879733</v>
      </c>
      <c r="AC54" s="200">
        <f>(SEOG!AC54*1000)/SEOG!BI54</f>
        <v>765.06760736196316</v>
      </c>
      <c r="AD54" s="200">
        <f>(SEOG!AD54*1000)/SEOG!BJ54</f>
        <v>786.03267232110863</v>
      </c>
      <c r="AE54" s="200">
        <f>(SEOG!AE54*1000)/SEOG!BK54</f>
        <v>707.09082843517797</v>
      </c>
      <c r="AF54" s="200">
        <f>(SEOG!AF54*1000)/SEOG!BL54</f>
        <v>645.2132092842952</v>
      </c>
      <c r="AG54" s="200">
        <f>(SEOG!AG54*1000)/SEOG!BM54</f>
        <v>686.87926353719331</v>
      </c>
    </row>
    <row r="55" spans="1:33">
      <c r="A55" s="39" t="s">
        <v>154</v>
      </c>
      <c r="B55" s="200"/>
      <c r="C55" s="200"/>
      <c r="D55" s="200"/>
      <c r="E55" s="200"/>
      <c r="F55" s="200"/>
      <c r="G55" s="200"/>
      <c r="H55" s="200"/>
      <c r="I55" s="200"/>
      <c r="J55" s="200"/>
      <c r="K55" s="200"/>
      <c r="L55" s="200"/>
      <c r="M55" s="200"/>
      <c r="N55" s="200"/>
      <c r="O55" s="200"/>
      <c r="P55" s="200">
        <f>(SEOG!P55*1000)/SEOG!AV55</f>
        <v>831.00234382042731</v>
      </c>
      <c r="Q55" s="200">
        <f>(SEOG!Q55*1000)/SEOG!AW55</f>
        <v>936.04145383104128</v>
      </c>
      <c r="R55" s="200">
        <f>(SEOG!R55*1000)/SEOG!AX55</f>
        <v>939.99859943977594</v>
      </c>
      <c r="S55" s="200">
        <f>(SEOG!S55*1000)/SEOG!AY55</f>
        <v>924.83649062380402</v>
      </c>
      <c r="T55" s="200">
        <f>(SEOG!T55*1000)/SEOG!AZ55</f>
        <v>877.78077539854735</v>
      </c>
      <c r="U55" s="200">
        <f>(SEOG!U55*1000)/SEOG!BA55</f>
        <v>845.11493212669689</v>
      </c>
      <c r="V55" s="200">
        <f>(SEOG!V55*1000)/SEOG!BB55</f>
        <v>841.42778430132785</v>
      </c>
      <c r="W55" s="200">
        <f>(SEOG!W55*1000)/SEOG!BC55</f>
        <v>879.34541840212046</v>
      </c>
      <c r="X55" s="200">
        <f>(SEOG!X55*1000)/SEOG!BD55</f>
        <v>891.6152379136073</v>
      </c>
      <c r="Y55" s="200">
        <f>(SEOG!Y55*1000)/SEOG!BE55</f>
        <v>815.70480044141993</v>
      </c>
      <c r="Z55" s="200">
        <f>(SEOG!Z55*1000)/SEOG!BF55</f>
        <v>826.01272063899012</v>
      </c>
      <c r="AA55" s="200">
        <f>(SEOG!AA55*1000)/SEOG!BG55</f>
        <v>756.79080019963396</v>
      </c>
      <c r="AB55" s="200">
        <f>(SEOG!AB55*1000)/SEOG!BH55</f>
        <v>769.62591856142478</v>
      </c>
      <c r="AC55" s="200">
        <f>(SEOG!AC55*1000)/SEOG!BI55</f>
        <v>697.67491735870351</v>
      </c>
      <c r="AD55" s="200">
        <f>(SEOG!AD55*1000)/SEOG!BJ55</f>
        <v>716.43592225179452</v>
      </c>
      <c r="AE55" s="200">
        <f>(SEOG!AE55*1000)/SEOG!BK55</f>
        <v>822.98705197973356</v>
      </c>
      <c r="AF55" s="200">
        <f>(SEOG!AF55*1000)/SEOG!BL55</f>
        <v>780.02128603104211</v>
      </c>
      <c r="AG55" s="200">
        <f>(SEOG!AG55*1000)/SEOG!BM55</f>
        <v>803.4014033169309</v>
      </c>
    </row>
    <row r="56" spans="1:33">
      <c r="A56" s="39" t="s">
        <v>155</v>
      </c>
      <c r="B56" s="200"/>
      <c r="C56" s="200"/>
      <c r="D56" s="200"/>
      <c r="E56" s="200"/>
      <c r="F56" s="200"/>
      <c r="G56" s="200"/>
      <c r="H56" s="200"/>
      <c r="I56" s="200"/>
      <c r="J56" s="200"/>
      <c r="K56" s="200"/>
      <c r="L56" s="200"/>
      <c r="M56" s="200"/>
      <c r="N56" s="200"/>
      <c r="O56" s="200"/>
      <c r="P56" s="200">
        <f>(SEOG!P56*1000)/SEOG!AV56</f>
        <v>965.61881254169441</v>
      </c>
      <c r="Q56" s="200">
        <f>(SEOG!Q56*1000)/SEOG!AW56</f>
        <v>1211.9499264410861</v>
      </c>
      <c r="R56" s="200">
        <f>(SEOG!R56*1000)/SEOG!AX56</f>
        <v>1256.3025219673627</v>
      </c>
      <c r="S56" s="200">
        <f>(SEOG!S56*1000)/SEOG!AY56</f>
        <v>1231.2379078225938</v>
      </c>
      <c r="T56" s="200">
        <f>(SEOG!T56*1000)/SEOG!AZ56</f>
        <v>1192.1480657488353</v>
      </c>
      <c r="U56" s="200">
        <f>(SEOG!U56*1000)/SEOG!BA56</f>
        <v>1143.4524974024987</v>
      </c>
      <c r="V56" s="200">
        <f>(SEOG!V56*1000)/SEOG!BB56</f>
        <v>1153.8376407559899</v>
      </c>
      <c r="W56" s="200">
        <f>(SEOG!W56*1000)/SEOG!BC56</f>
        <v>1144.9935288617687</v>
      </c>
      <c r="X56" s="200">
        <f>(SEOG!X56*1000)/SEOG!BD56</f>
        <v>1157.7544618988211</v>
      </c>
      <c r="Y56" s="200">
        <f>(SEOG!Y56*1000)/SEOG!BE56</f>
        <v>1076.7776570048309</v>
      </c>
      <c r="Z56" s="200">
        <f>(SEOG!Z56*1000)/SEOG!BF56</f>
        <v>1069.9276120662632</v>
      </c>
      <c r="AA56" s="200">
        <f>(SEOG!AA56*1000)/SEOG!BG56</f>
        <v>1041.3882814626622</v>
      </c>
      <c r="AB56" s="200">
        <f>(SEOG!AB56*1000)/SEOG!BH56</f>
        <v>964.70574136132632</v>
      </c>
      <c r="AC56" s="200">
        <f>(SEOG!AC56*1000)/SEOG!BI56</f>
        <v>925.62703890282057</v>
      </c>
      <c r="AD56" s="200">
        <f>(SEOG!AD56*1000)/SEOG!BJ56</f>
        <v>904.74464999780287</v>
      </c>
      <c r="AE56" s="200">
        <f>(SEOG!AE56*1000)/SEOG!BK56</f>
        <v>895.06865925412205</v>
      </c>
      <c r="AF56" s="200">
        <f>(SEOG!AF56*1000)/SEOG!BL56</f>
        <v>895.94298066375586</v>
      </c>
      <c r="AG56" s="200">
        <f>(SEOG!AG56*1000)/SEOG!BM56</f>
        <v>955.32184302537587</v>
      </c>
    </row>
    <row r="57" spans="1:33">
      <c r="A57" s="39" t="s">
        <v>162</v>
      </c>
      <c r="B57" s="200"/>
      <c r="C57" s="200"/>
      <c r="D57" s="200"/>
      <c r="E57" s="200"/>
      <c r="F57" s="200"/>
      <c r="G57" s="200"/>
      <c r="H57" s="200"/>
      <c r="I57" s="200"/>
      <c r="J57" s="200"/>
      <c r="K57" s="200"/>
      <c r="L57" s="200"/>
      <c r="M57" s="200"/>
      <c r="N57" s="200"/>
      <c r="O57" s="200"/>
      <c r="P57" s="200">
        <f>(SEOG!P57*1000)/SEOG!AV57</f>
        <v>1003.3454825462012</v>
      </c>
      <c r="Q57" s="200">
        <f>(SEOG!Q57*1000)/SEOG!AW57</f>
        <v>1112.0553410553412</v>
      </c>
      <c r="R57" s="200">
        <f>(SEOG!R57*1000)/SEOG!AX57</f>
        <v>1149.125344952796</v>
      </c>
      <c r="S57" s="200">
        <f>(SEOG!S57*1000)/SEOG!AY57</f>
        <v>1158.7739227756015</v>
      </c>
      <c r="T57" s="200">
        <f>(SEOG!T57*1000)/SEOG!AZ57</f>
        <v>1177.5253776023949</v>
      </c>
      <c r="U57" s="200">
        <f>(SEOG!U57*1000)/SEOG!BA57</f>
        <v>1124.0151415404871</v>
      </c>
      <c r="V57" s="200">
        <f>(SEOG!V57*1000)/SEOG!BB57</f>
        <v>956.852687305789</v>
      </c>
      <c r="W57" s="200">
        <f>(SEOG!W57*1000)/SEOG!BC57</f>
        <v>982.56048244058161</v>
      </c>
      <c r="X57" s="200">
        <f>(SEOG!X57*1000)/SEOG!BD57</f>
        <v>973.52261012183692</v>
      </c>
      <c r="Y57" s="200">
        <f>(SEOG!Y57*1000)/SEOG!BE57</f>
        <v>1024.4150622134905</v>
      </c>
      <c r="Z57" s="200">
        <f>(SEOG!Z57*1000)/SEOG!BF57</f>
        <v>993.63257575757575</v>
      </c>
      <c r="AA57" s="200">
        <f>(SEOG!AA57*1000)/SEOG!BG57</f>
        <v>860.5097451274363</v>
      </c>
      <c r="AB57" s="200">
        <f>(SEOG!AB57*1000)/SEOG!BH57</f>
        <v>741.44804202483283</v>
      </c>
      <c r="AC57" s="200">
        <f>(SEOG!AC57*1000)/SEOG!BI57</f>
        <v>706.6496526437669</v>
      </c>
      <c r="AD57" s="200">
        <f>(SEOG!AD57*1000)/SEOG!BJ57</f>
        <v>699.7660203139427</v>
      </c>
      <c r="AE57" s="200">
        <f>(SEOG!AE57*1000)/SEOG!BK57</f>
        <v>641.99856115107912</v>
      </c>
      <c r="AF57" s="200">
        <f>(SEOG!AF57*1000)/SEOG!BL57</f>
        <v>673.89093730035597</v>
      </c>
      <c r="AG57" s="200">
        <f>(SEOG!AG57*1000)/SEOG!BM57</f>
        <v>692.93514228987431</v>
      </c>
    </row>
    <row r="58" spans="1:33">
      <c r="A58" s="39" t="s">
        <v>163</v>
      </c>
      <c r="B58" s="200"/>
      <c r="C58" s="200"/>
      <c r="D58" s="200"/>
      <c r="E58" s="200"/>
      <c r="F58" s="200"/>
      <c r="G58" s="200"/>
      <c r="H58" s="200"/>
      <c r="I58" s="200"/>
      <c r="J58" s="200"/>
      <c r="K58" s="200"/>
      <c r="L58" s="200"/>
      <c r="M58" s="200"/>
      <c r="N58" s="200"/>
      <c r="O58" s="200"/>
      <c r="P58" s="200">
        <f>(SEOG!P58*1000)/SEOG!AV58</f>
        <v>637.67661825010543</v>
      </c>
      <c r="Q58" s="200">
        <f>(SEOG!Q58*1000)/SEOG!AW58</f>
        <v>698.4191365596929</v>
      </c>
      <c r="R58" s="200">
        <f>(SEOG!R58*1000)/SEOG!AX58</f>
        <v>725.53211369346729</v>
      </c>
      <c r="S58" s="200">
        <f>(SEOG!S58*1000)/SEOG!AY58</f>
        <v>717.40838100586109</v>
      </c>
      <c r="T58" s="200">
        <f>(SEOG!T58*1000)/SEOG!AZ58</f>
        <v>754.54486036838978</v>
      </c>
      <c r="U58" s="200">
        <f>(SEOG!U58*1000)/SEOG!BA58</f>
        <v>713.62690124502149</v>
      </c>
      <c r="V58" s="200">
        <f>(SEOG!V58*1000)/SEOG!BB58</f>
        <v>708.01837328442218</v>
      </c>
      <c r="W58" s="200">
        <f>(SEOG!W58*1000)/SEOG!BC58</f>
        <v>680.52757055824941</v>
      </c>
      <c r="X58" s="200">
        <f>(SEOG!X58*1000)/SEOG!BD58</f>
        <v>683.09015303756371</v>
      </c>
      <c r="Y58" s="200">
        <f>(SEOG!Y58*1000)/SEOG!BE58</f>
        <v>697.78153768014727</v>
      </c>
      <c r="Z58" s="200">
        <f>(SEOG!Z58*1000)/SEOG!BF58</f>
        <v>745.93642932256864</v>
      </c>
      <c r="AA58" s="200">
        <f>(SEOG!AA58*1000)/SEOG!BG58</f>
        <v>644.60342590954656</v>
      </c>
      <c r="AB58" s="200">
        <f>(SEOG!AB58*1000)/SEOG!BH58</f>
        <v>623.37590353839846</v>
      </c>
      <c r="AC58" s="200">
        <f>(SEOG!AC58*1000)/SEOG!BI58</f>
        <v>588.88200715108178</v>
      </c>
      <c r="AD58" s="200">
        <f>(SEOG!AD58*1000)/SEOG!BJ58</f>
        <v>545.02271008932826</v>
      </c>
      <c r="AE58" s="200">
        <f>(SEOG!AE58*1000)/SEOG!BK58</f>
        <v>586.71721555894237</v>
      </c>
      <c r="AF58" s="200">
        <f>(SEOG!AF58*1000)/SEOG!BL58</f>
        <v>590.56753665689155</v>
      </c>
      <c r="AG58" s="200">
        <f>(SEOG!AG58*1000)/SEOG!BM58</f>
        <v>596.81703019889926</v>
      </c>
    </row>
    <row r="59" spans="1:33">
      <c r="A59" s="39" t="s">
        <v>165</v>
      </c>
      <c r="B59" s="200"/>
      <c r="C59" s="200"/>
      <c r="D59" s="200"/>
      <c r="E59" s="200"/>
      <c r="F59" s="200"/>
      <c r="G59" s="200"/>
      <c r="H59" s="200"/>
      <c r="I59" s="200"/>
      <c r="J59" s="200"/>
      <c r="K59" s="200"/>
      <c r="L59" s="200"/>
      <c r="M59" s="200"/>
      <c r="N59" s="200"/>
      <c r="O59" s="200"/>
      <c r="P59" s="200">
        <f>(SEOG!P59*1000)/SEOG!AV59</f>
        <v>891.598089655031</v>
      </c>
      <c r="Q59" s="200">
        <f>(SEOG!Q59*1000)/SEOG!AW59</f>
        <v>881.41148601802638</v>
      </c>
      <c r="R59" s="200">
        <f>(SEOG!R59*1000)/SEOG!AX59</f>
        <v>939.92743015446263</v>
      </c>
      <c r="S59" s="200">
        <f>(SEOG!S59*1000)/SEOG!AY59</f>
        <v>921.2338405294247</v>
      </c>
      <c r="T59" s="200">
        <f>(SEOG!T59*1000)/SEOG!AZ59</f>
        <v>914.90405011154974</v>
      </c>
      <c r="U59" s="200">
        <f>(SEOG!U59*1000)/SEOG!BA59</f>
        <v>893.67125263235528</v>
      </c>
      <c r="V59" s="200">
        <f>(SEOG!V59*1000)/SEOG!BB59</f>
        <v>907.29874715359097</v>
      </c>
      <c r="W59" s="200">
        <f>(SEOG!W59*1000)/SEOG!BC59</f>
        <v>905.69237893279092</v>
      </c>
      <c r="X59" s="200">
        <f>(SEOG!X59*1000)/SEOG!BD59</f>
        <v>888.55795960050546</v>
      </c>
      <c r="Y59" s="200">
        <f>(SEOG!Y59*1000)/SEOG!BE59</f>
        <v>859.09183392906243</v>
      </c>
      <c r="Z59" s="200">
        <f>(SEOG!Z59*1000)/SEOG!BF59</f>
        <v>851.87283758079491</v>
      </c>
      <c r="AA59" s="200">
        <f>(SEOG!AA59*1000)/SEOG!BG59</f>
        <v>841.3473950661928</v>
      </c>
      <c r="AB59" s="200">
        <f>(SEOG!AB59*1000)/SEOG!BH59</f>
        <v>774.77249301187976</v>
      </c>
      <c r="AC59" s="200">
        <f>(SEOG!AC59*1000)/SEOG!BI59</f>
        <v>724.19684238256593</v>
      </c>
      <c r="AD59" s="200">
        <f>(SEOG!AD59*1000)/SEOG!BJ59</f>
        <v>712.36900393308122</v>
      </c>
      <c r="AE59" s="200">
        <f>(SEOG!AE59*1000)/SEOG!BK59</f>
        <v>663.8630107777002</v>
      </c>
      <c r="AF59" s="200">
        <f>(SEOG!AF59*1000)/SEOG!BL59</f>
        <v>692.77636676304405</v>
      </c>
      <c r="AG59" s="200">
        <f>(SEOG!AG59*1000)/SEOG!BM59</f>
        <v>736.24978992399065</v>
      </c>
    </row>
    <row r="60" spans="1:33">
      <c r="A60" s="39" t="s">
        <v>169</v>
      </c>
      <c r="B60" s="200"/>
      <c r="C60" s="200"/>
      <c r="D60" s="200"/>
      <c r="E60" s="200"/>
      <c r="F60" s="200"/>
      <c r="G60" s="200"/>
      <c r="H60" s="200"/>
      <c r="I60" s="200"/>
      <c r="J60" s="200"/>
      <c r="K60" s="200"/>
      <c r="L60" s="200"/>
      <c r="M60" s="200"/>
      <c r="N60" s="200"/>
      <c r="O60" s="200"/>
      <c r="P60" s="200">
        <f>(SEOG!P60*1000)/SEOG!AV60</f>
        <v>941.79535254090058</v>
      </c>
      <c r="Q60" s="200">
        <f>(SEOG!Q60*1000)/SEOG!AW60</f>
        <v>949.32196865548531</v>
      </c>
      <c r="R60" s="200">
        <f>(SEOG!R60*1000)/SEOG!AX60</f>
        <v>964.80464699702031</v>
      </c>
      <c r="S60" s="200">
        <f>(SEOG!S60*1000)/SEOG!AY60</f>
        <v>981.13015092162402</v>
      </c>
      <c r="T60" s="200">
        <f>(SEOG!T60*1000)/SEOG!AZ60</f>
        <v>993.65570003113567</v>
      </c>
      <c r="U60" s="200">
        <f>(SEOG!U60*1000)/SEOG!BA60</f>
        <v>1043.9607501552725</v>
      </c>
      <c r="V60" s="200">
        <f>(SEOG!V60*1000)/SEOG!BB60</f>
        <v>1007.450794175545</v>
      </c>
      <c r="W60" s="200">
        <f>(SEOG!W60*1000)/SEOG!BC60</f>
        <v>985.30189742069376</v>
      </c>
      <c r="X60" s="200">
        <f>(SEOG!X60*1000)/SEOG!BD60</f>
        <v>964.60253494127574</v>
      </c>
      <c r="Y60" s="200">
        <f>(SEOG!Y60*1000)/SEOG!BE60</f>
        <v>936.48441106122277</v>
      </c>
      <c r="Z60" s="200">
        <f>(SEOG!Z60*1000)/SEOG!BF60</f>
        <v>867.15246174904121</v>
      </c>
      <c r="AA60" s="200">
        <f>(SEOG!AA60*1000)/SEOG!BG60</f>
        <v>834.98757184444275</v>
      </c>
      <c r="AB60" s="200">
        <f>(SEOG!AB60*1000)/SEOG!BH60</f>
        <v>774.4728061021666</v>
      </c>
      <c r="AC60" s="200">
        <f>(SEOG!AC60*1000)/SEOG!BI60</f>
        <v>679.75091653829156</v>
      </c>
      <c r="AD60" s="200">
        <f>(SEOG!AD60*1000)/SEOG!BJ60</f>
        <v>695.01370570167512</v>
      </c>
      <c r="AE60" s="200">
        <f>(SEOG!AE60*1000)/SEOG!BK60</f>
        <v>696.3144441664582</v>
      </c>
      <c r="AF60" s="200">
        <f>(SEOG!AF60*1000)/SEOG!BL60</f>
        <v>759.87316493485787</v>
      </c>
      <c r="AG60" s="200">
        <f>(SEOG!AG60*1000)/SEOG!BM60</f>
        <v>854.16430526094211</v>
      </c>
    </row>
    <row r="61" spans="1:33">
      <c r="A61" s="39" t="s">
        <v>170</v>
      </c>
      <c r="B61" s="200"/>
      <c r="C61" s="200"/>
      <c r="D61" s="200"/>
      <c r="E61" s="200"/>
      <c r="F61" s="200"/>
      <c r="G61" s="200"/>
      <c r="H61" s="200"/>
      <c r="I61" s="200"/>
      <c r="J61" s="200"/>
      <c r="K61" s="200"/>
      <c r="L61" s="200"/>
      <c r="M61" s="200"/>
      <c r="N61" s="200"/>
      <c r="O61" s="200"/>
      <c r="P61" s="200">
        <f>(SEOG!P61*1000)/SEOG!AV61</f>
        <v>809.14162926177062</v>
      </c>
      <c r="Q61" s="200">
        <f>(SEOG!Q61*1000)/SEOG!AW61</f>
        <v>854.89832099280432</v>
      </c>
      <c r="R61" s="200">
        <f>(SEOG!R61*1000)/SEOG!AX61</f>
        <v>816.91662696522155</v>
      </c>
      <c r="S61" s="200">
        <f>(SEOG!S61*1000)/SEOG!AY61</f>
        <v>786.14349332013853</v>
      </c>
      <c r="T61" s="200">
        <f>(SEOG!T61*1000)/SEOG!AZ61</f>
        <v>788.466927863563</v>
      </c>
      <c r="U61" s="200">
        <f>(SEOG!U61*1000)/SEOG!BA61</f>
        <v>789.94900058788949</v>
      </c>
      <c r="V61" s="200">
        <f>(SEOG!V61*1000)/SEOG!BB61</f>
        <v>788.59264816204052</v>
      </c>
      <c r="W61" s="200">
        <f>(SEOG!W61*1000)/SEOG!BC61</f>
        <v>856.76840064075543</v>
      </c>
      <c r="X61" s="200">
        <f>(SEOG!X61*1000)/SEOG!BD61</f>
        <v>867.79780277269163</v>
      </c>
      <c r="Y61" s="200">
        <f>(SEOG!Y61*1000)/SEOG!BE61</f>
        <v>839.38289576293221</v>
      </c>
      <c r="Z61" s="200">
        <f>(SEOG!Z61*1000)/SEOG!BF61</f>
        <v>859.44662168407433</v>
      </c>
      <c r="AA61" s="200">
        <f>(SEOG!AA61*1000)/SEOG!BG61</f>
        <v>672.15977830562156</v>
      </c>
      <c r="AB61" s="200">
        <f>(SEOG!AB61*1000)/SEOG!BH61</f>
        <v>568.80016402405681</v>
      </c>
      <c r="AC61" s="200">
        <f>(SEOG!AC61*1000)/SEOG!BI61</f>
        <v>546.84183637266733</v>
      </c>
      <c r="AD61" s="200">
        <f>(SEOG!AD61*1000)/SEOG!BJ61</f>
        <v>549.06439278066682</v>
      </c>
      <c r="AE61" s="200">
        <f>(SEOG!AE61*1000)/SEOG!BK61</f>
        <v>579.24849070272876</v>
      </c>
      <c r="AF61" s="200">
        <f>(SEOG!AF61*1000)/SEOG!BL61</f>
        <v>554.74047728315736</v>
      </c>
      <c r="AG61" s="200">
        <f>(SEOG!AG61*1000)/SEOG!BM61</f>
        <v>537.23243698766566</v>
      </c>
    </row>
    <row r="62" spans="1:33">
      <c r="A62" s="39" t="s">
        <v>173</v>
      </c>
      <c r="B62" s="200"/>
      <c r="C62" s="200"/>
      <c r="D62" s="200"/>
      <c r="E62" s="200"/>
      <c r="F62" s="200"/>
      <c r="G62" s="200"/>
      <c r="H62" s="200"/>
      <c r="I62" s="200"/>
      <c r="J62" s="200"/>
      <c r="K62" s="200"/>
      <c r="L62" s="200"/>
      <c r="M62" s="200"/>
      <c r="N62" s="200"/>
      <c r="O62" s="200"/>
      <c r="P62" s="200">
        <f>(SEOG!P62*1000)/SEOG!AV62</f>
        <v>1317.0485074626865</v>
      </c>
      <c r="Q62" s="200">
        <f>(SEOG!Q62*1000)/SEOG!AW62</f>
        <v>1294.3553748231966</v>
      </c>
      <c r="R62" s="200">
        <f>(SEOG!R62*1000)/SEOG!AX62</f>
        <v>1247.3415814954276</v>
      </c>
      <c r="S62" s="200">
        <f>(SEOG!S62*1000)/SEOG!AY62</f>
        <v>1340.7632768361582</v>
      </c>
      <c r="T62" s="200">
        <f>(SEOG!T62*1000)/SEOG!AZ62</f>
        <v>1430.6473571289253</v>
      </c>
      <c r="U62" s="200">
        <f>(SEOG!U62*1000)/SEOG!BA62</f>
        <v>1397.9167974882262</v>
      </c>
      <c r="V62" s="200">
        <f>(SEOG!V62*1000)/SEOG!BB62</f>
        <v>1337.4162283996995</v>
      </c>
      <c r="W62" s="200">
        <f>(SEOG!W62*1000)/SEOG!BC62</f>
        <v>1389.2026948989412</v>
      </c>
      <c r="X62" s="200">
        <f>(SEOG!X62*1000)/SEOG!BD62</f>
        <v>1303.0015536997475</v>
      </c>
      <c r="Y62" s="200">
        <f>(SEOG!Y62*1000)/SEOG!BE62</f>
        <v>1317.5627340823969</v>
      </c>
      <c r="Z62" s="200">
        <f>(SEOG!Z62*1000)/SEOG!BF62</f>
        <v>1292.9182401812689</v>
      </c>
      <c r="AA62" s="200">
        <f>(SEOG!AA62*1000)/SEOG!BG62</f>
        <v>1264.2073660324663</v>
      </c>
      <c r="AB62" s="200">
        <f>(SEOG!AB62*1000)/SEOG!BH62</f>
        <v>1256.0365892972277</v>
      </c>
      <c r="AC62" s="200">
        <f>(SEOG!AC62*1000)/SEOG!BI62</f>
        <v>1302.7625924621345</v>
      </c>
      <c r="AD62" s="200">
        <f>(SEOG!AD62*1000)/SEOG!BJ62</f>
        <v>1380.2393524763925</v>
      </c>
      <c r="AE62" s="200">
        <f>(SEOG!AE62*1000)/SEOG!BK62</f>
        <v>1401.8542851539517</v>
      </c>
      <c r="AF62" s="200">
        <f>(SEOG!AF62*1000)/SEOG!BL62</f>
        <v>1330.1041090842086</v>
      </c>
      <c r="AG62" s="200">
        <f>(SEOG!AG62*1000)/SEOG!BM62</f>
        <v>1264.1303126097646</v>
      </c>
    </row>
    <row r="63" spans="1:33">
      <c r="A63" s="46" t="s">
        <v>147</v>
      </c>
      <c r="B63" s="198"/>
      <c r="C63" s="198"/>
      <c r="D63" s="198"/>
      <c r="E63" s="198"/>
      <c r="F63" s="198"/>
      <c r="G63" s="198"/>
      <c r="H63" s="198"/>
      <c r="I63" s="198"/>
      <c r="J63" s="198"/>
      <c r="K63" s="198"/>
      <c r="L63" s="198"/>
      <c r="M63" s="198"/>
      <c r="N63" s="198"/>
      <c r="O63" s="198"/>
      <c r="P63" s="198">
        <f>(SEOG!P63*1000)/SEOG!AV63</f>
        <v>1539.4930413426116</v>
      </c>
      <c r="Q63" s="198">
        <f>(SEOG!Q63*1000)/SEOG!AW63</f>
        <v>1405.8013698630136</v>
      </c>
      <c r="R63" s="198">
        <f>(SEOG!R63*1000)/SEOG!AX63</f>
        <v>1402.3880402989926</v>
      </c>
      <c r="S63" s="198">
        <f>(SEOG!S63*1000)/SEOG!AY63</f>
        <v>1275.3605042016807</v>
      </c>
      <c r="T63" s="198">
        <f>(SEOG!T63*1000)/SEOG!AZ63</f>
        <v>1374.4293234246788</v>
      </c>
      <c r="U63" s="198">
        <f>(SEOG!U63*1000)/SEOG!BA63</f>
        <v>1267.7232752084913</v>
      </c>
      <c r="V63" s="198">
        <f>(SEOG!V63*1000)/SEOG!BB63</f>
        <v>1318.2516033547115</v>
      </c>
      <c r="W63" s="198">
        <f>(SEOG!W63*1000)/SEOG!BC63</f>
        <v>1180.5611852522054</v>
      </c>
      <c r="X63" s="198">
        <f>(SEOG!X63*1000)/SEOG!BD63</f>
        <v>1140.5508956796627</v>
      </c>
      <c r="Y63" s="198">
        <f>(SEOG!Y63*1000)/SEOG!BE63</f>
        <v>1294.7078789364048</v>
      </c>
      <c r="Z63" s="198">
        <f>(SEOG!Z63*1000)/SEOG!BF63</f>
        <v>1691.0552936910806</v>
      </c>
      <c r="AA63" s="198">
        <f>(SEOG!AA63*1000)/SEOG!BG63</f>
        <v>1595.5902488316281</v>
      </c>
      <c r="AB63" s="198">
        <f>(SEOG!AB63*1000)/SEOG!BH63</f>
        <v>518.17772799402599</v>
      </c>
      <c r="AC63" s="198">
        <f>(SEOG!AC63*1000)/SEOG!BI63</f>
        <v>799.37515662851888</v>
      </c>
      <c r="AD63" s="198">
        <f>(SEOG!AD63*1000)/SEOG!BJ63</f>
        <v>1001.4551967493584</v>
      </c>
      <c r="AE63" s="198">
        <f>(SEOG!AE63*1000)/SEOG!BK63</f>
        <v>967.46944111558992</v>
      </c>
      <c r="AF63" s="198">
        <f>(SEOG!AF63*1000)/SEOG!BL63</f>
        <v>1017.8435089974294</v>
      </c>
      <c r="AG63" s="198">
        <f>(SEOG!AG63*1000)/SEOG!BM63</f>
        <v>1076.6018175698418</v>
      </c>
    </row>
  </sheetData>
  <phoneticPr fontId="3"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TABLE 66</vt:lpstr>
      <vt:lpstr>College Work-Study</vt:lpstr>
      <vt:lpstr>CWS per-recipient</vt:lpstr>
      <vt:lpstr>Perkins Loans</vt:lpstr>
      <vt:lpstr>Perkins per-recipient</vt:lpstr>
      <vt:lpstr>SEOG</vt:lpstr>
      <vt:lpstr>SEOG per-recipient</vt:lpstr>
      <vt:lpstr>DATA</vt:lpstr>
      <vt:lpstr>NOTE</vt:lpstr>
      <vt:lpstr>'TABLE 66'!Print_Area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2011-06-09T20:01:16Z</cp:lastPrinted>
  <dcterms:created xsi:type="dcterms:W3CDTF">1999-04-02T16:44:59Z</dcterms:created>
  <dcterms:modified xsi:type="dcterms:W3CDTF">2017-11-03T21:02:44Z</dcterms:modified>
</cp:coreProperties>
</file>